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M339639\Downloads\CC Weekly Report\"/>
    </mc:Choice>
  </mc:AlternateContent>
  <xr:revisionPtr revIDLastSave="0" documentId="13_ncr:1_{7B750DA3-A9B4-4D9E-85C7-17A61B158873}" xr6:coauthVersionLast="47" xr6:coauthVersionMax="47" xr10:uidLastSave="{00000000-0000-0000-0000-000000000000}"/>
  <bookViews>
    <workbookView xWindow="-28920" yWindow="-120" windowWidth="29040" windowHeight="17520" tabRatio="696" activeTab="2" xr2:uid="{00000000-000D-0000-FFFF-FFFF00000000}"/>
  </bookViews>
  <sheets>
    <sheet name="HoldHistory" sheetId="2" r:id="rId1"/>
    <sheet name="HoldSummary" sheetId="3" r:id="rId2"/>
    <sheet name="AllTasks" sheetId="1" r:id="rId3"/>
    <sheet name="AllTasksPivot" sheetId="7" r:id="rId4"/>
    <sheet name="AllTasksTAT" sheetId="4" r:id="rId5"/>
    <sheet name="ReturnsData" sheetId="8" r:id="rId6"/>
    <sheet name="ReturnsPivot" sheetId="9" r:id="rId7"/>
    <sheet name="Programs" sheetId="6" r:id="rId8"/>
    <sheet name="OTD" sheetId="5" r:id="rId9"/>
    <sheet name="PerformaceCenter" sheetId="10" r:id="rId10"/>
    <sheet name="Dashboard" sheetId="11" r:id="rId11"/>
  </sheets>
  <definedNames>
    <definedName name="_xlnm._FilterDatabase" localSheetId="2" hidden="1">AllTasks!$A$1:$AJ$888</definedName>
    <definedName name="_xlnm._FilterDatabase" localSheetId="0" hidden="1">HoldHistory!$A$1:$Q$784</definedName>
    <definedName name="_xlnm._FilterDatabase" localSheetId="1" hidden="1">HoldSummary!$A$1:$I$1</definedName>
    <definedName name="_xlnm._FilterDatabase" localSheetId="5" hidden="1">ReturnsData!$A$1:$S$1</definedName>
  </definedNames>
  <calcPr calcId="191029"/>
  <pivotCaches>
    <pivotCache cacheId="0" r:id="rId12"/>
    <pivotCache cacheId="1" r:id="rId13"/>
    <pivotCache cacheId="2"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1" i="5" l="1"/>
  <c r="K51" i="5"/>
  <c r="L51" i="5"/>
  <c r="M51" i="5"/>
  <c r="N8" i="10"/>
  <c r="D37" i="10"/>
  <c r="AO136" i="1"/>
  <c r="AO148" i="1"/>
  <c r="AO508" i="1"/>
  <c r="AO511" i="1"/>
  <c r="AO532" i="1"/>
  <c r="AO568" i="1"/>
  <c r="AO772" i="1"/>
  <c r="AO773"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N3" i="1"/>
  <c r="AO3" i="1" s="1"/>
  <c r="AN4" i="1"/>
  <c r="AO4" i="1" s="1"/>
  <c r="AN5" i="1"/>
  <c r="AO5" i="1" s="1"/>
  <c r="AN6" i="1"/>
  <c r="AO6" i="1" s="1"/>
  <c r="AN7" i="1"/>
  <c r="AO7" i="1" s="1"/>
  <c r="AN8" i="1"/>
  <c r="AO8" i="1" s="1"/>
  <c r="AN9" i="1"/>
  <c r="AO9" i="1" s="1"/>
  <c r="AN10" i="1"/>
  <c r="AO10" i="1" s="1"/>
  <c r="AN11" i="1"/>
  <c r="AO11" i="1" s="1"/>
  <c r="AN12" i="1"/>
  <c r="AO12" i="1" s="1"/>
  <c r="AN13" i="1"/>
  <c r="AO13" i="1" s="1"/>
  <c r="F51" i="5" s="1"/>
  <c r="AN14" i="1"/>
  <c r="AO14" i="1" s="1"/>
  <c r="AN15" i="1"/>
  <c r="AO15" i="1" s="1"/>
  <c r="H51" i="5" s="1"/>
  <c r="AN16" i="1"/>
  <c r="AO16" i="1" s="1"/>
  <c r="AN17" i="1"/>
  <c r="AO17" i="1" s="1"/>
  <c r="AN18" i="1"/>
  <c r="AO18" i="1" s="1"/>
  <c r="C51" i="5" s="1"/>
  <c r="AN19" i="1"/>
  <c r="AO19" i="1" s="1"/>
  <c r="AN20" i="1"/>
  <c r="AO20" i="1" s="1"/>
  <c r="AN21" i="1"/>
  <c r="AO21" i="1" s="1"/>
  <c r="AN22" i="1"/>
  <c r="AO22" i="1" s="1"/>
  <c r="AN23" i="1"/>
  <c r="AO23" i="1" s="1"/>
  <c r="AN24" i="1"/>
  <c r="AO24" i="1" s="1"/>
  <c r="AN25" i="1"/>
  <c r="AO25" i="1" s="1"/>
  <c r="AN26" i="1"/>
  <c r="AO26" i="1" s="1"/>
  <c r="AN27" i="1"/>
  <c r="AO27" i="1" s="1"/>
  <c r="AN28" i="1"/>
  <c r="AO28" i="1" s="1"/>
  <c r="AN29" i="1"/>
  <c r="AO29" i="1" s="1"/>
  <c r="D51" i="5" s="1"/>
  <c r="AN30" i="1"/>
  <c r="AO30" i="1" s="1"/>
  <c r="AN31" i="1"/>
  <c r="AO31" i="1" s="1"/>
  <c r="AN32" i="1"/>
  <c r="AO32" i="1" s="1"/>
  <c r="AN33" i="1"/>
  <c r="AO33" i="1" s="1"/>
  <c r="AN34" i="1"/>
  <c r="AO34" i="1" s="1"/>
  <c r="AN35" i="1"/>
  <c r="AO35" i="1" s="1"/>
  <c r="AN36" i="1"/>
  <c r="AO36" i="1" s="1"/>
  <c r="AN37" i="1"/>
  <c r="AO37" i="1" s="1"/>
  <c r="AN38" i="1"/>
  <c r="AO38" i="1" s="1"/>
  <c r="AN39" i="1"/>
  <c r="AO39" i="1" s="1"/>
  <c r="AN40" i="1"/>
  <c r="AO40" i="1" s="1"/>
  <c r="AN41" i="1"/>
  <c r="AO41" i="1" s="1"/>
  <c r="AN42" i="1"/>
  <c r="AO42" i="1" s="1"/>
  <c r="AN43" i="1"/>
  <c r="AO43" i="1" s="1"/>
  <c r="AN44" i="1"/>
  <c r="AO44" i="1" s="1"/>
  <c r="AN45" i="1"/>
  <c r="AO45" i="1" s="1"/>
  <c r="AN46" i="1"/>
  <c r="AO46" i="1" s="1"/>
  <c r="AN47" i="1"/>
  <c r="AO47" i="1" s="1"/>
  <c r="AN48" i="1"/>
  <c r="AO48" i="1" s="1"/>
  <c r="AN49" i="1"/>
  <c r="AO49" i="1" s="1"/>
  <c r="AN50" i="1"/>
  <c r="AO50" i="1" s="1"/>
  <c r="AN51" i="1"/>
  <c r="AO51" i="1" s="1"/>
  <c r="AN52" i="1"/>
  <c r="AO52" i="1" s="1"/>
  <c r="AN53" i="1"/>
  <c r="AO53" i="1" s="1"/>
  <c r="AN54" i="1"/>
  <c r="AO54" i="1" s="1"/>
  <c r="AN55" i="1"/>
  <c r="AO55" i="1" s="1"/>
  <c r="AN56" i="1"/>
  <c r="AO56" i="1" s="1"/>
  <c r="AN57" i="1"/>
  <c r="AO57" i="1" s="1"/>
  <c r="AN58" i="1"/>
  <c r="AO58" i="1" s="1"/>
  <c r="AN59" i="1"/>
  <c r="AO59" i="1" s="1"/>
  <c r="AN60" i="1"/>
  <c r="AO60" i="1" s="1"/>
  <c r="AN61" i="1"/>
  <c r="AO61" i="1" s="1"/>
  <c r="AN62" i="1"/>
  <c r="AO62" i="1" s="1"/>
  <c r="AN63" i="1"/>
  <c r="AO63" i="1" s="1"/>
  <c r="AN64" i="1"/>
  <c r="AO64" i="1" s="1"/>
  <c r="AN65" i="1"/>
  <c r="AO65" i="1" s="1"/>
  <c r="AN66" i="1"/>
  <c r="AO66" i="1" s="1"/>
  <c r="AN67" i="1"/>
  <c r="AO67" i="1" s="1"/>
  <c r="AN68" i="1"/>
  <c r="AO68" i="1" s="1"/>
  <c r="AN69" i="1"/>
  <c r="AO69" i="1" s="1"/>
  <c r="AN70" i="1"/>
  <c r="AO70" i="1" s="1"/>
  <c r="AN71" i="1"/>
  <c r="AO71" i="1" s="1"/>
  <c r="AN72" i="1"/>
  <c r="AO72" i="1" s="1"/>
  <c r="AN73" i="1"/>
  <c r="AO73" i="1" s="1"/>
  <c r="AN74" i="1"/>
  <c r="AO74" i="1" s="1"/>
  <c r="AN75" i="1"/>
  <c r="AO75" i="1" s="1"/>
  <c r="AN76" i="1"/>
  <c r="AO76" i="1" s="1"/>
  <c r="AN77" i="1"/>
  <c r="AO77" i="1" s="1"/>
  <c r="AN78" i="1"/>
  <c r="AO78" i="1" s="1"/>
  <c r="AN79" i="1"/>
  <c r="AO79" i="1" s="1"/>
  <c r="AN80" i="1"/>
  <c r="AO80" i="1" s="1"/>
  <c r="AN81" i="1"/>
  <c r="AO81" i="1" s="1"/>
  <c r="AN82" i="1"/>
  <c r="AO82" i="1" s="1"/>
  <c r="AN83" i="1"/>
  <c r="AO83" i="1" s="1"/>
  <c r="AN84" i="1"/>
  <c r="AO84" i="1" s="1"/>
  <c r="AN85" i="1"/>
  <c r="AO85" i="1" s="1"/>
  <c r="AN86" i="1"/>
  <c r="AO86" i="1" s="1"/>
  <c r="AN87" i="1"/>
  <c r="AO87" i="1" s="1"/>
  <c r="AN88" i="1"/>
  <c r="AO88" i="1" s="1"/>
  <c r="AN89" i="1"/>
  <c r="AO89" i="1" s="1"/>
  <c r="AN90" i="1"/>
  <c r="AO90" i="1" s="1"/>
  <c r="AN91" i="1"/>
  <c r="AO91" i="1" s="1"/>
  <c r="AN92" i="1"/>
  <c r="AO92" i="1" s="1"/>
  <c r="AN93" i="1"/>
  <c r="AO93" i="1" s="1"/>
  <c r="AN94" i="1"/>
  <c r="AO94" i="1" s="1"/>
  <c r="AN95" i="1"/>
  <c r="AO95" i="1" s="1"/>
  <c r="AN96" i="1"/>
  <c r="AO96" i="1" s="1"/>
  <c r="AN97" i="1"/>
  <c r="AO97" i="1" s="1"/>
  <c r="AN98" i="1"/>
  <c r="AO98" i="1" s="1"/>
  <c r="AN99" i="1"/>
  <c r="AO99" i="1" s="1"/>
  <c r="AN100" i="1"/>
  <c r="AO100" i="1" s="1"/>
  <c r="AN101" i="1"/>
  <c r="AO101" i="1" s="1"/>
  <c r="AN102" i="1"/>
  <c r="AO102" i="1" s="1"/>
  <c r="AN103" i="1"/>
  <c r="AO103" i="1" s="1"/>
  <c r="AN104" i="1"/>
  <c r="AO104" i="1" s="1"/>
  <c r="AN105" i="1"/>
  <c r="AO105" i="1" s="1"/>
  <c r="AN106" i="1"/>
  <c r="AO106" i="1" s="1"/>
  <c r="AN107" i="1"/>
  <c r="AO107" i="1" s="1"/>
  <c r="AN108" i="1"/>
  <c r="AO108" i="1" s="1"/>
  <c r="AN109" i="1"/>
  <c r="AO109" i="1" s="1"/>
  <c r="AN110" i="1"/>
  <c r="AO110" i="1" s="1"/>
  <c r="AN111" i="1"/>
  <c r="AO111" i="1" s="1"/>
  <c r="AN112" i="1"/>
  <c r="AO112" i="1" s="1"/>
  <c r="AN113" i="1"/>
  <c r="AO113" i="1" s="1"/>
  <c r="AN114" i="1"/>
  <c r="AO114" i="1" s="1"/>
  <c r="AN115" i="1"/>
  <c r="AO115" i="1" s="1"/>
  <c r="AN116" i="1"/>
  <c r="AO116" i="1" s="1"/>
  <c r="AN117" i="1"/>
  <c r="AO117" i="1" s="1"/>
  <c r="AN118" i="1"/>
  <c r="AO118" i="1" s="1"/>
  <c r="AN119" i="1"/>
  <c r="AO119" i="1" s="1"/>
  <c r="AN120" i="1"/>
  <c r="AO120" i="1" s="1"/>
  <c r="AN121" i="1"/>
  <c r="AO121" i="1" s="1"/>
  <c r="AN122" i="1"/>
  <c r="AO122" i="1" s="1"/>
  <c r="AN123" i="1"/>
  <c r="AO123" i="1" s="1"/>
  <c r="AN124" i="1"/>
  <c r="AO124" i="1" s="1"/>
  <c r="AN125" i="1"/>
  <c r="AO125" i="1" s="1"/>
  <c r="AN126" i="1"/>
  <c r="AO126" i="1" s="1"/>
  <c r="AN127" i="1"/>
  <c r="AO127" i="1" s="1"/>
  <c r="AN128" i="1"/>
  <c r="AO128" i="1" s="1"/>
  <c r="AN129" i="1"/>
  <c r="AO129" i="1" s="1"/>
  <c r="AN130" i="1"/>
  <c r="AO130" i="1" s="1"/>
  <c r="AN131" i="1"/>
  <c r="AO131" i="1" s="1"/>
  <c r="AN132" i="1"/>
  <c r="AO132" i="1" s="1"/>
  <c r="AN133" i="1"/>
  <c r="AO133" i="1" s="1"/>
  <c r="AN134" i="1"/>
  <c r="AO134" i="1" s="1"/>
  <c r="AN135" i="1"/>
  <c r="AO135" i="1" s="1"/>
  <c r="AN136" i="1"/>
  <c r="AN137" i="1"/>
  <c r="AO137" i="1" s="1"/>
  <c r="AN138" i="1"/>
  <c r="AO138" i="1" s="1"/>
  <c r="AN139" i="1"/>
  <c r="AO139" i="1" s="1"/>
  <c r="AN140" i="1"/>
  <c r="AO140" i="1" s="1"/>
  <c r="AN141" i="1"/>
  <c r="AO141" i="1" s="1"/>
  <c r="AN142" i="1"/>
  <c r="AO142" i="1" s="1"/>
  <c r="AN143" i="1"/>
  <c r="AO143" i="1" s="1"/>
  <c r="AN144" i="1"/>
  <c r="AO144" i="1" s="1"/>
  <c r="AN145" i="1"/>
  <c r="AO145" i="1" s="1"/>
  <c r="AN146" i="1"/>
  <c r="AO146" i="1" s="1"/>
  <c r="AN147" i="1"/>
  <c r="AO147" i="1" s="1"/>
  <c r="AN148" i="1"/>
  <c r="AN149" i="1"/>
  <c r="AO149" i="1" s="1"/>
  <c r="AN150" i="1"/>
  <c r="AO150" i="1" s="1"/>
  <c r="AN151" i="1"/>
  <c r="AO151" i="1" s="1"/>
  <c r="AN152" i="1"/>
  <c r="AO152" i="1" s="1"/>
  <c r="AN153" i="1"/>
  <c r="AO153" i="1" s="1"/>
  <c r="AN154" i="1"/>
  <c r="AO154" i="1" s="1"/>
  <c r="AN155" i="1"/>
  <c r="AO155" i="1" s="1"/>
  <c r="AN156" i="1"/>
  <c r="AO156" i="1" s="1"/>
  <c r="AN157" i="1"/>
  <c r="AO157" i="1" s="1"/>
  <c r="AN158" i="1"/>
  <c r="AO158" i="1" s="1"/>
  <c r="AN159" i="1"/>
  <c r="AO159" i="1" s="1"/>
  <c r="AN160" i="1"/>
  <c r="AO160" i="1" s="1"/>
  <c r="AN161" i="1"/>
  <c r="AO161" i="1" s="1"/>
  <c r="AN162" i="1"/>
  <c r="AO162" i="1" s="1"/>
  <c r="AN163" i="1"/>
  <c r="AO163" i="1" s="1"/>
  <c r="AN164" i="1"/>
  <c r="AO164" i="1" s="1"/>
  <c r="AN165" i="1"/>
  <c r="AO165" i="1" s="1"/>
  <c r="AN166" i="1"/>
  <c r="AO166" i="1" s="1"/>
  <c r="AN167" i="1"/>
  <c r="AO167" i="1" s="1"/>
  <c r="AN168" i="1"/>
  <c r="AO168" i="1" s="1"/>
  <c r="AN169" i="1"/>
  <c r="AO169" i="1" s="1"/>
  <c r="AN170" i="1"/>
  <c r="AO170" i="1" s="1"/>
  <c r="AN171" i="1"/>
  <c r="AO171" i="1" s="1"/>
  <c r="AN172" i="1"/>
  <c r="AO172" i="1" s="1"/>
  <c r="AN173" i="1"/>
  <c r="AO173" i="1" s="1"/>
  <c r="AN174" i="1"/>
  <c r="AO174" i="1" s="1"/>
  <c r="AN175" i="1"/>
  <c r="AO175" i="1" s="1"/>
  <c r="AN176" i="1"/>
  <c r="AO176" i="1" s="1"/>
  <c r="AN177" i="1"/>
  <c r="AO177" i="1" s="1"/>
  <c r="AN178" i="1"/>
  <c r="AO178" i="1" s="1"/>
  <c r="AN179" i="1"/>
  <c r="AO179" i="1" s="1"/>
  <c r="AN180" i="1"/>
  <c r="AO180" i="1" s="1"/>
  <c r="AN181" i="1"/>
  <c r="AO181" i="1" s="1"/>
  <c r="AN182" i="1"/>
  <c r="AO182" i="1" s="1"/>
  <c r="AN183" i="1"/>
  <c r="AO183" i="1" s="1"/>
  <c r="AN184" i="1"/>
  <c r="AO184" i="1" s="1"/>
  <c r="AN185" i="1"/>
  <c r="AO185" i="1" s="1"/>
  <c r="AN186" i="1"/>
  <c r="AO186" i="1" s="1"/>
  <c r="AN187" i="1"/>
  <c r="AO187" i="1" s="1"/>
  <c r="AN188" i="1"/>
  <c r="AO188" i="1" s="1"/>
  <c r="AN189" i="1"/>
  <c r="AO189" i="1" s="1"/>
  <c r="AN190" i="1"/>
  <c r="AO190" i="1" s="1"/>
  <c r="AN191" i="1"/>
  <c r="AO191" i="1" s="1"/>
  <c r="AN192" i="1"/>
  <c r="AO192" i="1" s="1"/>
  <c r="AN193" i="1"/>
  <c r="AO193" i="1" s="1"/>
  <c r="AN194" i="1"/>
  <c r="AO194" i="1" s="1"/>
  <c r="AN195" i="1"/>
  <c r="AO195" i="1" s="1"/>
  <c r="AN196" i="1"/>
  <c r="AO196" i="1" s="1"/>
  <c r="AN197" i="1"/>
  <c r="AO197" i="1" s="1"/>
  <c r="AN198" i="1"/>
  <c r="AO198" i="1" s="1"/>
  <c r="AN199" i="1"/>
  <c r="AO199" i="1" s="1"/>
  <c r="AN200" i="1"/>
  <c r="AO200" i="1" s="1"/>
  <c r="AN201" i="1"/>
  <c r="AO201" i="1" s="1"/>
  <c r="AN202" i="1"/>
  <c r="AO202" i="1" s="1"/>
  <c r="AN203" i="1"/>
  <c r="AO203" i="1" s="1"/>
  <c r="AN204" i="1"/>
  <c r="AO204" i="1" s="1"/>
  <c r="AN205" i="1"/>
  <c r="AO205" i="1" s="1"/>
  <c r="AN206" i="1"/>
  <c r="AO206" i="1" s="1"/>
  <c r="AN207" i="1"/>
  <c r="AO207" i="1" s="1"/>
  <c r="AN208" i="1"/>
  <c r="AO208" i="1" s="1"/>
  <c r="AN209" i="1"/>
  <c r="AO209" i="1" s="1"/>
  <c r="AN210" i="1"/>
  <c r="AO210" i="1" s="1"/>
  <c r="AN211" i="1"/>
  <c r="AO211" i="1" s="1"/>
  <c r="AN212" i="1"/>
  <c r="AO212" i="1" s="1"/>
  <c r="AN213" i="1"/>
  <c r="AO213" i="1" s="1"/>
  <c r="AN214" i="1"/>
  <c r="AO214" i="1" s="1"/>
  <c r="AN215" i="1"/>
  <c r="AO215" i="1" s="1"/>
  <c r="AN216" i="1"/>
  <c r="AO216" i="1" s="1"/>
  <c r="AN217" i="1"/>
  <c r="AO217" i="1" s="1"/>
  <c r="AN218" i="1"/>
  <c r="AO218" i="1" s="1"/>
  <c r="AN219" i="1"/>
  <c r="AO219" i="1" s="1"/>
  <c r="AN220" i="1"/>
  <c r="AO220" i="1" s="1"/>
  <c r="AN221" i="1"/>
  <c r="AO221" i="1" s="1"/>
  <c r="AN222" i="1"/>
  <c r="AO222" i="1" s="1"/>
  <c r="AN223" i="1"/>
  <c r="AO223" i="1" s="1"/>
  <c r="AN224" i="1"/>
  <c r="AO224" i="1" s="1"/>
  <c r="AN225" i="1"/>
  <c r="AO225" i="1" s="1"/>
  <c r="AN226" i="1"/>
  <c r="AO226" i="1" s="1"/>
  <c r="AN227" i="1"/>
  <c r="AO227" i="1" s="1"/>
  <c r="AN228" i="1"/>
  <c r="AO228" i="1" s="1"/>
  <c r="AN229" i="1"/>
  <c r="AO229" i="1" s="1"/>
  <c r="AN230" i="1"/>
  <c r="AO230" i="1" s="1"/>
  <c r="AN231" i="1"/>
  <c r="AO231" i="1" s="1"/>
  <c r="AN232" i="1"/>
  <c r="AO232" i="1" s="1"/>
  <c r="AN233" i="1"/>
  <c r="AO233" i="1" s="1"/>
  <c r="AN234" i="1"/>
  <c r="AO234" i="1" s="1"/>
  <c r="AN235" i="1"/>
  <c r="AO235" i="1" s="1"/>
  <c r="AN236" i="1"/>
  <c r="AO236" i="1" s="1"/>
  <c r="AN237" i="1"/>
  <c r="AO237" i="1" s="1"/>
  <c r="AN238" i="1"/>
  <c r="AO238" i="1" s="1"/>
  <c r="AN239" i="1"/>
  <c r="AO239" i="1" s="1"/>
  <c r="AN240" i="1"/>
  <c r="AO240" i="1" s="1"/>
  <c r="AN241" i="1"/>
  <c r="AO241" i="1" s="1"/>
  <c r="AN242" i="1"/>
  <c r="AO242" i="1" s="1"/>
  <c r="AN243" i="1"/>
  <c r="AO243" i="1" s="1"/>
  <c r="AN244" i="1"/>
  <c r="AO244" i="1" s="1"/>
  <c r="AN245" i="1"/>
  <c r="AO245" i="1" s="1"/>
  <c r="AN246" i="1"/>
  <c r="AO246" i="1" s="1"/>
  <c r="AN247" i="1"/>
  <c r="AO247" i="1" s="1"/>
  <c r="AN248" i="1"/>
  <c r="AO248" i="1" s="1"/>
  <c r="AN249" i="1"/>
  <c r="AO249" i="1" s="1"/>
  <c r="AN250" i="1"/>
  <c r="AO250" i="1" s="1"/>
  <c r="AN251" i="1"/>
  <c r="AO251" i="1" s="1"/>
  <c r="AN252" i="1"/>
  <c r="AO252" i="1" s="1"/>
  <c r="AN253" i="1"/>
  <c r="AO253" i="1" s="1"/>
  <c r="AN254" i="1"/>
  <c r="AO254" i="1" s="1"/>
  <c r="AN255" i="1"/>
  <c r="AO255" i="1" s="1"/>
  <c r="AN256" i="1"/>
  <c r="AO256" i="1" s="1"/>
  <c r="AN257" i="1"/>
  <c r="AO257" i="1" s="1"/>
  <c r="AN258" i="1"/>
  <c r="AO258" i="1" s="1"/>
  <c r="AN259" i="1"/>
  <c r="AO259" i="1" s="1"/>
  <c r="AN260" i="1"/>
  <c r="AO260" i="1" s="1"/>
  <c r="AN261" i="1"/>
  <c r="AO261" i="1" s="1"/>
  <c r="AN262" i="1"/>
  <c r="AO262" i="1" s="1"/>
  <c r="AN263" i="1"/>
  <c r="AO263" i="1" s="1"/>
  <c r="AN264" i="1"/>
  <c r="AO264" i="1" s="1"/>
  <c r="AN265" i="1"/>
  <c r="AO265" i="1" s="1"/>
  <c r="AN266" i="1"/>
  <c r="AO266" i="1" s="1"/>
  <c r="AN267" i="1"/>
  <c r="AO267" i="1" s="1"/>
  <c r="AN268" i="1"/>
  <c r="AO268" i="1" s="1"/>
  <c r="AN269" i="1"/>
  <c r="AO269" i="1" s="1"/>
  <c r="AN270" i="1"/>
  <c r="AO270" i="1" s="1"/>
  <c r="AN271" i="1"/>
  <c r="AO271" i="1" s="1"/>
  <c r="AN272" i="1"/>
  <c r="AO272" i="1" s="1"/>
  <c r="AN273" i="1"/>
  <c r="AO273" i="1" s="1"/>
  <c r="AN274" i="1"/>
  <c r="AO274" i="1" s="1"/>
  <c r="AN275" i="1"/>
  <c r="AO275" i="1" s="1"/>
  <c r="AN276" i="1"/>
  <c r="AO276" i="1" s="1"/>
  <c r="AN277" i="1"/>
  <c r="AO277" i="1" s="1"/>
  <c r="AN278" i="1"/>
  <c r="AO278" i="1" s="1"/>
  <c r="AN279" i="1"/>
  <c r="AO279" i="1" s="1"/>
  <c r="AN280" i="1"/>
  <c r="AO280" i="1" s="1"/>
  <c r="AN281" i="1"/>
  <c r="AO281" i="1" s="1"/>
  <c r="AN282" i="1"/>
  <c r="AO282" i="1" s="1"/>
  <c r="AN283" i="1"/>
  <c r="AO283" i="1" s="1"/>
  <c r="AN284" i="1"/>
  <c r="AO284" i="1" s="1"/>
  <c r="AN285" i="1"/>
  <c r="AO285" i="1" s="1"/>
  <c r="AN286" i="1"/>
  <c r="AO286" i="1" s="1"/>
  <c r="AN287" i="1"/>
  <c r="AO287" i="1" s="1"/>
  <c r="AN288" i="1"/>
  <c r="AO288" i="1" s="1"/>
  <c r="AN289" i="1"/>
  <c r="AO289" i="1" s="1"/>
  <c r="AN290" i="1"/>
  <c r="AO290" i="1" s="1"/>
  <c r="AN291" i="1"/>
  <c r="AO291" i="1" s="1"/>
  <c r="AN292" i="1"/>
  <c r="AO292" i="1" s="1"/>
  <c r="AN293" i="1"/>
  <c r="AO293" i="1" s="1"/>
  <c r="AN294" i="1"/>
  <c r="AO294" i="1" s="1"/>
  <c r="AN295" i="1"/>
  <c r="AO295" i="1" s="1"/>
  <c r="AN296" i="1"/>
  <c r="AO296" i="1" s="1"/>
  <c r="AN297" i="1"/>
  <c r="AO297" i="1" s="1"/>
  <c r="AN298" i="1"/>
  <c r="AO298" i="1" s="1"/>
  <c r="AN299" i="1"/>
  <c r="AO299" i="1" s="1"/>
  <c r="AN300" i="1"/>
  <c r="AO300" i="1" s="1"/>
  <c r="AN301" i="1"/>
  <c r="AO301" i="1" s="1"/>
  <c r="AN302" i="1"/>
  <c r="AO302" i="1" s="1"/>
  <c r="AN303" i="1"/>
  <c r="AO303" i="1" s="1"/>
  <c r="AN304" i="1"/>
  <c r="AO304" i="1" s="1"/>
  <c r="AN305" i="1"/>
  <c r="AO305" i="1" s="1"/>
  <c r="AN306" i="1"/>
  <c r="AO306" i="1" s="1"/>
  <c r="AN307" i="1"/>
  <c r="AO307" i="1" s="1"/>
  <c r="AN308" i="1"/>
  <c r="AO308" i="1" s="1"/>
  <c r="AN309" i="1"/>
  <c r="AO309" i="1" s="1"/>
  <c r="AN310" i="1"/>
  <c r="AO310" i="1" s="1"/>
  <c r="AN311" i="1"/>
  <c r="AO311" i="1" s="1"/>
  <c r="AN312" i="1"/>
  <c r="AO312" i="1" s="1"/>
  <c r="AN313" i="1"/>
  <c r="AO313" i="1" s="1"/>
  <c r="AN314" i="1"/>
  <c r="AO314" i="1" s="1"/>
  <c r="AN315" i="1"/>
  <c r="AO315" i="1" s="1"/>
  <c r="AN316" i="1"/>
  <c r="AO316" i="1" s="1"/>
  <c r="AN317" i="1"/>
  <c r="AO317" i="1" s="1"/>
  <c r="AN318" i="1"/>
  <c r="AO318" i="1" s="1"/>
  <c r="AN319" i="1"/>
  <c r="AO319" i="1" s="1"/>
  <c r="AN320" i="1"/>
  <c r="AO320" i="1" s="1"/>
  <c r="AN321" i="1"/>
  <c r="AO321" i="1" s="1"/>
  <c r="AN322" i="1"/>
  <c r="AO322" i="1" s="1"/>
  <c r="AN323" i="1"/>
  <c r="AO323" i="1" s="1"/>
  <c r="AN324" i="1"/>
  <c r="AO324" i="1" s="1"/>
  <c r="AN325" i="1"/>
  <c r="AO325" i="1" s="1"/>
  <c r="AN326" i="1"/>
  <c r="AO326" i="1" s="1"/>
  <c r="AN327" i="1"/>
  <c r="AO327" i="1" s="1"/>
  <c r="AN328" i="1"/>
  <c r="AO328" i="1" s="1"/>
  <c r="AN329" i="1"/>
  <c r="AO329" i="1" s="1"/>
  <c r="AN330" i="1"/>
  <c r="AO330" i="1" s="1"/>
  <c r="AN331" i="1"/>
  <c r="AO331" i="1" s="1"/>
  <c r="AN332" i="1"/>
  <c r="AO332" i="1" s="1"/>
  <c r="AN333" i="1"/>
  <c r="AO333" i="1" s="1"/>
  <c r="AN334" i="1"/>
  <c r="AO334" i="1" s="1"/>
  <c r="AN335" i="1"/>
  <c r="AO335" i="1" s="1"/>
  <c r="AN336" i="1"/>
  <c r="AO336" i="1" s="1"/>
  <c r="AN337" i="1"/>
  <c r="AO337" i="1" s="1"/>
  <c r="AN338" i="1"/>
  <c r="AO338" i="1" s="1"/>
  <c r="AN339" i="1"/>
  <c r="AO339" i="1" s="1"/>
  <c r="AN340" i="1"/>
  <c r="AO340" i="1" s="1"/>
  <c r="AN341" i="1"/>
  <c r="AO341" i="1" s="1"/>
  <c r="AN342" i="1"/>
  <c r="AO342" i="1" s="1"/>
  <c r="AN343" i="1"/>
  <c r="AO343" i="1" s="1"/>
  <c r="AN344" i="1"/>
  <c r="AO344" i="1" s="1"/>
  <c r="AN345" i="1"/>
  <c r="AO345" i="1" s="1"/>
  <c r="AN346" i="1"/>
  <c r="AO346" i="1" s="1"/>
  <c r="AN347" i="1"/>
  <c r="AO347" i="1" s="1"/>
  <c r="AN348" i="1"/>
  <c r="AO348" i="1" s="1"/>
  <c r="AN349" i="1"/>
  <c r="AO349" i="1" s="1"/>
  <c r="AN350" i="1"/>
  <c r="AO350" i="1" s="1"/>
  <c r="AN351" i="1"/>
  <c r="AO351" i="1" s="1"/>
  <c r="AN352" i="1"/>
  <c r="AO352" i="1" s="1"/>
  <c r="AN353" i="1"/>
  <c r="AO353" i="1" s="1"/>
  <c r="AN354" i="1"/>
  <c r="AO354" i="1" s="1"/>
  <c r="AN355" i="1"/>
  <c r="AO355" i="1" s="1"/>
  <c r="AN356" i="1"/>
  <c r="AO356" i="1" s="1"/>
  <c r="AN357" i="1"/>
  <c r="AO357" i="1" s="1"/>
  <c r="AN358" i="1"/>
  <c r="AO358" i="1" s="1"/>
  <c r="AN359" i="1"/>
  <c r="AO359" i="1" s="1"/>
  <c r="AN360" i="1"/>
  <c r="AO360" i="1" s="1"/>
  <c r="AN361" i="1"/>
  <c r="AO361" i="1" s="1"/>
  <c r="AN362" i="1"/>
  <c r="AO362" i="1" s="1"/>
  <c r="AN363" i="1"/>
  <c r="AO363" i="1" s="1"/>
  <c r="AN364" i="1"/>
  <c r="AO364" i="1" s="1"/>
  <c r="AN365" i="1"/>
  <c r="AO365" i="1" s="1"/>
  <c r="AN366" i="1"/>
  <c r="AO366" i="1" s="1"/>
  <c r="AN367" i="1"/>
  <c r="AO367" i="1" s="1"/>
  <c r="AN368" i="1"/>
  <c r="AO368" i="1" s="1"/>
  <c r="AN369" i="1"/>
  <c r="AO369" i="1" s="1"/>
  <c r="AN370" i="1"/>
  <c r="AO370" i="1" s="1"/>
  <c r="AN371" i="1"/>
  <c r="AO371" i="1" s="1"/>
  <c r="AN372" i="1"/>
  <c r="AO372" i="1" s="1"/>
  <c r="AN373" i="1"/>
  <c r="AO373" i="1" s="1"/>
  <c r="AN374" i="1"/>
  <c r="AO374" i="1" s="1"/>
  <c r="AN375" i="1"/>
  <c r="AO375" i="1" s="1"/>
  <c r="AN376" i="1"/>
  <c r="AO376" i="1" s="1"/>
  <c r="AN377" i="1"/>
  <c r="AO377" i="1" s="1"/>
  <c r="AN378" i="1"/>
  <c r="AO378" i="1" s="1"/>
  <c r="AN379" i="1"/>
  <c r="AO379" i="1" s="1"/>
  <c r="AN380" i="1"/>
  <c r="AO380" i="1" s="1"/>
  <c r="AN381" i="1"/>
  <c r="AO381" i="1" s="1"/>
  <c r="AN382" i="1"/>
  <c r="AO382" i="1" s="1"/>
  <c r="AN383" i="1"/>
  <c r="AO383" i="1" s="1"/>
  <c r="AN384" i="1"/>
  <c r="AO384" i="1" s="1"/>
  <c r="AN385" i="1"/>
  <c r="AO385" i="1" s="1"/>
  <c r="AN386" i="1"/>
  <c r="AO386" i="1" s="1"/>
  <c r="AN387" i="1"/>
  <c r="AO387" i="1" s="1"/>
  <c r="AN388" i="1"/>
  <c r="AO388" i="1" s="1"/>
  <c r="AN389" i="1"/>
  <c r="AO389" i="1" s="1"/>
  <c r="AN390" i="1"/>
  <c r="AO390" i="1" s="1"/>
  <c r="AN391" i="1"/>
  <c r="AO391" i="1" s="1"/>
  <c r="AN392" i="1"/>
  <c r="AO392" i="1" s="1"/>
  <c r="AN393" i="1"/>
  <c r="AO393" i="1" s="1"/>
  <c r="AN394" i="1"/>
  <c r="AO394" i="1" s="1"/>
  <c r="AN395" i="1"/>
  <c r="AO395" i="1" s="1"/>
  <c r="AN396" i="1"/>
  <c r="AO396" i="1" s="1"/>
  <c r="AN397" i="1"/>
  <c r="AO397" i="1" s="1"/>
  <c r="AN398" i="1"/>
  <c r="AO398" i="1" s="1"/>
  <c r="AN399" i="1"/>
  <c r="AO399" i="1" s="1"/>
  <c r="AN400" i="1"/>
  <c r="AO400" i="1" s="1"/>
  <c r="AN401" i="1"/>
  <c r="AO401" i="1" s="1"/>
  <c r="AN402" i="1"/>
  <c r="AO402" i="1" s="1"/>
  <c r="AN403" i="1"/>
  <c r="AO403" i="1" s="1"/>
  <c r="AN404" i="1"/>
  <c r="AO404" i="1" s="1"/>
  <c r="AN405" i="1"/>
  <c r="AO405" i="1" s="1"/>
  <c r="AN406" i="1"/>
  <c r="AO406" i="1" s="1"/>
  <c r="AN407" i="1"/>
  <c r="AO407" i="1" s="1"/>
  <c r="AN408" i="1"/>
  <c r="AO408" i="1" s="1"/>
  <c r="AN409" i="1"/>
  <c r="AO409" i="1" s="1"/>
  <c r="AN410" i="1"/>
  <c r="AO410" i="1" s="1"/>
  <c r="AN411" i="1"/>
  <c r="AO411" i="1" s="1"/>
  <c r="AN412" i="1"/>
  <c r="AO412" i="1" s="1"/>
  <c r="AN413" i="1"/>
  <c r="AO413" i="1" s="1"/>
  <c r="AN414" i="1"/>
  <c r="AO414" i="1" s="1"/>
  <c r="AN415" i="1"/>
  <c r="AO415" i="1" s="1"/>
  <c r="AN416" i="1"/>
  <c r="AO416" i="1" s="1"/>
  <c r="AN417" i="1"/>
  <c r="AO417" i="1" s="1"/>
  <c r="AN418" i="1"/>
  <c r="AO418" i="1" s="1"/>
  <c r="AN419" i="1"/>
  <c r="AO419" i="1" s="1"/>
  <c r="AN420" i="1"/>
  <c r="AO420" i="1" s="1"/>
  <c r="AN421" i="1"/>
  <c r="AO421" i="1" s="1"/>
  <c r="AN422" i="1"/>
  <c r="AO422" i="1" s="1"/>
  <c r="AN423" i="1"/>
  <c r="AO423" i="1" s="1"/>
  <c r="AN424" i="1"/>
  <c r="AO424" i="1" s="1"/>
  <c r="AN425" i="1"/>
  <c r="AO425" i="1" s="1"/>
  <c r="AN426" i="1"/>
  <c r="AO426" i="1" s="1"/>
  <c r="AN427" i="1"/>
  <c r="AO427" i="1" s="1"/>
  <c r="AN428" i="1"/>
  <c r="AO428" i="1" s="1"/>
  <c r="AN429" i="1"/>
  <c r="AO429" i="1" s="1"/>
  <c r="AN430" i="1"/>
  <c r="AO430" i="1" s="1"/>
  <c r="AN431" i="1"/>
  <c r="AO431" i="1" s="1"/>
  <c r="AN432" i="1"/>
  <c r="AO432" i="1" s="1"/>
  <c r="AN433" i="1"/>
  <c r="AO433" i="1" s="1"/>
  <c r="AN434" i="1"/>
  <c r="AO434" i="1" s="1"/>
  <c r="AN435" i="1"/>
  <c r="AO435" i="1" s="1"/>
  <c r="AN436" i="1"/>
  <c r="AO436" i="1" s="1"/>
  <c r="AN437" i="1"/>
  <c r="AO437" i="1" s="1"/>
  <c r="AN438" i="1"/>
  <c r="AO438" i="1" s="1"/>
  <c r="AN439" i="1"/>
  <c r="AO439" i="1" s="1"/>
  <c r="AN440" i="1"/>
  <c r="AO440" i="1" s="1"/>
  <c r="AN441" i="1"/>
  <c r="AO441" i="1" s="1"/>
  <c r="AN442" i="1"/>
  <c r="AO442" i="1" s="1"/>
  <c r="AN443" i="1"/>
  <c r="AO443" i="1" s="1"/>
  <c r="AN444" i="1"/>
  <c r="AO444" i="1" s="1"/>
  <c r="AN445" i="1"/>
  <c r="AO445" i="1" s="1"/>
  <c r="AN446" i="1"/>
  <c r="AO446" i="1" s="1"/>
  <c r="AN447" i="1"/>
  <c r="AO447" i="1" s="1"/>
  <c r="AN448" i="1"/>
  <c r="AO448" i="1" s="1"/>
  <c r="AN449" i="1"/>
  <c r="AO449" i="1" s="1"/>
  <c r="AN450" i="1"/>
  <c r="AO450" i="1" s="1"/>
  <c r="AN451" i="1"/>
  <c r="AO451" i="1" s="1"/>
  <c r="AN452" i="1"/>
  <c r="AO452" i="1" s="1"/>
  <c r="AN453" i="1"/>
  <c r="AO453" i="1" s="1"/>
  <c r="AN454" i="1"/>
  <c r="AO454" i="1" s="1"/>
  <c r="AN455" i="1"/>
  <c r="AO455" i="1" s="1"/>
  <c r="AN456" i="1"/>
  <c r="AO456" i="1" s="1"/>
  <c r="AN457" i="1"/>
  <c r="AO457" i="1" s="1"/>
  <c r="AN458" i="1"/>
  <c r="AO458" i="1" s="1"/>
  <c r="AN459" i="1"/>
  <c r="AO459" i="1" s="1"/>
  <c r="AN460" i="1"/>
  <c r="AO460" i="1" s="1"/>
  <c r="AN461" i="1"/>
  <c r="AO461" i="1" s="1"/>
  <c r="AN462" i="1"/>
  <c r="AO462" i="1" s="1"/>
  <c r="AN463" i="1"/>
  <c r="AO463" i="1" s="1"/>
  <c r="AN464" i="1"/>
  <c r="AO464" i="1" s="1"/>
  <c r="AN465" i="1"/>
  <c r="AO465" i="1" s="1"/>
  <c r="AN466" i="1"/>
  <c r="AO466" i="1" s="1"/>
  <c r="AN467" i="1"/>
  <c r="AO467" i="1" s="1"/>
  <c r="AN468" i="1"/>
  <c r="AO468" i="1" s="1"/>
  <c r="AN469" i="1"/>
  <c r="AO469" i="1" s="1"/>
  <c r="AN470" i="1"/>
  <c r="AO470" i="1" s="1"/>
  <c r="AN471" i="1"/>
  <c r="AO471" i="1" s="1"/>
  <c r="AN472" i="1"/>
  <c r="AO472" i="1" s="1"/>
  <c r="AN473" i="1"/>
  <c r="AO473" i="1" s="1"/>
  <c r="AN474" i="1"/>
  <c r="AO474" i="1" s="1"/>
  <c r="AN475" i="1"/>
  <c r="AO475" i="1" s="1"/>
  <c r="AN476" i="1"/>
  <c r="AO476" i="1" s="1"/>
  <c r="AN477" i="1"/>
  <c r="AO477" i="1" s="1"/>
  <c r="AN478" i="1"/>
  <c r="AO478" i="1" s="1"/>
  <c r="AN479" i="1"/>
  <c r="AO479" i="1" s="1"/>
  <c r="AN480" i="1"/>
  <c r="AO480" i="1" s="1"/>
  <c r="AN481" i="1"/>
  <c r="AO481" i="1" s="1"/>
  <c r="AN482" i="1"/>
  <c r="AO482" i="1" s="1"/>
  <c r="AN483" i="1"/>
  <c r="AO483" i="1" s="1"/>
  <c r="AN484" i="1"/>
  <c r="AO484" i="1" s="1"/>
  <c r="AN485" i="1"/>
  <c r="AO485" i="1" s="1"/>
  <c r="AN486" i="1"/>
  <c r="AO486" i="1" s="1"/>
  <c r="AN487" i="1"/>
  <c r="AO487" i="1" s="1"/>
  <c r="AN488" i="1"/>
  <c r="AO488" i="1" s="1"/>
  <c r="AN489" i="1"/>
  <c r="AO489" i="1" s="1"/>
  <c r="AN490" i="1"/>
  <c r="AO490" i="1" s="1"/>
  <c r="AN491" i="1"/>
  <c r="AO491" i="1" s="1"/>
  <c r="AN492" i="1"/>
  <c r="AO492" i="1" s="1"/>
  <c r="AN493" i="1"/>
  <c r="AO493" i="1" s="1"/>
  <c r="AN494" i="1"/>
  <c r="AO494" i="1" s="1"/>
  <c r="AN495" i="1"/>
  <c r="AO495" i="1" s="1"/>
  <c r="AN496" i="1"/>
  <c r="AO496" i="1" s="1"/>
  <c r="AN497" i="1"/>
  <c r="AO497" i="1" s="1"/>
  <c r="AN498" i="1"/>
  <c r="AO498" i="1" s="1"/>
  <c r="AN499" i="1"/>
  <c r="AO499" i="1" s="1"/>
  <c r="AN500" i="1"/>
  <c r="AO500" i="1" s="1"/>
  <c r="AN501" i="1"/>
  <c r="AO501" i="1" s="1"/>
  <c r="AN502" i="1"/>
  <c r="AO502" i="1" s="1"/>
  <c r="AN503" i="1"/>
  <c r="AO503" i="1" s="1"/>
  <c r="AN504" i="1"/>
  <c r="AO504" i="1" s="1"/>
  <c r="AN505" i="1"/>
  <c r="AO505" i="1" s="1"/>
  <c r="AN506" i="1"/>
  <c r="AO506" i="1" s="1"/>
  <c r="AN507" i="1"/>
  <c r="AO507" i="1" s="1"/>
  <c r="AN508" i="1"/>
  <c r="AN509" i="1"/>
  <c r="AO509" i="1" s="1"/>
  <c r="AN510" i="1"/>
  <c r="AO510" i="1" s="1"/>
  <c r="AN511" i="1"/>
  <c r="AN512" i="1"/>
  <c r="AO512" i="1" s="1"/>
  <c r="AN513" i="1"/>
  <c r="AO513" i="1" s="1"/>
  <c r="AN514" i="1"/>
  <c r="AO514" i="1" s="1"/>
  <c r="AN515" i="1"/>
  <c r="AO515" i="1" s="1"/>
  <c r="AN516" i="1"/>
  <c r="AO516" i="1" s="1"/>
  <c r="AN517" i="1"/>
  <c r="AO517" i="1" s="1"/>
  <c r="AN518" i="1"/>
  <c r="AO518" i="1" s="1"/>
  <c r="AN519" i="1"/>
  <c r="AO519" i="1" s="1"/>
  <c r="AN520" i="1"/>
  <c r="AO520" i="1" s="1"/>
  <c r="AN521" i="1"/>
  <c r="AO521" i="1" s="1"/>
  <c r="AN522" i="1"/>
  <c r="AO522" i="1" s="1"/>
  <c r="AN523" i="1"/>
  <c r="AO523" i="1" s="1"/>
  <c r="AN524" i="1"/>
  <c r="AO524" i="1" s="1"/>
  <c r="AN525" i="1"/>
  <c r="AO525" i="1" s="1"/>
  <c r="AN526" i="1"/>
  <c r="AO526" i="1" s="1"/>
  <c r="AN527" i="1"/>
  <c r="AO527" i="1" s="1"/>
  <c r="AN528" i="1"/>
  <c r="AO528" i="1" s="1"/>
  <c r="AN529" i="1"/>
  <c r="AO529" i="1" s="1"/>
  <c r="AN530" i="1"/>
  <c r="AO530" i="1" s="1"/>
  <c r="AN531" i="1"/>
  <c r="AO531" i="1" s="1"/>
  <c r="AN532" i="1"/>
  <c r="AN533" i="1"/>
  <c r="AO533" i="1" s="1"/>
  <c r="AN534" i="1"/>
  <c r="AO534" i="1" s="1"/>
  <c r="AN535" i="1"/>
  <c r="AO535" i="1" s="1"/>
  <c r="AN536" i="1"/>
  <c r="AO536" i="1" s="1"/>
  <c r="AN537" i="1"/>
  <c r="AO537" i="1" s="1"/>
  <c r="AN538" i="1"/>
  <c r="AO538" i="1" s="1"/>
  <c r="AN539" i="1"/>
  <c r="AO539" i="1" s="1"/>
  <c r="AN540" i="1"/>
  <c r="AO540" i="1" s="1"/>
  <c r="AN541" i="1"/>
  <c r="AO541" i="1" s="1"/>
  <c r="AN542" i="1"/>
  <c r="AO542" i="1" s="1"/>
  <c r="AN543" i="1"/>
  <c r="AO543" i="1" s="1"/>
  <c r="AN544" i="1"/>
  <c r="AO544" i="1" s="1"/>
  <c r="AN545" i="1"/>
  <c r="AO545" i="1" s="1"/>
  <c r="AN546" i="1"/>
  <c r="AO546" i="1" s="1"/>
  <c r="AN547" i="1"/>
  <c r="AO547" i="1" s="1"/>
  <c r="AN548" i="1"/>
  <c r="AO548" i="1" s="1"/>
  <c r="AN549" i="1"/>
  <c r="AO549" i="1" s="1"/>
  <c r="AN550" i="1"/>
  <c r="AO550" i="1" s="1"/>
  <c r="AN551" i="1"/>
  <c r="AO551" i="1" s="1"/>
  <c r="AN552" i="1"/>
  <c r="AO552" i="1" s="1"/>
  <c r="AN553" i="1"/>
  <c r="AO553" i="1" s="1"/>
  <c r="AN554" i="1"/>
  <c r="AO554" i="1" s="1"/>
  <c r="AN555" i="1"/>
  <c r="AO555" i="1" s="1"/>
  <c r="AN556" i="1"/>
  <c r="AO556" i="1" s="1"/>
  <c r="AN557" i="1"/>
  <c r="AO557" i="1" s="1"/>
  <c r="AN558" i="1"/>
  <c r="AO558" i="1" s="1"/>
  <c r="AN559" i="1"/>
  <c r="AO559" i="1" s="1"/>
  <c r="AN560" i="1"/>
  <c r="AO560" i="1" s="1"/>
  <c r="AN561" i="1"/>
  <c r="AO561" i="1" s="1"/>
  <c r="AN562" i="1"/>
  <c r="AO562" i="1" s="1"/>
  <c r="AN563" i="1"/>
  <c r="AO563" i="1" s="1"/>
  <c r="AN564" i="1"/>
  <c r="AO564" i="1" s="1"/>
  <c r="AN565" i="1"/>
  <c r="AO565" i="1" s="1"/>
  <c r="AN566" i="1"/>
  <c r="AO566" i="1" s="1"/>
  <c r="AN567" i="1"/>
  <c r="AO567" i="1" s="1"/>
  <c r="AN568" i="1"/>
  <c r="AN569" i="1"/>
  <c r="AO569" i="1" s="1"/>
  <c r="AN570" i="1"/>
  <c r="AO570" i="1" s="1"/>
  <c r="AN571" i="1"/>
  <c r="AO571" i="1" s="1"/>
  <c r="AN572" i="1"/>
  <c r="AO572" i="1" s="1"/>
  <c r="AN573" i="1"/>
  <c r="AO573" i="1" s="1"/>
  <c r="AN574" i="1"/>
  <c r="AO574" i="1" s="1"/>
  <c r="AN575" i="1"/>
  <c r="AO575" i="1" s="1"/>
  <c r="AN576" i="1"/>
  <c r="AO576" i="1" s="1"/>
  <c r="AN577" i="1"/>
  <c r="AO577" i="1" s="1"/>
  <c r="AN578" i="1"/>
  <c r="AO578" i="1" s="1"/>
  <c r="AN579" i="1"/>
  <c r="AO579" i="1" s="1"/>
  <c r="AN580" i="1"/>
  <c r="AO580" i="1" s="1"/>
  <c r="AN581" i="1"/>
  <c r="AO581" i="1" s="1"/>
  <c r="AN582" i="1"/>
  <c r="AO582" i="1" s="1"/>
  <c r="AN583" i="1"/>
  <c r="AO583" i="1" s="1"/>
  <c r="AN584" i="1"/>
  <c r="AO584" i="1" s="1"/>
  <c r="AN585" i="1"/>
  <c r="AO585" i="1" s="1"/>
  <c r="AN586" i="1"/>
  <c r="AO586" i="1" s="1"/>
  <c r="AN587" i="1"/>
  <c r="AO587" i="1" s="1"/>
  <c r="AN588" i="1"/>
  <c r="AO588" i="1" s="1"/>
  <c r="AN589" i="1"/>
  <c r="AO589" i="1" s="1"/>
  <c r="AN590" i="1"/>
  <c r="AO590" i="1" s="1"/>
  <c r="AN591" i="1"/>
  <c r="AO591" i="1" s="1"/>
  <c r="AN592" i="1"/>
  <c r="AO592" i="1" s="1"/>
  <c r="AN593" i="1"/>
  <c r="AO593" i="1" s="1"/>
  <c r="AN594" i="1"/>
  <c r="AO594" i="1" s="1"/>
  <c r="AN595" i="1"/>
  <c r="AO595" i="1" s="1"/>
  <c r="AN596" i="1"/>
  <c r="AO596" i="1" s="1"/>
  <c r="AN597" i="1"/>
  <c r="AO597" i="1" s="1"/>
  <c r="AN598" i="1"/>
  <c r="AO598" i="1" s="1"/>
  <c r="AN599" i="1"/>
  <c r="AO599" i="1" s="1"/>
  <c r="AN600" i="1"/>
  <c r="AO600" i="1" s="1"/>
  <c r="AN601" i="1"/>
  <c r="AO601" i="1" s="1"/>
  <c r="AN602" i="1"/>
  <c r="AO602" i="1" s="1"/>
  <c r="AN603" i="1"/>
  <c r="AO603" i="1" s="1"/>
  <c r="AN604" i="1"/>
  <c r="AO604" i="1" s="1"/>
  <c r="AN605" i="1"/>
  <c r="AO605" i="1" s="1"/>
  <c r="AN606" i="1"/>
  <c r="AO606" i="1" s="1"/>
  <c r="AN607" i="1"/>
  <c r="AO607" i="1" s="1"/>
  <c r="AN608" i="1"/>
  <c r="AO608" i="1" s="1"/>
  <c r="AN609" i="1"/>
  <c r="AO609" i="1" s="1"/>
  <c r="AN610" i="1"/>
  <c r="AO610" i="1" s="1"/>
  <c r="AN611" i="1"/>
  <c r="AO611" i="1" s="1"/>
  <c r="AN612" i="1"/>
  <c r="AO612" i="1" s="1"/>
  <c r="AN613" i="1"/>
  <c r="AO613" i="1" s="1"/>
  <c r="AN614" i="1"/>
  <c r="AO614" i="1" s="1"/>
  <c r="AN615" i="1"/>
  <c r="AO615" i="1" s="1"/>
  <c r="AN616" i="1"/>
  <c r="AO616" i="1" s="1"/>
  <c r="AN617" i="1"/>
  <c r="AO617" i="1" s="1"/>
  <c r="AN618" i="1"/>
  <c r="AO618" i="1" s="1"/>
  <c r="AN619" i="1"/>
  <c r="AO619" i="1" s="1"/>
  <c r="AN620" i="1"/>
  <c r="AO620" i="1" s="1"/>
  <c r="AN621" i="1"/>
  <c r="AO621" i="1" s="1"/>
  <c r="AN622" i="1"/>
  <c r="AO622" i="1" s="1"/>
  <c r="AN623" i="1"/>
  <c r="AO623" i="1" s="1"/>
  <c r="AN624" i="1"/>
  <c r="AO624" i="1" s="1"/>
  <c r="AN625" i="1"/>
  <c r="AO625" i="1" s="1"/>
  <c r="AN626" i="1"/>
  <c r="AO626" i="1" s="1"/>
  <c r="AN627" i="1"/>
  <c r="AO627" i="1" s="1"/>
  <c r="AN628" i="1"/>
  <c r="AO628" i="1" s="1"/>
  <c r="AN629" i="1"/>
  <c r="AO629" i="1" s="1"/>
  <c r="AN630" i="1"/>
  <c r="AO630" i="1" s="1"/>
  <c r="AN631" i="1"/>
  <c r="AO631" i="1" s="1"/>
  <c r="AN632" i="1"/>
  <c r="AO632" i="1" s="1"/>
  <c r="AN633" i="1"/>
  <c r="AO633" i="1" s="1"/>
  <c r="AN634" i="1"/>
  <c r="AO634" i="1" s="1"/>
  <c r="AN635" i="1"/>
  <c r="AO635" i="1" s="1"/>
  <c r="AN636" i="1"/>
  <c r="AO636" i="1" s="1"/>
  <c r="AN637" i="1"/>
  <c r="AO637" i="1" s="1"/>
  <c r="AN638" i="1"/>
  <c r="AO638" i="1" s="1"/>
  <c r="AN639" i="1"/>
  <c r="AO639" i="1" s="1"/>
  <c r="AN640" i="1"/>
  <c r="AO640" i="1" s="1"/>
  <c r="AN641" i="1"/>
  <c r="AO641" i="1" s="1"/>
  <c r="AN642" i="1"/>
  <c r="AO642" i="1" s="1"/>
  <c r="AN643" i="1"/>
  <c r="AO643" i="1" s="1"/>
  <c r="AN644" i="1"/>
  <c r="AO644" i="1" s="1"/>
  <c r="AN645" i="1"/>
  <c r="AO645" i="1" s="1"/>
  <c r="AN646" i="1"/>
  <c r="AO646" i="1" s="1"/>
  <c r="AN647" i="1"/>
  <c r="AO647" i="1" s="1"/>
  <c r="AN648" i="1"/>
  <c r="AO648" i="1" s="1"/>
  <c r="AN649" i="1"/>
  <c r="AO649" i="1" s="1"/>
  <c r="AN650" i="1"/>
  <c r="AO650" i="1" s="1"/>
  <c r="AN651" i="1"/>
  <c r="AO651" i="1" s="1"/>
  <c r="AN652" i="1"/>
  <c r="AO652" i="1" s="1"/>
  <c r="AN653" i="1"/>
  <c r="AO653" i="1" s="1"/>
  <c r="AN654" i="1"/>
  <c r="AO654" i="1" s="1"/>
  <c r="AN655" i="1"/>
  <c r="AO655" i="1" s="1"/>
  <c r="AN656" i="1"/>
  <c r="AO656" i="1" s="1"/>
  <c r="AN657" i="1"/>
  <c r="AO657" i="1" s="1"/>
  <c r="AN658" i="1"/>
  <c r="AO658" i="1" s="1"/>
  <c r="AN659" i="1"/>
  <c r="AO659" i="1" s="1"/>
  <c r="AN660" i="1"/>
  <c r="AO660" i="1" s="1"/>
  <c r="AN661" i="1"/>
  <c r="AO661" i="1" s="1"/>
  <c r="AN662" i="1"/>
  <c r="AO662" i="1" s="1"/>
  <c r="AN663" i="1"/>
  <c r="AO663" i="1" s="1"/>
  <c r="AN664" i="1"/>
  <c r="AO664" i="1" s="1"/>
  <c r="AN665" i="1"/>
  <c r="AO665" i="1" s="1"/>
  <c r="AN666" i="1"/>
  <c r="AO666" i="1" s="1"/>
  <c r="AN667" i="1"/>
  <c r="AO667" i="1" s="1"/>
  <c r="AN668" i="1"/>
  <c r="AO668" i="1" s="1"/>
  <c r="AN669" i="1"/>
  <c r="AO669" i="1" s="1"/>
  <c r="AN670" i="1"/>
  <c r="AO670" i="1" s="1"/>
  <c r="AN671" i="1"/>
  <c r="AO671" i="1" s="1"/>
  <c r="AN672" i="1"/>
  <c r="AO672" i="1" s="1"/>
  <c r="AN673" i="1"/>
  <c r="AO673" i="1" s="1"/>
  <c r="AN674" i="1"/>
  <c r="AO674" i="1" s="1"/>
  <c r="AN675" i="1"/>
  <c r="AO675" i="1" s="1"/>
  <c r="AN676" i="1"/>
  <c r="AO676" i="1" s="1"/>
  <c r="AN677" i="1"/>
  <c r="AO677" i="1" s="1"/>
  <c r="AN678" i="1"/>
  <c r="AO678" i="1" s="1"/>
  <c r="AN679" i="1"/>
  <c r="AO679" i="1" s="1"/>
  <c r="AN680" i="1"/>
  <c r="AO680" i="1" s="1"/>
  <c r="AN681" i="1"/>
  <c r="AO681" i="1" s="1"/>
  <c r="AN682" i="1"/>
  <c r="AO682" i="1" s="1"/>
  <c r="AN683" i="1"/>
  <c r="AO683" i="1" s="1"/>
  <c r="AN684" i="1"/>
  <c r="AO684" i="1" s="1"/>
  <c r="AN685" i="1"/>
  <c r="AO685" i="1" s="1"/>
  <c r="AN686" i="1"/>
  <c r="AO686" i="1" s="1"/>
  <c r="AN687" i="1"/>
  <c r="AO687" i="1" s="1"/>
  <c r="AN688" i="1"/>
  <c r="AO688" i="1" s="1"/>
  <c r="AN689" i="1"/>
  <c r="AO689" i="1" s="1"/>
  <c r="AN690" i="1"/>
  <c r="AO690" i="1" s="1"/>
  <c r="AN691" i="1"/>
  <c r="AO691" i="1" s="1"/>
  <c r="AN692" i="1"/>
  <c r="AO692" i="1" s="1"/>
  <c r="AN693" i="1"/>
  <c r="AO693" i="1" s="1"/>
  <c r="AN694" i="1"/>
  <c r="AO694" i="1" s="1"/>
  <c r="AN695" i="1"/>
  <c r="AO695" i="1" s="1"/>
  <c r="AN696" i="1"/>
  <c r="AO696" i="1" s="1"/>
  <c r="AN697" i="1"/>
  <c r="AO697" i="1" s="1"/>
  <c r="AN698" i="1"/>
  <c r="AO698" i="1" s="1"/>
  <c r="AN699" i="1"/>
  <c r="AO699" i="1" s="1"/>
  <c r="AN700" i="1"/>
  <c r="AO700" i="1" s="1"/>
  <c r="AN701" i="1"/>
  <c r="AO701" i="1" s="1"/>
  <c r="AN702" i="1"/>
  <c r="AO702" i="1" s="1"/>
  <c r="AN703" i="1"/>
  <c r="AO703" i="1" s="1"/>
  <c r="AN704" i="1"/>
  <c r="AO704" i="1" s="1"/>
  <c r="AN705" i="1"/>
  <c r="AO705" i="1" s="1"/>
  <c r="AN706" i="1"/>
  <c r="AO706" i="1" s="1"/>
  <c r="AN707" i="1"/>
  <c r="AO707" i="1" s="1"/>
  <c r="AN708" i="1"/>
  <c r="AO708" i="1" s="1"/>
  <c r="AN709" i="1"/>
  <c r="AO709" i="1" s="1"/>
  <c r="AN710" i="1"/>
  <c r="AO710" i="1" s="1"/>
  <c r="AN711" i="1"/>
  <c r="AO711" i="1" s="1"/>
  <c r="AN712" i="1"/>
  <c r="AO712" i="1" s="1"/>
  <c r="AN713" i="1"/>
  <c r="AO713" i="1" s="1"/>
  <c r="AN714" i="1"/>
  <c r="AO714" i="1" s="1"/>
  <c r="AN715" i="1"/>
  <c r="AO715" i="1" s="1"/>
  <c r="AN716" i="1"/>
  <c r="AO716" i="1" s="1"/>
  <c r="AN717" i="1"/>
  <c r="AO717" i="1" s="1"/>
  <c r="AN718" i="1"/>
  <c r="AO718" i="1" s="1"/>
  <c r="AN719" i="1"/>
  <c r="AO719" i="1" s="1"/>
  <c r="AN720" i="1"/>
  <c r="AO720" i="1" s="1"/>
  <c r="AN721" i="1"/>
  <c r="AO721" i="1" s="1"/>
  <c r="AN722" i="1"/>
  <c r="AO722" i="1" s="1"/>
  <c r="AN723" i="1"/>
  <c r="AO723" i="1" s="1"/>
  <c r="AN724" i="1"/>
  <c r="AO724" i="1" s="1"/>
  <c r="AN725" i="1"/>
  <c r="AO725" i="1" s="1"/>
  <c r="AN726" i="1"/>
  <c r="AO726" i="1" s="1"/>
  <c r="AN727" i="1"/>
  <c r="AO727" i="1" s="1"/>
  <c r="AN728" i="1"/>
  <c r="AO728" i="1" s="1"/>
  <c r="AN729" i="1"/>
  <c r="AO729" i="1" s="1"/>
  <c r="AN730" i="1"/>
  <c r="AO730" i="1" s="1"/>
  <c r="AN731" i="1"/>
  <c r="AO731" i="1" s="1"/>
  <c r="AN732" i="1"/>
  <c r="AO732" i="1" s="1"/>
  <c r="AN733" i="1"/>
  <c r="AO733" i="1" s="1"/>
  <c r="AN734" i="1"/>
  <c r="AO734" i="1" s="1"/>
  <c r="AN735" i="1"/>
  <c r="AO735" i="1" s="1"/>
  <c r="AN736" i="1"/>
  <c r="AO736" i="1" s="1"/>
  <c r="AN737" i="1"/>
  <c r="AO737" i="1" s="1"/>
  <c r="AN738" i="1"/>
  <c r="AO738" i="1" s="1"/>
  <c r="AN739" i="1"/>
  <c r="AO739" i="1" s="1"/>
  <c r="AN740" i="1"/>
  <c r="AO740" i="1" s="1"/>
  <c r="AN741" i="1"/>
  <c r="AO741" i="1" s="1"/>
  <c r="AN742" i="1"/>
  <c r="AO742" i="1" s="1"/>
  <c r="AN743" i="1"/>
  <c r="AO743" i="1" s="1"/>
  <c r="AN744" i="1"/>
  <c r="AO744" i="1" s="1"/>
  <c r="AN745" i="1"/>
  <c r="AO745" i="1" s="1"/>
  <c r="AN746" i="1"/>
  <c r="AO746" i="1" s="1"/>
  <c r="AN747" i="1"/>
  <c r="AO747" i="1" s="1"/>
  <c r="AN748" i="1"/>
  <c r="AO748" i="1" s="1"/>
  <c r="AN749" i="1"/>
  <c r="AO749" i="1" s="1"/>
  <c r="AN750" i="1"/>
  <c r="AO750" i="1" s="1"/>
  <c r="AN751" i="1"/>
  <c r="AO751" i="1" s="1"/>
  <c r="AN752" i="1"/>
  <c r="AO752" i="1" s="1"/>
  <c r="AN753" i="1"/>
  <c r="AO753" i="1" s="1"/>
  <c r="AN754" i="1"/>
  <c r="AO754" i="1" s="1"/>
  <c r="AN755" i="1"/>
  <c r="AO755" i="1" s="1"/>
  <c r="AN756" i="1"/>
  <c r="AO756" i="1" s="1"/>
  <c r="AN757" i="1"/>
  <c r="AO757" i="1" s="1"/>
  <c r="AN758" i="1"/>
  <c r="AO758" i="1" s="1"/>
  <c r="AN759" i="1"/>
  <c r="AO759" i="1" s="1"/>
  <c r="AN760" i="1"/>
  <c r="AO760" i="1" s="1"/>
  <c r="AN761" i="1"/>
  <c r="AO761" i="1" s="1"/>
  <c r="AN762" i="1"/>
  <c r="AO762" i="1" s="1"/>
  <c r="AN763" i="1"/>
  <c r="AO763" i="1" s="1"/>
  <c r="AN764" i="1"/>
  <c r="AO764" i="1" s="1"/>
  <c r="AN765" i="1"/>
  <c r="AO765" i="1" s="1"/>
  <c r="AN766" i="1"/>
  <c r="AO766" i="1" s="1"/>
  <c r="AN767" i="1"/>
  <c r="AO767" i="1" s="1"/>
  <c r="AN768" i="1"/>
  <c r="AO768" i="1" s="1"/>
  <c r="AN769" i="1"/>
  <c r="AO769" i="1" s="1"/>
  <c r="AN770" i="1"/>
  <c r="AO770" i="1" s="1"/>
  <c r="AN771" i="1"/>
  <c r="AO771" i="1" s="1"/>
  <c r="AN772" i="1"/>
  <c r="AN773" i="1"/>
  <c r="AN774" i="1"/>
  <c r="AO774" i="1" s="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Z9"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Z32" i="1" s="1"/>
  <c r="Y33" i="1"/>
  <c r="Y34" i="1"/>
  <c r="Y35" i="1"/>
  <c r="Y36" i="1"/>
  <c r="Y37" i="1"/>
  <c r="Y38" i="1"/>
  <c r="Y39" i="1"/>
  <c r="Y40" i="1"/>
  <c r="Y41" i="1"/>
  <c r="Y42" i="1"/>
  <c r="Y43" i="1"/>
  <c r="Y44" i="1"/>
  <c r="Z44" i="1" s="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Z536" i="1" s="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Z638" i="1" s="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X3" i="1"/>
  <c r="X4" i="1"/>
  <c r="X5" i="1"/>
  <c r="Z5" i="1" s="1"/>
  <c r="X6" i="1"/>
  <c r="Z6" i="1" s="1"/>
  <c r="X7" i="1"/>
  <c r="Z7" i="1" s="1"/>
  <c r="X8" i="1"/>
  <c r="X9" i="1"/>
  <c r="X10" i="1"/>
  <c r="X11" i="1"/>
  <c r="X12" i="1"/>
  <c r="Z12" i="1" s="1"/>
  <c r="X13" i="1"/>
  <c r="X14" i="1"/>
  <c r="X15" i="1"/>
  <c r="X16" i="1"/>
  <c r="X17" i="1"/>
  <c r="X18" i="1"/>
  <c r="Z18" i="1" s="1"/>
  <c r="X19" i="1"/>
  <c r="Z19" i="1" s="1"/>
  <c r="X20" i="1"/>
  <c r="X21" i="1"/>
  <c r="Z21" i="1" s="1"/>
  <c r="X22" i="1"/>
  <c r="X23" i="1"/>
  <c r="X24" i="1"/>
  <c r="Z24" i="1" s="1"/>
  <c r="X25" i="1"/>
  <c r="X26" i="1"/>
  <c r="X27" i="1"/>
  <c r="X28" i="1"/>
  <c r="X29" i="1"/>
  <c r="X30" i="1"/>
  <c r="Z30" i="1" s="1"/>
  <c r="X31" i="1"/>
  <c r="Z31" i="1" s="1"/>
  <c r="X32" i="1"/>
  <c r="X33" i="1"/>
  <c r="Z33" i="1" s="1"/>
  <c r="X34" i="1"/>
  <c r="X35" i="1"/>
  <c r="X36" i="1"/>
  <c r="Z36" i="1" s="1"/>
  <c r="X37" i="1"/>
  <c r="X38" i="1"/>
  <c r="X39" i="1"/>
  <c r="X40" i="1"/>
  <c r="X41" i="1"/>
  <c r="X42" i="1"/>
  <c r="Z42" i="1" s="1"/>
  <c r="X43" i="1"/>
  <c r="Z43" i="1" s="1"/>
  <c r="X44" i="1"/>
  <c r="X45" i="1"/>
  <c r="Z45" i="1" s="1"/>
  <c r="X46" i="1"/>
  <c r="Z46" i="1" s="1"/>
  <c r="X47" i="1"/>
  <c r="X48" i="1"/>
  <c r="Z48" i="1" s="1"/>
  <c r="X49" i="1"/>
  <c r="X50" i="1"/>
  <c r="X51" i="1"/>
  <c r="X52" i="1"/>
  <c r="X53" i="1"/>
  <c r="X54" i="1"/>
  <c r="Z54" i="1" s="1"/>
  <c r="X55" i="1"/>
  <c r="Z55" i="1" s="1"/>
  <c r="X56" i="1"/>
  <c r="X57" i="1"/>
  <c r="Z57" i="1" s="1"/>
  <c r="X58" i="1"/>
  <c r="X59" i="1"/>
  <c r="X60" i="1"/>
  <c r="Z60" i="1" s="1"/>
  <c r="X61" i="1"/>
  <c r="X62" i="1"/>
  <c r="X63" i="1"/>
  <c r="X64" i="1"/>
  <c r="X65" i="1"/>
  <c r="Z65" i="1" s="1"/>
  <c r="X66" i="1"/>
  <c r="Z66" i="1" s="1"/>
  <c r="X67" i="1"/>
  <c r="Z67" i="1" s="1"/>
  <c r="X68" i="1"/>
  <c r="X69" i="1"/>
  <c r="Z69" i="1" s="1"/>
  <c r="X70" i="1"/>
  <c r="X71" i="1"/>
  <c r="X72" i="1"/>
  <c r="Z72" i="1" s="1"/>
  <c r="X73" i="1"/>
  <c r="X74" i="1"/>
  <c r="X75" i="1"/>
  <c r="X76" i="1"/>
  <c r="X77" i="1"/>
  <c r="X78" i="1"/>
  <c r="Z78" i="1" s="1"/>
  <c r="X79" i="1"/>
  <c r="Z79" i="1" s="1"/>
  <c r="X80" i="1"/>
  <c r="X81" i="1"/>
  <c r="Z81" i="1" s="1"/>
  <c r="X82" i="1"/>
  <c r="Z82" i="1" s="1"/>
  <c r="X83" i="1"/>
  <c r="X84" i="1"/>
  <c r="Z84" i="1" s="1"/>
  <c r="X85" i="1"/>
  <c r="X86" i="1"/>
  <c r="X87" i="1"/>
  <c r="X88" i="1"/>
  <c r="X89" i="1"/>
  <c r="X90" i="1"/>
  <c r="Z90" i="1" s="1"/>
  <c r="X91" i="1"/>
  <c r="Z91" i="1" s="1"/>
  <c r="X92" i="1"/>
  <c r="X93" i="1"/>
  <c r="Z93" i="1" s="1"/>
  <c r="X94" i="1"/>
  <c r="X95" i="1"/>
  <c r="X96" i="1"/>
  <c r="Z96" i="1" s="1"/>
  <c r="X97" i="1"/>
  <c r="X98" i="1"/>
  <c r="X99" i="1"/>
  <c r="X100" i="1"/>
  <c r="X101" i="1"/>
  <c r="X102" i="1"/>
  <c r="Z102" i="1" s="1"/>
  <c r="X103" i="1"/>
  <c r="Z103" i="1" s="1"/>
  <c r="X104" i="1"/>
  <c r="X105" i="1"/>
  <c r="Z105" i="1" s="1"/>
  <c r="X106" i="1"/>
  <c r="X107" i="1"/>
  <c r="X108" i="1"/>
  <c r="Z108" i="1" s="1"/>
  <c r="X109" i="1"/>
  <c r="X110" i="1"/>
  <c r="X111" i="1"/>
  <c r="X112" i="1"/>
  <c r="X113" i="1"/>
  <c r="X114" i="1"/>
  <c r="Z114" i="1" s="1"/>
  <c r="X115" i="1"/>
  <c r="Z115" i="1" s="1"/>
  <c r="X116" i="1"/>
  <c r="X117" i="1"/>
  <c r="Z117" i="1" s="1"/>
  <c r="X118" i="1"/>
  <c r="X119" i="1"/>
  <c r="X120" i="1"/>
  <c r="Z120" i="1" s="1"/>
  <c r="X121" i="1"/>
  <c r="X122" i="1"/>
  <c r="X123" i="1"/>
  <c r="X124" i="1"/>
  <c r="X125" i="1"/>
  <c r="Z125" i="1" s="1"/>
  <c r="X126" i="1"/>
  <c r="Z126" i="1" s="1"/>
  <c r="X127" i="1"/>
  <c r="Z127" i="1" s="1"/>
  <c r="X128" i="1"/>
  <c r="X129" i="1"/>
  <c r="Z129" i="1" s="1"/>
  <c r="X130" i="1"/>
  <c r="X131" i="1"/>
  <c r="X132" i="1"/>
  <c r="Z132" i="1" s="1"/>
  <c r="X133" i="1"/>
  <c r="X134" i="1"/>
  <c r="X135" i="1"/>
  <c r="X136" i="1"/>
  <c r="X137" i="1"/>
  <c r="X138" i="1"/>
  <c r="Z138" i="1" s="1"/>
  <c r="X139" i="1"/>
  <c r="Z139" i="1" s="1"/>
  <c r="X140" i="1"/>
  <c r="X141" i="1"/>
  <c r="Z141" i="1" s="1"/>
  <c r="X142" i="1"/>
  <c r="Z142" i="1" s="1"/>
  <c r="AB142" i="1" s="1"/>
  <c r="X143" i="1"/>
  <c r="X144" i="1"/>
  <c r="Z144" i="1" s="1"/>
  <c r="X145" i="1"/>
  <c r="X146" i="1"/>
  <c r="X147" i="1"/>
  <c r="X148" i="1"/>
  <c r="X149" i="1"/>
  <c r="X150" i="1"/>
  <c r="Z150" i="1" s="1"/>
  <c r="X151" i="1"/>
  <c r="Z151" i="1" s="1"/>
  <c r="X152" i="1"/>
  <c r="X153" i="1"/>
  <c r="Z153" i="1" s="1"/>
  <c r="X154" i="1"/>
  <c r="X155" i="1"/>
  <c r="X156" i="1"/>
  <c r="Z156" i="1" s="1"/>
  <c r="X157" i="1"/>
  <c r="X158" i="1"/>
  <c r="X159" i="1"/>
  <c r="X160" i="1"/>
  <c r="X161" i="1"/>
  <c r="X162" i="1"/>
  <c r="Z162" i="1" s="1"/>
  <c r="X163" i="1"/>
  <c r="Z163" i="1" s="1"/>
  <c r="X164" i="1"/>
  <c r="X165" i="1"/>
  <c r="Z165" i="1" s="1"/>
  <c r="X166" i="1"/>
  <c r="X167" i="1"/>
  <c r="X168" i="1"/>
  <c r="Z168" i="1" s="1"/>
  <c r="X169" i="1"/>
  <c r="X170" i="1"/>
  <c r="X171" i="1"/>
  <c r="X172" i="1"/>
  <c r="X173" i="1"/>
  <c r="X174" i="1"/>
  <c r="Z174" i="1" s="1"/>
  <c r="X175" i="1"/>
  <c r="Z175" i="1" s="1"/>
  <c r="X176" i="1"/>
  <c r="X177" i="1"/>
  <c r="Z177" i="1" s="1"/>
  <c r="X178" i="1"/>
  <c r="Z178" i="1" s="1"/>
  <c r="X179" i="1"/>
  <c r="Z179" i="1" s="1"/>
  <c r="X180" i="1"/>
  <c r="Z180" i="1" s="1"/>
  <c r="X181" i="1"/>
  <c r="X182" i="1"/>
  <c r="X183" i="1"/>
  <c r="X184" i="1"/>
  <c r="X185" i="1"/>
  <c r="X186" i="1"/>
  <c r="Z186" i="1" s="1"/>
  <c r="X187" i="1"/>
  <c r="Z187" i="1" s="1"/>
  <c r="X188" i="1"/>
  <c r="X189" i="1"/>
  <c r="Z189" i="1" s="1"/>
  <c r="X190" i="1"/>
  <c r="X191" i="1"/>
  <c r="X192" i="1"/>
  <c r="Z192" i="1" s="1"/>
  <c r="X193" i="1"/>
  <c r="X194" i="1"/>
  <c r="X195" i="1"/>
  <c r="X196" i="1"/>
  <c r="X197" i="1"/>
  <c r="Z197" i="1" s="1"/>
  <c r="X198" i="1"/>
  <c r="Z198" i="1" s="1"/>
  <c r="X199" i="1"/>
  <c r="Z199" i="1" s="1"/>
  <c r="X200" i="1"/>
  <c r="X201" i="1"/>
  <c r="Z201" i="1" s="1"/>
  <c r="X202" i="1"/>
  <c r="Z202" i="1" s="1"/>
  <c r="X203" i="1"/>
  <c r="X204" i="1"/>
  <c r="Z204" i="1" s="1"/>
  <c r="X205" i="1"/>
  <c r="X206" i="1"/>
  <c r="X207" i="1"/>
  <c r="X208" i="1"/>
  <c r="X209" i="1"/>
  <c r="X210" i="1"/>
  <c r="Z210" i="1" s="1"/>
  <c r="X211" i="1"/>
  <c r="Z211" i="1" s="1"/>
  <c r="X212" i="1"/>
  <c r="X213" i="1"/>
  <c r="Z213" i="1" s="1"/>
  <c r="X214" i="1"/>
  <c r="X215" i="1"/>
  <c r="X216" i="1"/>
  <c r="Z216" i="1" s="1"/>
  <c r="X217" i="1"/>
  <c r="X218" i="1"/>
  <c r="X219" i="1"/>
  <c r="X220" i="1"/>
  <c r="X221" i="1"/>
  <c r="X222" i="1"/>
  <c r="Z222" i="1" s="1"/>
  <c r="X223" i="1"/>
  <c r="Z223" i="1" s="1"/>
  <c r="X224" i="1"/>
  <c r="X225" i="1"/>
  <c r="Z225" i="1" s="1"/>
  <c r="X226" i="1"/>
  <c r="X227" i="1"/>
  <c r="X228" i="1"/>
  <c r="Z228" i="1" s="1"/>
  <c r="X229" i="1"/>
  <c r="X230" i="1"/>
  <c r="X231" i="1"/>
  <c r="X232" i="1"/>
  <c r="X233" i="1"/>
  <c r="X234" i="1"/>
  <c r="Z234" i="1" s="1"/>
  <c r="X235" i="1"/>
  <c r="Z235" i="1" s="1"/>
  <c r="X236" i="1"/>
  <c r="X237" i="1"/>
  <c r="Z237" i="1" s="1"/>
  <c r="X238" i="1"/>
  <c r="Z238" i="1" s="1"/>
  <c r="X239" i="1"/>
  <c r="X240" i="1"/>
  <c r="Z240" i="1" s="1"/>
  <c r="X241" i="1"/>
  <c r="X242" i="1"/>
  <c r="X243" i="1"/>
  <c r="X244" i="1"/>
  <c r="X245" i="1"/>
  <c r="X246" i="1"/>
  <c r="Z246" i="1" s="1"/>
  <c r="X247" i="1"/>
  <c r="Z247" i="1" s="1"/>
  <c r="X248" i="1"/>
  <c r="X249" i="1"/>
  <c r="Z249" i="1" s="1"/>
  <c r="X250" i="1"/>
  <c r="Z250" i="1" s="1"/>
  <c r="X251" i="1"/>
  <c r="X252" i="1"/>
  <c r="Z252" i="1" s="1"/>
  <c r="X253" i="1"/>
  <c r="X254" i="1"/>
  <c r="X255" i="1"/>
  <c r="X256" i="1"/>
  <c r="X257" i="1"/>
  <c r="X258" i="1"/>
  <c r="Z258" i="1" s="1"/>
  <c r="AB258" i="1" s="1"/>
  <c r="X259" i="1"/>
  <c r="Z259" i="1" s="1"/>
  <c r="X260" i="1"/>
  <c r="X261" i="1"/>
  <c r="Z261" i="1" s="1"/>
  <c r="X262" i="1"/>
  <c r="X263" i="1"/>
  <c r="X264" i="1"/>
  <c r="Z264" i="1" s="1"/>
  <c r="X265" i="1"/>
  <c r="X266" i="1"/>
  <c r="X267" i="1"/>
  <c r="X268" i="1"/>
  <c r="X269" i="1"/>
  <c r="X270" i="1"/>
  <c r="Z270" i="1" s="1"/>
  <c r="X271" i="1"/>
  <c r="Z271" i="1" s="1"/>
  <c r="X272" i="1"/>
  <c r="X273" i="1"/>
  <c r="Z273" i="1" s="1"/>
  <c r="X274" i="1"/>
  <c r="Z274" i="1" s="1"/>
  <c r="X275" i="1"/>
  <c r="X276" i="1"/>
  <c r="Z276" i="1" s="1"/>
  <c r="X277" i="1"/>
  <c r="X278" i="1"/>
  <c r="X279" i="1"/>
  <c r="X280" i="1"/>
  <c r="X281" i="1"/>
  <c r="X282" i="1"/>
  <c r="Z282" i="1" s="1"/>
  <c r="X283" i="1"/>
  <c r="Z283" i="1" s="1"/>
  <c r="X284" i="1"/>
  <c r="X285" i="1"/>
  <c r="Z285" i="1" s="1"/>
  <c r="X286" i="1"/>
  <c r="Z286" i="1" s="1"/>
  <c r="X287" i="1"/>
  <c r="X288" i="1"/>
  <c r="Z288" i="1" s="1"/>
  <c r="X289" i="1"/>
  <c r="Z289" i="1" s="1"/>
  <c r="X290" i="1"/>
  <c r="X291" i="1"/>
  <c r="X292" i="1"/>
  <c r="X293" i="1"/>
  <c r="X294" i="1"/>
  <c r="Z294" i="1" s="1"/>
  <c r="X295" i="1"/>
  <c r="Z295" i="1" s="1"/>
  <c r="X296" i="1"/>
  <c r="X297" i="1"/>
  <c r="Z297" i="1" s="1"/>
  <c r="X298" i="1"/>
  <c r="Z298" i="1" s="1"/>
  <c r="X299" i="1"/>
  <c r="X300" i="1"/>
  <c r="Z300" i="1" s="1"/>
  <c r="X301" i="1"/>
  <c r="Z301" i="1" s="1"/>
  <c r="X302" i="1"/>
  <c r="X303" i="1"/>
  <c r="X304" i="1"/>
  <c r="X305" i="1"/>
  <c r="X306" i="1"/>
  <c r="Z306" i="1" s="1"/>
  <c r="X307" i="1"/>
  <c r="Z307" i="1" s="1"/>
  <c r="X308" i="1"/>
  <c r="X309" i="1"/>
  <c r="Z309" i="1" s="1"/>
  <c r="X310" i="1"/>
  <c r="Z310" i="1" s="1"/>
  <c r="X311" i="1"/>
  <c r="X312" i="1"/>
  <c r="Z312" i="1" s="1"/>
  <c r="X313" i="1"/>
  <c r="Z313" i="1" s="1"/>
  <c r="X314" i="1"/>
  <c r="X315" i="1"/>
  <c r="X316" i="1"/>
  <c r="X317" i="1"/>
  <c r="X318" i="1"/>
  <c r="Z318" i="1" s="1"/>
  <c r="X319" i="1"/>
  <c r="Z319" i="1" s="1"/>
  <c r="X320" i="1"/>
  <c r="X321" i="1"/>
  <c r="Z321" i="1" s="1"/>
  <c r="X322" i="1"/>
  <c r="Z322" i="1" s="1"/>
  <c r="X323" i="1"/>
  <c r="X324" i="1"/>
  <c r="Z324" i="1" s="1"/>
  <c r="X325" i="1"/>
  <c r="Z325" i="1" s="1"/>
  <c r="X326" i="1"/>
  <c r="X327" i="1"/>
  <c r="X328" i="1"/>
  <c r="X329" i="1"/>
  <c r="X330" i="1"/>
  <c r="Z330" i="1" s="1"/>
  <c r="X331" i="1"/>
  <c r="Z331" i="1" s="1"/>
  <c r="X332" i="1"/>
  <c r="X333" i="1"/>
  <c r="Z333" i="1" s="1"/>
  <c r="X334" i="1"/>
  <c r="Z334" i="1" s="1"/>
  <c r="X335" i="1"/>
  <c r="X336" i="1"/>
  <c r="Z336" i="1" s="1"/>
  <c r="X337" i="1"/>
  <c r="Z337" i="1" s="1"/>
  <c r="X338" i="1"/>
  <c r="X339" i="1"/>
  <c r="X340" i="1"/>
  <c r="X341" i="1"/>
  <c r="Z341" i="1" s="1"/>
  <c r="X342" i="1"/>
  <c r="Z342" i="1" s="1"/>
  <c r="X343" i="1"/>
  <c r="Z343" i="1" s="1"/>
  <c r="X344" i="1"/>
  <c r="X345" i="1"/>
  <c r="Z345" i="1" s="1"/>
  <c r="X346" i="1"/>
  <c r="Z346" i="1" s="1"/>
  <c r="X347" i="1"/>
  <c r="X348" i="1"/>
  <c r="Z348" i="1" s="1"/>
  <c r="X349" i="1"/>
  <c r="Z349" i="1" s="1"/>
  <c r="X350" i="1"/>
  <c r="X351" i="1"/>
  <c r="X352" i="1"/>
  <c r="X353" i="1"/>
  <c r="X354" i="1"/>
  <c r="Z354" i="1" s="1"/>
  <c r="X355" i="1"/>
  <c r="Z355" i="1" s="1"/>
  <c r="X356" i="1"/>
  <c r="X357" i="1"/>
  <c r="Z357" i="1" s="1"/>
  <c r="X358" i="1"/>
  <c r="Z358" i="1" s="1"/>
  <c r="X359" i="1"/>
  <c r="X360" i="1"/>
  <c r="Z360" i="1" s="1"/>
  <c r="X361" i="1"/>
  <c r="Z361" i="1" s="1"/>
  <c r="X362" i="1"/>
  <c r="X363" i="1"/>
  <c r="X364" i="1"/>
  <c r="X365" i="1"/>
  <c r="X366" i="1"/>
  <c r="Z366" i="1" s="1"/>
  <c r="X367" i="1"/>
  <c r="Z367" i="1" s="1"/>
  <c r="X368" i="1"/>
  <c r="X369" i="1"/>
  <c r="Z369" i="1" s="1"/>
  <c r="X370" i="1"/>
  <c r="Z370" i="1" s="1"/>
  <c r="X371" i="1"/>
  <c r="X372" i="1"/>
  <c r="Z372" i="1" s="1"/>
  <c r="X373" i="1"/>
  <c r="Z373" i="1" s="1"/>
  <c r="X374" i="1"/>
  <c r="X375" i="1"/>
  <c r="X376" i="1"/>
  <c r="X377" i="1"/>
  <c r="Z377" i="1" s="1"/>
  <c r="X378" i="1"/>
  <c r="Z378" i="1" s="1"/>
  <c r="X379" i="1"/>
  <c r="Z379" i="1" s="1"/>
  <c r="X380" i="1"/>
  <c r="X381" i="1"/>
  <c r="Z381" i="1" s="1"/>
  <c r="X382" i="1"/>
  <c r="Z382" i="1" s="1"/>
  <c r="X383" i="1"/>
  <c r="X384" i="1"/>
  <c r="Z384" i="1" s="1"/>
  <c r="X385" i="1"/>
  <c r="Z385" i="1" s="1"/>
  <c r="X386" i="1"/>
  <c r="X387" i="1"/>
  <c r="X388" i="1"/>
  <c r="X389" i="1"/>
  <c r="X390" i="1"/>
  <c r="Z390" i="1" s="1"/>
  <c r="X391" i="1"/>
  <c r="Z391" i="1" s="1"/>
  <c r="X392" i="1"/>
  <c r="X393" i="1"/>
  <c r="Z393" i="1" s="1"/>
  <c r="X394" i="1"/>
  <c r="Z394" i="1" s="1"/>
  <c r="X395" i="1"/>
  <c r="X396" i="1"/>
  <c r="Z396" i="1" s="1"/>
  <c r="X397" i="1"/>
  <c r="Z397" i="1" s="1"/>
  <c r="X398" i="1"/>
  <c r="X399" i="1"/>
  <c r="X400" i="1"/>
  <c r="X401" i="1"/>
  <c r="X402" i="1"/>
  <c r="Z402" i="1" s="1"/>
  <c r="X403" i="1"/>
  <c r="Z403" i="1" s="1"/>
  <c r="X404" i="1"/>
  <c r="X405" i="1"/>
  <c r="Z405" i="1" s="1"/>
  <c r="X406" i="1"/>
  <c r="Z406" i="1" s="1"/>
  <c r="X407" i="1"/>
  <c r="X408" i="1"/>
  <c r="Z408" i="1" s="1"/>
  <c r="X409" i="1"/>
  <c r="Z409" i="1" s="1"/>
  <c r="X410" i="1"/>
  <c r="X411" i="1"/>
  <c r="X412" i="1"/>
  <c r="X413" i="1"/>
  <c r="X414" i="1"/>
  <c r="Z414" i="1" s="1"/>
  <c r="X415" i="1"/>
  <c r="Z415" i="1" s="1"/>
  <c r="X416" i="1"/>
  <c r="X417" i="1"/>
  <c r="Z417" i="1" s="1"/>
  <c r="X418" i="1"/>
  <c r="Z418" i="1" s="1"/>
  <c r="X419" i="1"/>
  <c r="X420" i="1"/>
  <c r="Z420" i="1" s="1"/>
  <c r="X421" i="1"/>
  <c r="Z421" i="1" s="1"/>
  <c r="X422" i="1"/>
  <c r="X423" i="1"/>
  <c r="X424" i="1"/>
  <c r="X425" i="1"/>
  <c r="X426" i="1"/>
  <c r="Z426" i="1" s="1"/>
  <c r="X427" i="1"/>
  <c r="Z427" i="1" s="1"/>
  <c r="X428" i="1"/>
  <c r="X429" i="1"/>
  <c r="Z429" i="1" s="1"/>
  <c r="X430" i="1"/>
  <c r="Z430" i="1" s="1"/>
  <c r="X431" i="1"/>
  <c r="X432" i="1"/>
  <c r="Z432" i="1" s="1"/>
  <c r="X433" i="1"/>
  <c r="Z433" i="1" s="1"/>
  <c r="X434" i="1"/>
  <c r="X435" i="1"/>
  <c r="X436" i="1"/>
  <c r="X437" i="1"/>
  <c r="X438" i="1"/>
  <c r="Z438" i="1" s="1"/>
  <c r="X439" i="1"/>
  <c r="Z439" i="1" s="1"/>
  <c r="X440" i="1"/>
  <c r="X441" i="1"/>
  <c r="Z441" i="1" s="1"/>
  <c r="X442" i="1"/>
  <c r="Z442" i="1" s="1"/>
  <c r="X443" i="1"/>
  <c r="X444" i="1"/>
  <c r="Z444" i="1" s="1"/>
  <c r="X445" i="1"/>
  <c r="Z445" i="1" s="1"/>
  <c r="X446" i="1"/>
  <c r="X447" i="1"/>
  <c r="X448" i="1"/>
  <c r="X449" i="1"/>
  <c r="X450" i="1"/>
  <c r="Z450" i="1" s="1"/>
  <c r="X451" i="1"/>
  <c r="Z451" i="1" s="1"/>
  <c r="X452" i="1"/>
  <c r="X453" i="1"/>
  <c r="Z453" i="1" s="1"/>
  <c r="X454" i="1"/>
  <c r="Z454" i="1" s="1"/>
  <c r="X455" i="1"/>
  <c r="X456" i="1"/>
  <c r="Z456" i="1" s="1"/>
  <c r="X457" i="1"/>
  <c r="Z457" i="1" s="1"/>
  <c r="X458" i="1"/>
  <c r="X459" i="1"/>
  <c r="X460" i="1"/>
  <c r="X461" i="1"/>
  <c r="X462" i="1"/>
  <c r="Z462" i="1" s="1"/>
  <c r="X463" i="1"/>
  <c r="Z463" i="1" s="1"/>
  <c r="X464" i="1"/>
  <c r="X465" i="1"/>
  <c r="Z465" i="1" s="1"/>
  <c r="X466" i="1"/>
  <c r="Z466" i="1" s="1"/>
  <c r="X467" i="1"/>
  <c r="X468" i="1"/>
  <c r="Z468" i="1" s="1"/>
  <c r="X469" i="1"/>
  <c r="Z469" i="1" s="1"/>
  <c r="X470" i="1"/>
  <c r="X471" i="1"/>
  <c r="X472" i="1"/>
  <c r="X473" i="1"/>
  <c r="Z473" i="1" s="1"/>
  <c r="X474" i="1"/>
  <c r="Z474" i="1" s="1"/>
  <c r="X475" i="1"/>
  <c r="Z475" i="1" s="1"/>
  <c r="X476" i="1"/>
  <c r="X477" i="1"/>
  <c r="Z477" i="1" s="1"/>
  <c r="X478" i="1"/>
  <c r="Z478" i="1" s="1"/>
  <c r="X479" i="1"/>
  <c r="X480" i="1"/>
  <c r="Z480" i="1" s="1"/>
  <c r="X481" i="1"/>
  <c r="Z481" i="1" s="1"/>
  <c r="X482" i="1"/>
  <c r="X483" i="1"/>
  <c r="X484" i="1"/>
  <c r="X485" i="1"/>
  <c r="Z485" i="1" s="1"/>
  <c r="X486" i="1"/>
  <c r="Z486" i="1" s="1"/>
  <c r="X487" i="1"/>
  <c r="Z487" i="1" s="1"/>
  <c r="X488" i="1"/>
  <c r="X489" i="1"/>
  <c r="Z489" i="1" s="1"/>
  <c r="X490" i="1"/>
  <c r="Z490" i="1" s="1"/>
  <c r="X491" i="1"/>
  <c r="X492" i="1"/>
  <c r="Z492" i="1" s="1"/>
  <c r="X493" i="1"/>
  <c r="Z493" i="1" s="1"/>
  <c r="X494" i="1"/>
  <c r="X495" i="1"/>
  <c r="X496" i="1"/>
  <c r="X497" i="1"/>
  <c r="X498" i="1"/>
  <c r="Z498" i="1" s="1"/>
  <c r="X499" i="1"/>
  <c r="Z499" i="1" s="1"/>
  <c r="X500" i="1"/>
  <c r="X501" i="1"/>
  <c r="Z501" i="1" s="1"/>
  <c r="X502" i="1"/>
  <c r="Z502" i="1" s="1"/>
  <c r="X503" i="1"/>
  <c r="X504" i="1"/>
  <c r="Z504" i="1" s="1"/>
  <c r="X505" i="1"/>
  <c r="Z505" i="1" s="1"/>
  <c r="X506" i="1"/>
  <c r="X507" i="1"/>
  <c r="X508" i="1"/>
  <c r="X509" i="1"/>
  <c r="X510" i="1"/>
  <c r="Z510" i="1" s="1"/>
  <c r="X511" i="1"/>
  <c r="Z511" i="1" s="1"/>
  <c r="X512" i="1"/>
  <c r="X513" i="1"/>
  <c r="Z513" i="1" s="1"/>
  <c r="X514" i="1"/>
  <c r="Z514" i="1" s="1"/>
  <c r="X515" i="1"/>
  <c r="X516" i="1"/>
  <c r="Z516" i="1" s="1"/>
  <c r="X517" i="1"/>
  <c r="Z517" i="1" s="1"/>
  <c r="X518" i="1"/>
  <c r="X519" i="1"/>
  <c r="X520" i="1"/>
  <c r="X521" i="1"/>
  <c r="X522" i="1"/>
  <c r="Z522" i="1" s="1"/>
  <c r="X523" i="1"/>
  <c r="Z523" i="1" s="1"/>
  <c r="X524" i="1"/>
  <c r="X525" i="1"/>
  <c r="Z525" i="1" s="1"/>
  <c r="X526" i="1"/>
  <c r="Z526" i="1" s="1"/>
  <c r="X527" i="1"/>
  <c r="X528" i="1"/>
  <c r="Z528" i="1" s="1"/>
  <c r="X529" i="1"/>
  <c r="Z529" i="1" s="1"/>
  <c r="X530" i="1"/>
  <c r="X531" i="1"/>
  <c r="X532" i="1"/>
  <c r="X533" i="1"/>
  <c r="Z533" i="1" s="1"/>
  <c r="X534" i="1"/>
  <c r="Z534" i="1" s="1"/>
  <c r="X535" i="1"/>
  <c r="Z535" i="1" s="1"/>
  <c r="X536" i="1"/>
  <c r="X537" i="1"/>
  <c r="Z537" i="1" s="1"/>
  <c r="X538" i="1"/>
  <c r="Z538" i="1" s="1"/>
  <c r="X539" i="1"/>
  <c r="X540" i="1"/>
  <c r="Z540" i="1" s="1"/>
  <c r="X541" i="1"/>
  <c r="Z541" i="1" s="1"/>
  <c r="X542" i="1"/>
  <c r="X543" i="1"/>
  <c r="X544" i="1"/>
  <c r="X545" i="1"/>
  <c r="Z545" i="1" s="1"/>
  <c r="X546" i="1"/>
  <c r="Z546" i="1" s="1"/>
  <c r="X547" i="1"/>
  <c r="Z547" i="1" s="1"/>
  <c r="X548" i="1"/>
  <c r="X549" i="1"/>
  <c r="Z549" i="1" s="1"/>
  <c r="X550" i="1"/>
  <c r="Z550" i="1" s="1"/>
  <c r="X551" i="1"/>
  <c r="X552" i="1"/>
  <c r="Z552" i="1" s="1"/>
  <c r="X553" i="1"/>
  <c r="Z553" i="1" s="1"/>
  <c r="X554" i="1"/>
  <c r="X555" i="1"/>
  <c r="X556" i="1"/>
  <c r="X557" i="1"/>
  <c r="Z557" i="1" s="1"/>
  <c r="X558" i="1"/>
  <c r="Z558" i="1" s="1"/>
  <c r="X559" i="1"/>
  <c r="Z559" i="1" s="1"/>
  <c r="X560" i="1"/>
  <c r="X561" i="1"/>
  <c r="Z561" i="1" s="1"/>
  <c r="X562" i="1"/>
  <c r="Z562" i="1" s="1"/>
  <c r="X563" i="1"/>
  <c r="X564" i="1"/>
  <c r="Z564" i="1" s="1"/>
  <c r="X565" i="1"/>
  <c r="Z565" i="1" s="1"/>
  <c r="X566" i="1"/>
  <c r="X567" i="1"/>
  <c r="X568" i="1"/>
  <c r="X569" i="1"/>
  <c r="Z569" i="1" s="1"/>
  <c r="X570" i="1"/>
  <c r="Z570" i="1" s="1"/>
  <c r="X571" i="1"/>
  <c r="Z571" i="1" s="1"/>
  <c r="X572" i="1"/>
  <c r="X573" i="1"/>
  <c r="Z573" i="1" s="1"/>
  <c r="X574" i="1"/>
  <c r="Z574" i="1" s="1"/>
  <c r="X575" i="1"/>
  <c r="X576" i="1"/>
  <c r="Z576" i="1" s="1"/>
  <c r="X577" i="1"/>
  <c r="Z577" i="1" s="1"/>
  <c r="X578" i="1"/>
  <c r="X579" i="1"/>
  <c r="X580" i="1"/>
  <c r="X581" i="1"/>
  <c r="Z581" i="1" s="1"/>
  <c r="X582" i="1"/>
  <c r="Z582" i="1" s="1"/>
  <c r="X583" i="1"/>
  <c r="Z583" i="1" s="1"/>
  <c r="X584" i="1"/>
  <c r="X585" i="1"/>
  <c r="Z585" i="1" s="1"/>
  <c r="X586" i="1"/>
  <c r="Z586" i="1" s="1"/>
  <c r="X587" i="1"/>
  <c r="X588" i="1"/>
  <c r="Z588" i="1" s="1"/>
  <c r="X589" i="1"/>
  <c r="Z589" i="1" s="1"/>
  <c r="X590" i="1"/>
  <c r="X591" i="1"/>
  <c r="X592" i="1"/>
  <c r="X593" i="1"/>
  <c r="Z593" i="1" s="1"/>
  <c r="X594" i="1"/>
  <c r="Z594" i="1" s="1"/>
  <c r="X595" i="1"/>
  <c r="Z595" i="1" s="1"/>
  <c r="X596" i="1"/>
  <c r="X597" i="1"/>
  <c r="Z597" i="1" s="1"/>
  <c r="X598" i="1"/>
  <c r="Z598" i="1" s="1"/>
  <c r="X599" i="1"/>
  <c r="X600" i="1"/>
  <c r="Z600" i="1" s="1"/>
  <c r="X601" i="1"/>
  <c r="Z601" i="1" s="1"/>
  <c r="X602" i="1"/>
  <c r="X603" i="1"/>
  <c r="X604" i="1"/>
  <c r="X605" i="1"/>
  <c r="Z605" i="1" s="1"/>
  <c r="X606" i="1"/>
  <c r="Z606" i="1" s="1"/>
  <c r="X607" i="1"/>
  <c r="Z607" i="1" s="1"/>
  <c r="X608" i="1"/>
  <c r="X609" i="1"/>
  <c r="Z609" i="1" s="1"/>
  <c r="X610" i="1"/>
  <c r="Z610" i="1" s="1"/>
  <c r="X611" i="1"/>
  <c r="X612" i="1"/>
  <c r="Z612" i="1" s="1"/>
  <c r="X613" i="1"/>
  <c r="Z613" i="1" s="1"/>
  <c r="X614" i="1"/>
  <c r="X615" i="1"/>
  <c r="X616" i="1"/>
  <c r="X617" i="1"/>
  <c r="Z617" i="1" s="1"/>
  <c r="X618" i="1"/>
  <c r="Z618" i="1" s="1"/>
  <c r="X619" i="1"/>
  <c r="Z619" i="1" s="1"/>
  <c r="X620" i="1"/>
  <c r="X621" i="1"/>
  <c r="Z621" i="1" s="1"/>
  <c r="X622" i="1"/>
  <c r="Z622" i="1" s="1"/>
  <c r="X623" i="1"/>
  <c r="X624" i="1"/>
  <c r="Z624" i="1" s="1"/>
  <c r="X625" i="1"/>
  <c r="Z625" i="1" s="1"/>
  <c r="X626" i="1"/>
  <c r="X627" i="1"/>
  <c r="X628" i="1"/>
  <c r="X629" i="1"/>
  <c r="Z629" i="1" s="1"/>
  <c r="X630" i="1"/>
  <c r="Z630" i="1" s="1"/>
  <c r="X631" i="1"/>
  <c r="Z631" i="1" s="1"/>
  <c r="X632" i="1"/>
  <c r="X633" i="1"/>
  <c r="Z633" i="1" s="1"/>
  <c r="X634" i="1"/>
  <c r="Z634" i="1" s="1"/>
  <c r="X635" i="1"/>
  <c r="X636" i="1"/>
  <c r="Z636" i="1" s="1"/>
  <c r="X637" i="1"/>
  <c r="Z637" i="1" s="1"/>
  <c r="X638" i="1"/>
  <c r="X639" i="1"/>
  <c r="X640" i="1"/>
  <c r="X641" i="1"/>
  <c r="Z641" i="1" s="1"/>
  <c r="X642" i="1"/>
  <c r="Z642" i="1" s="1"/>
  <c r="X643" i="1"/>
  <c r="Z643" i="1" s="1"/>
  <c r="X644" i="1"/>
  <c r="X645" i="1"/>
  <c r="X646" i="1"/>
  <c r="Z646" i="1" s="1"/>
  <c r="X647" i="1"/>
  <c r="X648" i="1"/>
  <c r="Z648" i="1" s="1"/>
  <c r="X649" i="1"/>
  <c r="Z649" i="1" s="1"/>
  <c r="X650" i="1"/>
  <c r="X651" i="1"/>
  <c r="X652" i="1"/>
  <c r="X653" i="1"/>
  <c r="Z653" i="1" s="1"/>
  <c r="X654" i="1"/>
  <c r="Z654" i="1" s="1"/>
  <c r="X655" i="1"/>
  <c r="Z655" i="1" s="1"/>
  <c r="X656" i="1"/>
  <c r="X657" i="1"/>
  <c r="Z657" i="1" s="1"/>
  <c r="X658" i="1"/>
  <c r="Z658" i="1" s="1"/>
  <c r="X659" i="1"/>
  <c r="X660" i="1"/>
  <c r="Z660" i="1" s="1"/>
  <c r="X661" i="1"/>
  <c r="Z661" i="1" s="1"/>
  <c r="X662" i="1"/>
  <c r="X663" i="1"/>
  <c r="X664" i="1"/>
  <c r="X665" i="1"/>
  <c r="Z665" i="1" s="1"/>
  <c r="X666" i="1"/>
  <c r="Z666" i="1" s="1"/>
  <c r="X667" i="1"/>
  <c r="Z667" i="1" s="1"/>
  <c r="X668" i="1"/>
  <c r="X669" i="1"/>
  <c r="X670" i="1"/>
  <c r="Z670" i="1" s="1"/>
  <c r="X671" i="1"/>
  <c r="X672" i="1"/>
  <c r="Z672" i="1" s="1"/>
  <c r="X673" i="1"/>
  <c r="Z673" i="1" s="1"/>
  <c r="X674" i="1"/>
  <c r="X675" i="1"/>
  <c r="X676" i="1"/>
  <c r="X677" i="1"/>
  <c r="X678" i="1"/>
  <c r="Z678" i="1" s="1"/>
  <c r="X679" i="1"/>
  <c r="Z679" i="1" s="1"/>
  <c r="X680" i="1"/>
  <c r="X681" i="1"/>
  <c r="Z681" i="1" s="1"/>
  <c r="X682" i="1"/>
  <c r="Z682" i="1" s="1"/>
  <c r="X683" i="1"/>
  <c r="X684" i="1"/>
  <c r="Z684" i="1" s="1"/>
  <c r="X685" i="1"/>
  <c r="Z685" i="1" s="1"/>
  <c r="X686" i="1"/>
  <c r="X687" i="1"/>
  <c r="X688" i="1"/>
  <c r="X689" i="1"/>
  <c r="X690" i="1"/>
  <c r="Z690" i="1" s="1"/>
  <c r="X691" i="1"/>
  <c r="Z691" i="1" s="1"/>
  <c r="X692" i="1"/>
  <c r="X693" i="1"/>
  <c r="Z693" i="1" s="1"/>
  <c r="X694" i="1"/>
  <c r="Z694" i="1" s="1"/>
  <c r="X695" i="1"/>
  <c r="X696" i="1"/>
  <c r="Z696" i="1" s="1"/>
  <c r="X697" i="1"/>
  <c r="Z697" i="1" s="1"/>
  <c r="X698" i="1"/>
  <c r="X699" i="1"/>
  <c r="X700" i="1"/>
  <c r="X701" i="1"/>
  <c r="X702" i="1"/>
  <c r="Z702" i="1" s="1"/>
  <c r="X703" i="1"/>
  <c r="Z703" i="1" s="1"/>
  <c r="X704" i="1"/>
  <c r="X705" i="1"/>
  <c r="Z705" i="1" s="1"/>
  <c r="X706" i="1"/>
  <c r="Z706" i="1" s="1"/>
  <c r="X707" i="1"/>
  <c r="X708" i="1"/>
  <c r="Z708" i="1" s="1"/>
  <c r="X709" i="1"/>
  <c r="Z709" i="1" s="1"/>
  <c r="X710" i="1"/>
  <c r="X711" i="1"/>
  <c r="X712" i="1"/>
  <c r="X713" i="1"/>
  <c r="X714" i="1"/>
  <c r="Z714" i="1" s="1"/>
  <c r="X715" i="1"/>
  <c r="Z715" i="1" s="1"/>
  <c r="X716" i="1"/>
  <c r="X717" i="1"/>
  <c r="X718" i="1"/>
  <c r="Z718" i="1" s="1"/>
  <c r="X719" i="1"/>
  <c r="X720" i="1"/>
  <c r="Z720" i="1" s="1"/>
  <c r="X721" i="1"/>
  <c r="Z721" i="1" s="1"/>
  <c r="X722" i="1"/>
  <c r="X723" i="1"/>
  <c r="X724" i="1"/>
  <c r="X725" i="1"/>
  <c r="X726" i="1"/>
  <c r="Z726" i="1" s="1"/>
  <c r="X727" i="1"/>
  <c r="Z727" i="1" s="1"/>
  <c r="X728" i="1"/>
  <c r="X729" i="1"/>
  <c r="X730" i="1"/>
  <c r="Z730" i="1" s="1"/>
  <c r="X731" i="1"/>
  <c r="X732" i="1"/>
  <c r="Z732" i="1" s="1"/>
  <c r="X733" i="1"/>
  <c r="Z733" i="1" s="1"/>
  <c r="X734" i="1"/>
  <c r="X735" i="1"/>
  <c r="X736" i="1"/>
  <c r="X737" i="1"/>
  <c r="X738" i="1"/>
  <c r="Z738" i="1" s="1"/>
  <c r="X739" i="1"/>
  <c r="Z739" i="1" s="1"/>
  <c r="X740" i="1"/>
  <c r="X741" i="1"/>
  <c r="X742" i="1"/>
  <c r="Z742" i="1" s="1"/>
  <c r="X743" i="1"/>
  <c r="X744" i="1"/>
  <c r="Z744" i="1" s="1"/>
  <c r="X745" i="1"/>
  <c r="Z745" i="1" s="1"/>
  <c r="X746" i="1"/>
  <c r="X747" i="1"/>
  <c r="X748" i="1"/>
  <c r="X749" i="1"/>
  <c r="X750" i="1"/>
  <c r="Z750" i="1" s="1"/>
  <c r="X751" i="1"/>
  <c r="Z751" i="1" s="1"/>
  <c r="X752" i="1"/>
  <c r="X753" i="1"/>
  <c r="Z753" i="1" s="1"/>
  <c r="X754" i="1"/>
  <c r="Z754" i="1" s="1"/>
  <c r="X755" i="1"/>
  <c r="X756" i="1"/>
  <c r="Z756" i="1" s="1"/>
  <c r="X757" i="1"/>
  <c r="Z757" i="1" s="1"/>
  <c r="X758" i="1"/>
  <c r="X759" i="1"/>
  <c r="X760" i="1"/>
  <c r="X761" i="1"/>
  <c r="X762" i="1"/>
  <c r="Z762" i="1" s="1"/>
  <c r="X763" i="1"/>
  <c r="Z763" i="1" s="1"/>
  <c r="X764" i="1"/>
  <c r="X765" i="1"/>
  <c r="X766" i="1"/>
  <c r="Z766" i="1" s="1"/>
  <c r="X767" i="1"/>
  <c r="X768" i="1"/>
  <c r="Z768" i="1" s="1"/>
  <c r="X769" i="1"/>
  <c r="Z769" i="1" s="1"/>
  <c r="X770" i="1"/>
  <c r="X771" i="1"/>
  <c r="X772" i="1"/>
  <c r="X773" i="1"/>
  <c r="X774" i="1"/>
  <c r="Z774" i="1" s="1"/>
  <c r="X775" i="1"/>
  <c r="Z775" i="1" s="1"/>
  <c r="X776" i="1"/>
  <c r="X777" i="1"/>
  <c r="Z777" i="1" s="1"/>
  <c r="X778" i="1"/>
  <c r="Z778" i="1" s="1"/>
  <c r="X779" i="1"/>
  <c r="X780" i="1"/>
  <c r="Z780" i="1" s="1"/>
  <c r="X781" i="1"/>
  <c r="Z781" i="1" s="1"/>
  <c r="X782" i="1"/>
  <c r="X783" i="1"/>
  <c r="X784" i="1"/>
  <c r="X785" i="1"/>
  <c r="X786" i="1"/>
  <c r="Z786" i="1" s="1"/>
  <c r="X787" i="1"/>
  <c r="Z787" i="1" s="1"/>
  <c r="X788" i="1"/>
  <c r="X789" i="1"/>
  <c r="X790" i="1"/>
  <c r="Z790" i="1" s="1"/>
  <c r="X791" i="1"/>
  <c r="X792" i="1"/>
  <c r="Z792" i="1" s="1"/>
  <c r="X793" i="1"/>
  <c r="Z793" i="1" s="1"/>
  <c r="X794" i="1"/>
  <c r="X795" i="1"/>
  <c r="X796" i="1"/>
  <c r="X797" i="1"/>
  <c r="X798" i="1"/>
  <c r="Z798" i="1" s="1"/>
  <c r="X799" i="1"/>
  <c r="Z799" i="1" s="1"/>
  <c r="X800" i="1"/>
  <c r="X801" i="1"/>
  <c r="Z801" i="1" s="1"/>
  <c r="X802" i="1"/>
  <c r="Z802" i="1" s="1"/>
  <c r="X803" i="1"/>
  <c r="X804" i="1"/>
  <c r="Z804" i="1" s="1"/>
  <c r="X805" i="1"/>
  <c r="Z805" i="1" s="1"/>
  <c r="X806" i="1"/>
  <c r="X807" i="1"/>
  <c r="X808" i="1"/>
  <c r="X809" i="1"/>
  <c r="X810" i="1"/>
  <c r="Z810" i="1" s="1"/>
  <c r="X811" i="1"/>
  <c r="Z811" i="1" s="1"/>
  <c r="X812" i="1"/>
  <c r="X813" i="1"/>
  <c r="Z813" i="1" s="1"/>
  <c r="X814" i="1"/>
  <c r="Z814" i="1" s="1"/>
  <c r="X815" i="1"/>
  <c r="X816" i="1"/>
  <c r="Z816" i="1" s="1"/>
  <c r="X817" i="1"/>
  <c r="Z817" i="1" s="1"/>
  <c r="X818" i="1"/>
  <c r="X819" i="1"/>
  <c r="X820" i="1"/>
  <c r="X821" i="1"/>
  <c r="X822" i="1"/>
  <c r="Z822" i="1" s="1"/>
  <c r="X823" i="1"/>
  <c r="Z823" i="1" s="1"/>
  <c r="X824" i="1"/>
  <c r="X825" i="1"/>
  <c r="Z825" i="1" s="1"/>
  <c r="X826" i="1"/>
  <c r="Z826" i="1" s="1"/>
  <c r="X827" i="1"/>
  <c r="X828" i="1"/>
  <c r="Z828" i="1" s="1"/>
  <c r="X829" i="1"/>
  <c r="Z829" i="1" s="1"/>
  <c r="X830" i="1"/>
  <c r="X831" i="1"/>
  <c r="X832" i="1"/>
  <c r="X833" i="1"/>
  <c r="X834" i="1"/>
  <c r="Z834" i="1" s="1"/>
  <c r="X835" i="1"/>
  <c r="Z835" i="1" s="1"/>
  <c r="X836" i="1"/>
  <c r="X837" i="1"/>
  <c r="Z837" i="1" s="1"/>
  <c r="X838" i="1"/>
  <c r="Z838" i="1" s="1"/>
  <c r="X839" i="1"/>
  <c r="Z839" i="1" s="1"/>
  <c r="X840" i="1"/>
  <c r="Z840" i="1" s="1"/>
  <c r="X841" i="1"/>
  <c r="Z841" i="1" s="1"/>
  <c r="X842" i="1"/>
  <c r="X843" i="1"/>
  <c r="X844" i="1"/>
  <c r="X845" i="1"/>
  <c r="X846" i="1"/>
  <c r="Z846" i="1" s="1"/>
  <c r="X847" i="1"/>
  <c r="Z847" i="1" s="1"/>
  <c r="X848" i="1"/>
  <c r="X849" i="1"/>
  <c r="Z849" i="1" s="1"/>
  <c r="X850" i="1"/>
  <c r="Z850" i="1" s="1"/>
  <c r="X851" i="1"/>
  <c r="Z851" i="1" s="1"/>
  <c r="X852" i="1"/>
  <c r="Z852" i="1" s="1"/>
  <c r="X853" i="1"/>
  <c r="Z853" i="1" s="1"/>
  <c r="X854" i="1"/>
  <c r="X855" i="1"/>
  <c r="X856" i="1"/>
  <c r="X857" i="1"/>
  <c r="X858" i="1"/>
  <c r="Z858" i="1" s="1"/>
  <c r="X859" i="1"/>
  <c r="Z859" i="1" s="1"/>
  <c r="X860" i="1"/>
  <c r="X861" i="1"/>
  <c r="X862" i="1"/>
  <c r="Z862" i="1" s="1"/>
  <c r="X863" i="1"/>
  <c r="Z863" i="1" s="1"/>
  <c r="X864" i="1"/>
  <c r="Z864" i="1" s="1"/>
  <c r="X865" i="1"/>
  <c r="Z865" i="1" s="1"/>
  <c r="X866" i="1"/>
  <c r="X867" i="1"/>
  <c r="X868" i="1"/>
  <c r="X869" i="1"/>
  <c r="X870" i="1"/>
  <c r="Z870" i="1" s="1"/>
  <c r="X871" i="1"/>
  <c r="Z871" i="1" s="1"/>
  <c r="X872" i="1"/>
  <c r="X873" i="1"/>
  <c r="X874" i="1"/>
  <c r="Z874" i="1" s="1"/>
  <c r="X875" i="1"/>
  <c r="Z875" i="1" s="1"/>
  <c r="X876" i="1"/>
  <c r="Z876" i="1" s="1"/>
  <c r="X877" i="1"/>
  <c r="Z877" i="1" s="1"/>
  <c r="X878" i="1"/>
  <c r="X879" i="1"/>
  <c r="X880" i="1"/>
  <c r="X881" i="1"/>
  <c r="X882" i="1"/>
  <c r="Z882" i="1" s="1"/>
  <c r="X883" i="1"/>
  <c r="Z883" i="1" s="1"/>
  <c r="X884" i="1"/>
  <c r="X885" i="1"/>
  <c r="X886" i="1"/>
  <c r="Z886" i="1" s="1"/>
  <c r="X887" i="1"/>
  <c r="Z887" i="1" s="1"/>
  <c r="X888" i="1"/>
  <c r="Z888" i="1" s="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A2" i="6" a="1"/>
  <c r="A2" i="6" s="1"/>
  <c r="A19" i="10" s="1"/>
  <c r="C46" i="10"/>
  <c r="B46" i="10"/>
  <c r="D46" i="10" s="1"/>
  <c r="V2" i="6" a="1"/>
  <c r="V2" i="6" s="1"/>
  <c r="AA2" i="6" s="1"/>
  <c r="O2" i="6" a="1"/>
  <c r="O2" i="6" s="1"/>
  <c r="T2" i="6" s="1"/>
  <c r="H2" i="6" a="1"/>
  <c r="H2" i="6" s="1"/>
  <c r="M2" i="6" s="1"/>
  <c r="A2" i="3" a="1"/>
  <c r="B42" i="10"/>
  <c r="E42" i="10" s="1"/>
  <c r="B41" i="10"/>
  <c r="E41" i="10" s="1"/>
  <c r="B40" i="10"/>
  <c r="E40" i="10" s="1"/>
  <c r="B39" i="10"/>
  <c r="E39" i="10" s="1"/>
  <c r="B38" i="10"/>
  <c r="E38" i="10" s="1"/>
  <c r="B37" i="10"/>
  <c r="E37" i="10" s="1"/>
  <c r="B36" i="10"/>
  <c r="E36" i="10" s="1"/>
  <c r="B12" i="10"/>
  <c r="C12" i="10" s="1"/>
  <c r="D12" i="10" s="1"/>
  <c r="E12" i="10" s="1"/>
  <c r="F12" i="10" s="1"/>
  <c r="G12" i="10" s="1"/>
  <c r="H12" i="10" s="1"/>
  <c r="I12" i="10" s="1"/>
  <c r="J12" i="10" s="1"/>
  <c r="K12" i="10" s="1"/>
  <c r="L12" i="10" s="1"/>
  <c r="M12" i="10" s="1"/>
  <c r="N6" i="10"/>
  <c r="H18" i="10" s="1"/>
  <c r="B51" i="5" l="1"/>
  <c r="G51" i="5"/>
  <c r="E51" i="5"/>
  <c r="AB204" i="1"/>
  <c r="AB192" i="1"/>
  <c r="AB168" i="1"/>
  <c r="AB156" i="1"/>
  <c r="AB60" i="1"/>
  <c r="AB775" i="1"/>
  <c r="AB739" i="1"/>
  <c r="AB703" i="1"/>
  <c r="AB667" i="1"/>
  <c r="AB607" i="1"/>
  <c r="AB595" i="1"/>
  <c r="AB583" i="1"/>
  <c r="AB523" i="1"/>
  <c r="AB463" i="1"/>
  <c r="AB451" i="1"/>
  <c r="AB439" i="1"/>
  <c r="AB379" i="1"/>
  <c r="AB319" i="1"/>
  <c r="AB307" i="1"/>
  <c r="AB295" i="1"/>
  <c r="AB235" i="1"/>
  <c r="Z724" i="1"/>
  <c r="Z879" i="1"/>
  <c r="Z855" i="1"/>
  <c r="Z831" i="1"/>
  <c r="Z783" i="1"/>
  <c r="AB783" i="1" s="1"/>
  <c r="Z771" i="1"/>
  <c r="AB771" i="1" s="1"/>
  <c r="Z759" i="1"/>
  <c r="AB759" i="1" s="1"/>
  <c r="Z747" i="1"/>
  <c r="AB747" i="1" s="1"/>
  <c r="Z735" i="1"/>
  <c r="Z699" i="1"/>
  <c r="Z663" i="1"/>
  <c r="Z651" i="1"/>
  <c r="Z591" i="1"/>
  <c r="Z579" i="1"/>
  <c r="Z519" i="1"/>
  <c r="Z471" i="1"/>
  <c r="Z411" i="1"/>
  <c r="Z375" i="1"/>
  <c r="Z339" i="1"/>
  <c r="Z303" i="1"/>
  <c r="AB303" i="1" s="1"/>
  <c r="Z219" i="1"/>
  <c r="Z159" i="1"/>
  <c r="Z147" i="1"/>
  <c r="Z135" i="1"/>
  <c r="Z123" i="1"/>
  <c r="Z111" i="1"/>
  <c r="Z99" i="1"/>
  <c r="Z87" i="1"/>
  <c r="Z75" i="1"/>
  <c r="AB75" i="1" s="1"/>
  <c r="Z63" i="1"/>
  <c r="Z51" i="1"/>
  <c r="AB51" i="1" s="1"/>
  <c r="Z39" i="1"/>
  <c r="AB39" i="1" s="1"/>
  <c r="Z27" i="1"/>
  <c r="Z15" i="1"/>
  <c r="Z3" i="1"/>
  <c r="Z878" i="1"/>
  <c r="Z866" i="1"/>
  <c r="Z854" i="1"/>
  <c r="Z842" i="1"/>
  <c r="Z830" i="1"/>
  <c r="Z818" i="1"/>
  <c r="Z806" i="1"/>
  <c r="Z794" i="1"/>
  <c r="AB794" i="1" s="1"/>
  <c r="Z782" i="1"/>
  <c r="AB782" i="1" s="1"/>
  <c r="Z770" i="1"/>
  <c r="Z758" i="1"/>
  <c r="Z746" i="1"/>
  <c r="Z734" i="1"/>
  <c r="Z722" i="1"/>
  <c r="Z710" i="1"/>
  <c r="Z698" i="1"/>
  <c r="Z686" i="1"/>
  <c r="AB686" i="1" s="1"/>
  <c r="Z674" i="1"/>
  <c r="Z662" i="1"/>
  <c r="Z650" i="1"/>
  <c r="AB650" i="1" s="1"/>
  <c r="Z626" i="1"/>
  <c r="AB626" i="1" s="1"/>
  <c r="Z614" i="1"/>
  <c r="Z602" i="1"/>
  <c r="Z590" i="1"/>
  <c r="Z578" i="1"/>
  <c r="Z566" i="1"/>
  <c r="AB566" i="1" s="1"/>
  <c r="Z554" i="1"/>
  <c r="Z542" i="1"/>
  <c r="Z530" i="1"/>
  <c r="Z518" i="1"/>
  <c r="Z506" i="1"/>
  <c r="AB506" i="1" s="1"/>
  <c r="Z494" i="1"/>
  <c r="AB494" i="1" s="1"/>
  <c r="Z482" i="1"/>
  <c r="AB482" i="1" s="1"/>
  <c r="Z470" i="1"/>
  <c r="Z458" i="1"/>
  <c r="Z446" i="1"/>
  <c r="Z434" i="1"/>
  <c r="Z422" i="1"/>
  <c r="AB422" i="1" s="1"/>
  <c r="Z410" i="1"/>
  <c r="Z398" i="1"/>
  <c r="Z386" i="1"/>
  <c r="Z374" i="1"/>
  <c r="Z362" i="1"/>
  <c r="AB362" i="1" s="1"/>
  <c r="Z350" i="1"/>
  <c r="AB350" i="1" s="1"/>
  <c r="Z338" i="1"/>
  <c r="AB338" i="1" s="1"/>
  <c r="Z326" i="1"/>
  <c r="Z314" i="1"/>
  <c r="Z302" i="1"/>
  <c r="Z290" i="1"/>
  <c r="Z278" i="1"/>
  <c r="AB278" i="1" s="1"/>
  <c r="Z266" i="1"/>
  <c r="Z254" i="1"/>
  <c r="Z242" i="1"/>
  <c r="Z230" i="1"/>
  <c r="Z218" i="1"/>
  <c r="AB218" i="1" s="1"/>
  <c r="Z206" i="1"/>
  <c r="AB206" i="1" s="1"/>
  <c r="Z194" i="1"/>
  <c r="AB194" i="1" s="1"/>
  <c r="Z182" i="1"/>
  <c r="AB182" i="1" s="1"/>
  <c r="Z170" i="1"/>
  <c r="AB170" i="1" s="1"/>
  <c r="Z158" i="1"/>
  <c r="Z146" i="1"/>
  <c r="AB146" i="1" s="1"/>
  <c r="Z134" i="1"/>
  <c r="Z122" i="1"/>
  <c r="Z110" i="1"/>
  <c r="Z98" i="1"/>
  <c r="Z86" i="1"/>
  <c r="Z74" i="1"/>
  <c r="Z62" i="1"/>
  <c r="AB62" i="1" s="1"/>
  <c r="Z50" i="1"/>
  <c r="AB50" i="1" s="1"/>
  <c r="Z38" i="1"/>
  <c r="AB38" i="1" s="1"/>
  <c r="Z26" i="1"/>
  <c r="Z14" i="1"/>
  <c r="AB793" i="1"/>
  <c r="AB757" i="1"/>
  <c r="AB721" i="1"/>
  <c r="AB685" i="1"/>
  <c r="AB649" i="1"/>
  <c r="AB589" i="1"/>
  <c r="AB577" i="1"/>
  <c r="AB565" i="1"/>
  <c r="AB505" i="1"/>
  <c r="AB493" i="1"/>
  <c r="AB445" i="1"/>
  <c r="AB433" i="1"/>
  <c r="AB421" i="1"/>
  <c r="AB361" i="1"/>
  <c r="AB349" i="1"/>
  <c r="AB325" i="1"/>
  <c r="AB301" i="1"/>
  <c r="AB289" i="1"/>
  <c r="Z803" i="1"/>
  <c r="Z287" i="1"/>
  <c r="AB287" i="1" s="1"/>
  <c r="AB378" i="1"/>
  <c r="AB318" i="1"/>
  <c r="Z881" i="1"/>
  <c r="AB881" i="1" s="1"/>
  <c r="Z845" i="1"/>
  <c r="AB845" i="1" s="1"/>
  <c r="Z821" i="1"/>
  <c r="Z797" i="1"/>
  <c r="Z773" i="1"/>
  <c r="AB773" i="1" s="1"/>
  <c r="Z749" i="1"/>
  <c r="Z725" i="1"/>
  <c r="AB725" i="1" s="1"/>
  <c r="Z701" i="1"/>
  <c r="AB701" i="1" s="1"/>
  <c r="Z677" i="1"/>
  <c r="AB677" i="1" s="1"/>
  <c r="Z423" i="1"/>
  <c r="AB423" i="1" s="1"/>
  <c r="Z255" i="1"/>
  <c r="AB255" i="1" s="1"/>
  <c r="Z869" i="1"/>
  <c r="Z857" i="1"/>
  <c r="Z833" i="1"/>
  <c r="Z809" i="1"/>
  <c r="Z785" i="1"/>
  <c r="Z761" i="1"/>
  <c r="Z737" i="1"/>
  <c r="Z713" i="1"/>
  <c r="AB713" i="1" s="1"/>
  <c r="Z689" i="1"/>
  <c r="AB689" i="1" s="1"/>
  <c r="Z880" i="1"/>
  <c r="AB880" i="1" s="1"/>
  <c r="Z868" i="1"/>
  <c r="AB868" i="1" s="1"/>
  <c r="Z856" i="1"/>
  <c r="AB856" i="1" s="1"/>
  <c r="Z844" i="1"/>
  <c r="AB638" i="1"/>
  <c r="Z277" i="1"/>
  <c r="AB277" i="1" s="1"/>
  <c r="Z265" i="1"/>
  <c r="Z253" i="1"/>
  <c r="Z241" i="1"/>
  <c r="Z229" i="1"/>
  <c r="Z217" i="1"/>
  <c r="AB217" i="1" s="1"/>
  <c r="Z205" i="1"/>
  <c r="AB205" i="1" s="1"/>
  <c r="Z193" i="1"/>
  <c r="AB193" i="1" s="1"/>
  <c r="Z181" i="1"/>
  <c r="AB181" i="1" s="1"/>
  <c r="Z169" i="1"/>
  <c r="AB169" i="1" s="1"/>
  <c r="Z157" i="1"/>
  <c r="AB157" i="1" s="1"/>
  <c r="Z145" i="1"/>
  <c r="Z133" i="1"/>
  <c r="AB133" i="1" s="1"/>
  <c r="Z121" i="1"/>
  <c r="AB121" i="1" s="1"/>
  <c r="Z109" i="1"/>
  <c r="Z97" i="1"/>
  <c r="Z85" i="1"/>
  <c r="Z73" i="1"/>
  <c r="AB73" i="1" s="1"/>
  <c r="Z61" i="1"/>
  <c r="AB61" i="1" s="1"/>
  <c r="Z49" i="1"/>
  <c r="AB49" i="1" s="1"/>
  <c r="Z37" i="1"/>
  <c r="AB37" i="1" s="1"/>
  <c r="Z13" i="1"/>
  <c r="AB13" i="1" s="1"/>
  <c r="Z106" i="1"/>
  <c r="AB106" i="1" s="1"/>
  <c r="Z608" i="1"/>
  <c r="Z392" i="1"/>
  <c r="Z200" i="1"/>
  <c r="Z827" i="1"/>
  <c r="Z815" i="1"/>
  <c r="Z791" i="1"/>
  <c r="AB791" i="1" s="1"/>
  <c r="Z779" i="1"/>
  <c r="AB779" i="1" s="1"/>
  <c r="Z767" i="1"/>
  <c r="AB767" i="1" s="1"/>
  <c r="Z755" i="1"/>
  <c r="AB755" i="1" s="1"/>
  <c r="Z743" i="1"/>
  <c r="AB743" i="1" s="1"/>
  <c r="Z731" i="1"/>
  <c r="AB731" i="1" s="1"/>
  <c r="Z719" i="1"/>
  <c r="Z707" i="1"/>
  <c r="Z695" i="1"/>
  <c r="Z683" i="1"/>
  <c r="AB683" i="1" s="1"/>
  <c r="Z671" i="1"/>
  <c r="Z659" i="1"/>
  <c r="Z647" i="1"/>
  <c r="Z635" i="1"/>
  <c r="AB635" i="1" s="1"/>
  <c r="Z623" i="1"/>
  <c r="AB623" i="1" s="1"/>
  <c r="Z611" i="1"/>
  <c r="AB611" i="1" s="1"/>
  <c r="Z599" i="1"/>
  <c r="AB599" i="1" s="1"/>
  <c r="Z587" i="1"/>
  <c r="AB587" i="1" s="1"/>
  <c r="Z575" i="1"/>
  <c r="Z563" i="1"/>
  <c r="AB563" i="1" s="1"/>
  <c r="Z551" i="1"/>
  <c r="Z539" i="1"/>
  <c r="Z527" i="1"/>
  <c r="Z515" i="1"/>
  <c r="AB515" i="1" s="1"/>
  <c r="Z503" i="1"/>
  <c r="AB503" i="1" s="1"/>
  <c r="Z491" i="1"/>
  <c r="Z479" i="1"/>
  <c r="Z467" i="1"/>
  <c r="AB467" i="1" s="1"/>
  <c r="Z455" i="1"/>
  <c r="AB455" i="1" s="1"/>
  <c r="Z443" i="1"/>
  <c r="AB443" i="1" s="1"/>
  <c r="Z431" i="1"/>
  <c r="Z419" i="1"/>
  <c r="Z407" i="1"/>
  <c r="Z395" i="1"/>
  <c r="Z383" i="1"/>
  <c r="AB383" i="1" s="1"/>
  <c r="Z371" i="1"/>
  <c r="AB371" i="1" s="1"/>
  <c r="Z359" i="1"/>
  <c r="AB359" i="1" s="1"/>
  <c r="Z347" i="1"/>
  <c r="AB347" i="1" s="1"/>
  <c r="Z335" i="1"/>
  <c r="AB335" i="1" s="1"/>
  <c r="Z323" i="1"/>
  <c r="AB323" i="1" s="1"/>
  <c r="Z311" i="1"/>
  <c r="AB311" i="1" s="1"/>
  <c r="Z299" i="1"/>
  <c r="AB299" i="1" s="1"/>
  <c r="Z275" i="1"/>
  <c r="Z263" i="1"/>
  <c r="AB263" i="1" s="1"/>
  <c r="Z251" i="1"/>
  <c r="Z239" i="1"/>
  <c r="AB239" i="1" s="1"/>
  <c r="Z227" i="1"/>
  <c r="AB227" i="1" s="1"/>
  <c r="Z215" i="1"/>
  <c r="Z203" i="1"/>
  <c r="AB203" i="1" s="1"/>
  <c r="Z191" i="1"/>
  <c r="AB191" i="1" s="1"/>
  <c r="Z167" i="1"/>
  <c r="AB167" i="1" s="1"/>
  <c r="Z155" i="1"/>
  <c r="AB155" i="1" s="1"/>
  <c r="Z143" i="1"/>
  <c r="AB143" i="1" s="1"/>
  <c r="Z131" i="1"/>
  <c r="AB131" i="1" s="1"/>
  <c r="Z119" i="1"/>
  <c r="AB119" i="1" s="1"/>
  <c r="Z107" i="1"/>
  <c r="Z95" i="1"/>
  <c r="Z83" i="1"/>
  <c r="Z71" i="1"/>
  <c r="Z59" i="1"/>
  <c r="Z47" i="1"/>
  <c r="AB47" i="1" s="1"/>
  <c r="Z35" i="1"/>
  <c r="AB35" i="1" s="1"/>
  <c r="Z23" i="1"/>
  <c r="AB23" i="1" s="1"/>
  <c r="Z11" i="1"/>
  <c r="AB11" i="1" s="1"/>
  <c r="AB93" i="1"/>
  <c r="Z884" i="1"/>
  <c r="AB884" i="1" s="1"/>
  <c r="Z836" i="1"/>
  <c r="Z824" i="1"/>
  <c r="Z812" i="1"/>
  <c r="Z800" i="1"/>
  <c r="Z788" i="1"/>
  <c r="AB788" i="1" s="1"/>
  <c r="Z764" i="1"/>
  <c r="Z740" i="1"/>
  <c r="AB740" i="1" s="1"/>
  <c r="Z692" i="1"/>
  <c r="AB692" i="1" s="1"/>
  <c r="Z680" i="1"/>
  <c r="AB680" i="1" s="1"/>
  <c r="Z620" i="1"/>
  <c r="AB620" i="1" s="1"/>
  <c r="Z548" i="1"/>
  <c r="AB548" i="1" s="1"/>
  <c r="Z500" i="1"/>
  <c r="AB500" i="1" s="1"/>
  <c r="Z428" i="1"/>
  <c r="AB428" i="1" s="1"/>
  <c r="Z356" i="1"/>
  <c r="Z308" i="1"/>
  <c r="Z272" i="1"/>
  <c r="Z236" i="1"/>
  <c r="AB236" i="1" s="1"/>
  <c r="Z164" i="1"/>
  <c r="Z140" i="1"/>
  <c r="AB140" i="1" s="1"/>
  <c r="Z104" i="1"/>
  <c r="AB104" i="1" s="1"/>
  <c r="Z68" i="1"/>
  <c r="AB68" i="1" s="1"/>
  <c r="Z20" i="1"/>
  <c r="AB20" i="1" s="1"/>
  <c r="Z8" i="1"/>
  <c r="AB8" i="1" s="1"/>
  <c r="Z521" i="1"/>
  <c r="AB521" i="1" s="1"/>
  <c r="Z425" i="1"/>
  <c r="AB425" i="1" s="1"/>
  <c r="Z269" i="1"/>
  <c r="Z221" i="1"/>
  <c r="Z832" i="1"/>
  <c r="Z820" i="1"/>
  <c r="AB820" i="1" s="1"/>
  <c r="Z808" i="1"/>
  <c r="Z796" i="1"/>
  <c r="Z784" i="1"/>
  <c r="Z772" i="1"/>
  <c r="Z760" i="1"/>
  <c r="AB760" i="1" s="1"/>
  <c r="Z748" i="1"/>
  <c r="AB748" i="1" s="1"/>
  <c r="Z736" i="1"/>
  <c r="AB736" i="1" s="1"/>
  <c r="Z712" i="1"/>
  <c r="AB712" i="1" s="1"/>
  <c r="Z700" i="1"/>
  <c r="AB700" i="1" s="1"/>
  <c r="Z688" i="1"/>
  <c r="Z676" i="1"/>
  <c r="Z664" i="1"/>
  <c r="Z652" i="1"/>
  <c r="Z640" i="1"/>
  <c r="Z628" i="1"/>
  <c r="Z616" i="1"/>
  <c r="AB616" i="1" s="1"/>
  <c r="Z604" i="1"/>
  <c r="AB604" i="1" s="1"/>
  <c r="Z592" i="1"/>
  <c r="AB592" i="1" s="1"/>
  <c r="Z580" i="1"/>
  <c r="AB580" i="1" s="1"/>
  <c r="Z568" i="1"/>
  <c r="AB568" i="1" s="1"/>
  <c r="Z556" i="1"/>
  <c r="AB556" i="1" s="1"/>
  <c r="Z544" i="1"/>
  <c r="Z532" i="1"/>
  <c r="Z520" i="1"/>
  <c r="Z508" i="1"/>
  <c r="Z496" i="1"/>
  <c r="Z484" i="1"/>
  <c r="Z472" i="1"/>
  <c r="AB472" i="1" s="1"/>
  <c r="Z460" i="1"/>
  <c r="AB460" i="1" s="1"/>
  <c r="Z448" i="1"/>
  <c r="AB448" i="1" s="1"/>
  <c r="Z436" i="1"/>
  <c r="AB436" i="1" s="1"/>
  <c r="Z424" i="1"/>
  <c r="AB424" i="1" s="1"/>
  <c r="Z412" i="1"/>
  <c r="AB412" i="1" s="1"/>
  <c r="Z400" i="1"/>
  <c r="Z388" i="1"/>
  <c r="Z376" i="1"/>
  <c r="Z364" i="1"/>
  <c r="Z352" i="1"/>
  <c r="Z340" i="1"/>
  <c r="Z328" i="1"/>
  <c r="AB328" i="1" s="1"/>
  <c r="Z316" i="1"/>
  <c r="AB316" i="1" s="1"/>
  <c r="Z304" i="1"/>
  <c r="AB304" i="1" s="1"/>
  <c r="Z292" i="1"/>
  <c r="AB292" i="1" s="1"/>
  <c r="Z280" i="1"/>
  <c r="Z268" i="1"/>
  <c r="AB268" i="1" s="1"/>
  <c r="Z256" i="1"/>
  <c r="AB256" i="1" s="1"/>
  <c r="Z244" i="1"/>
  <c r="Z232" i="1"/>
  <c r="Z220" i="1"/>
  <c r="Z208" i="1"/>
  <c r="AB208" i="1" s="1"/>
  <c r="Z196" i="1"/>
  <c r="AB196" i="1" s="1"/>
  <c r="Z184" i="1"/>
  <c r="AB184" i="1" s="1"/>
  <c r="Z172" i="1"/>
  <c r="AB172" i="1" s="1"/>
  <c r="Z160" i="1"/>
  <c r="AB160" i="1" s="1"/>
  <c r="Z148" i="1"/>
  <c r="AB148" i="1" s="1"/>
  <c r="Z136" i="1"/>
  <c r="Z124" i="1"/>
  <c r="AB124" i="1" s="1"/>
  <c r="Z112" i="1"/>
  <c r="Z100" i="1"/>
  <c r="Z88" i="1"/>
  <c r="Z76" i="1"/>
  <c r="Z64" i="1"/>
  <c r="AB64" i="1" s="1"/>
  <c r="Z52" i="1"/>
  <c r="AB52" i="1" s="1"/>
  <c r="Z40" i="1"/>
  <c r="AB40" i="1" s="1"/>
  <c r="Z28" i="1"/>
  <c r="AB28" i="1" s="1"/>
  <c r="Z16" i="1"/>
  <c r="AB16" i="1" s="1"/>
  <c r="Z4" i="1"/>
  <c r="AB4" i="1" s="1"/>
  <c r="AB833" i="1"/>
  <c r="AB641" i="1"/>
  <c r="AB629" i="1"/>
  <c r="AB605" i="1"/>
  <c r="AB581" i="1"/>
  <c r="AB557" i="1"/>
  <c r="AB857" i="1"/>
  <c r="AB797" i="1"/>
  <c r="AB749" i="1"/>
  <c r="AB653" i="1"/>
  <c r="AB617" i="1"/>
  <c r="AB593" i="1"/>
  <c r="AB533" i="1"/>
  <c r="AB821" i="1"/>
  <c r="AB569" i="1"/>
  <c r="AB785" i="1"/>
  <c r="AB665" i="1"/>
  <c r="AB545" i="1"/>
  <c r="AB809" i="1"/>
  <c r="AB869" i="1"/>
  <c r="AB737" i="1"/>
  <c r="AB761" i="1"/>
  <c r="Z226" i="1"/>
  <c r="AB226" i="1" s="1"/>
  <c r="Z190" i="1"/>
  <c r="AB190" i="1" s="1"/>
  <c r="Z166" i="1"/>
  <c r="AB166" i="1" s="1"/>
  <c r="Z118" i="1"/>
  <c r="AB118" i="1" s="1"/>
  <c r="Z58" i="1"/>
  <c r="Z22" i="1"/>
  <c r="Z885" i="1"/>
  <c r="AB885" i="1" s="1"/>
  <c r="Z873" i="1"/>
  <c r="AB873" i="1" s="1"/>
  <c r="Z861" i="1"/>
  <c r="AB861" i="1" s="1"/>
  <c r="Z789" i="1"/>
  <c r="AB789" i="1" s="1"/>
  <c r="Z765" i="1"/>
  <c r="AB765" i="1" s="1"/>
  <c r="Z741" i="1"/>
  <c r="AB741" i="1" s="1"/>
  <c r="Z729" i="1"/>
  <c r="Z717" i="1"/>
  <c r="Z669" i="1"/>
  <c r="AB669" i="1" s="1"/>
  <c r="Z645" i="1"/>
  <c r="Z262" i="1"/>
  <c r="Z214" i="1"/>
  <c r="Z154" i="1"/>
  <c r="Z130" i="1"/>
  <c r="Z94" i="1"/>
  <c r="AB94" i="1" s="1"/>
  <c r="Z70" i="1"/>
  <c r="AB70" i="1" s="1"/>
  <c r="Z34" i="1"/>
  <c r="AB34" i="1" s="1"/>
  <c r="Z10" i="1"/>
  <c r="AB10" i="1" s="1"/>
  <c r="Z872" i="1"/>
  <c r="AB872" i="1" s="1"/>
  <c r="Z860" i="1"/>
  <c r="AB860" i="1" s="1"/>
  <c r="Z848" i="1"/>
  <c r="AB848" i="1" s="1"/>
  <c r="Z776" i="1"/>
  <c r="Z752" i="1"/>
  <c r="Z728" i="1"/>
  <c r="Z716" i="1"/>
  <c r="AB716" i="1" s="1"/>
  <c r="Z704" i="1"/>
  <c r="AB704" i="1" s="1"/>
  <c r="Z668" i="1"/>
  <c r="AB668" i="1" s="1"/>
  <c r="Z656" i="1"/>
  <c r="AB656" i="1" s="1"/>
  <c r="Z644" i="1"/>
  <c r="AB644" i="1" s="1"/>
  <c r="Z632" i="1"/>
  <c r="AB632" i="1" s="1"/>
  <c r="Z596" i="1"/>
  <c r="AB596" i="1" s="1"/>
  <c r="Z584" i="1"/>
  <c r="AB584" i="1" s="1"/>
  <c r="Z572" i="1"/>
  <c r="AB572" i="1" s="1"/>
  <c r="Z560" i="1"/>
  <c r="AB560" i="1" s="1"/>
  <c r="Z524" i="1"/>
  <c r="AB524" i="1" s="1"/>
  <c r="Z512" i="1"/>
  <c r="Z488" i="1"/>
  <c r="Z476" i="1"/>
  <c r="Z464" i="1"/>
  <c r="Z452" i="1"/>
  <c r="AB452" i="1" s="1"/>
  <c r="Z440" i="1"/>
  <c r="AB440" i="1" s="1"/>
  <c r="Z416" i="1"/>
  <c r="AB416" i="1" s="1"/>
  <c r="Z404" i="1"/>
  <c r="Z380" i="1"/>
  <c r="AB380" i="1" s="1"/>
  <c r="Z368" i="1"/>
  <c r="AB368" i="1" s="1"/>
  <c r="Z344" i="1"/>
  <c r="AB344" i="1" s="1"/>
  <c r="Z332" i="1"/>
  <c r="AB332" i="1" s="1"/>
  <c r="Z320" i="1"/>
  <c r="Z296" i="1"/>
  <c r="AB296" i="1" s="1"/>
  <c r="Z284" i="1"/>
  <c r="Z260" i="1"/>
  <c r="Z248" i="1"/>
  <c r="AB248" i="1" s="1"/>
  <c r="Z224" i="1"/>
  <c r="AB224" i="1" s="1"/>
  <c r="Z212" i="1"/>
  <c r="AB212" i="1" s="1"/>
  <c r="Z188" i="1"/>
  <c r="AB188" i="1" s="1"/>
  <c r="Z176" i="1"/>
  <c r="AB176" i="1" s="1"/>
  <c r="Z152" i="1"/>
  <c r="AB152" i="1" s="1"/>
  <c r="Z128" i="1"/>
  <c r="Z116" i="1"/>
  <c r="Z92" i="1"/>
  <c r="AB92" i="1" s="1"/>
  <c r="Z80" i="1"/>
  <c r="AB80" i="1" s="1"/>
  <c r="Z56" i="1"/>
  <c r="AB882" i="1"/>
  <c r="AB870" i="1"/>
  <c r="AB858" i="1"/>
  <c r="AB738" i="1"/>
  <c r="AB546" i="1"/>
  <c r="AB390" i="1"/>
  <c r="AB844" i="1"/>
  <c r="AB832" i="1"/>
  <c r="AB808" i="1"/>
  <c r="AB796" i="1"/>
  <c r="AB784" i="1"/>
  <c r="AB772" i="1"/>
  <c r="AB724" i="1"/>
  <c r="AB688" i="1"/>
  <c r="AB676" i="1"/>
  <c r="AB664" i="1"/>
  <c r="AB652" i="1"/>
  <c r="AB640" i="1"/>
  <c r="AB628" i="1"/>
  <c r="AB544" i="1"/>
  <c r="AB532" i="1"/>
  <c r="AB520" i="1"/>
  <c r="AB508" i="1"/>
  <c r="AB496" i="1"/>
  <c r="AB484" i="1"/>
  <c r="AB400" i="1"/>
  <c r="AB388" i="1"/>
  <c r="AB376" i="1"/>
  <c r="AB364" i="1"/>
  <c r="AB352" i="1"/>
  <c r="AB340" i="1"/>
  <c r="Z509" i="1"/>
  <c r="AB509" i="1" s="1"/>
  <c r="Z449" i="1"/>
  <c r="AB449" i="1" s="1"/>
  <c r="Z413" i="1"/>
  <c r="AB413" i="1" s="1"/>
  <c r="Z365" i="1"/>
  <c r="Z317" i="1"/>
  <c r="AB317" i="1" s="1"/>
  <c r="Z281" i="1"/>
  <c r="Z245" i="1"/>
  <c r="AB245" i="1" s="1"/>
  <c r="Z209" i="1"/>
  <c r="AB209" i="1" s="1"/>
  <c r="Z161" i="1"/>
  <c r="AB161" i="1" s="1"/>
  <c r="Z101" i="1"/>
  <c r="AB101" i="1" s="1"/>
  <c r="Z41" i="1"/>
  <c r="AB41" i="1" s="1"/>
  <c r="AB879" i="1"/>
  <c r="AB855" i="1"/>
  <c r="AB831" i="1"/>
  <c r="AB735" i="1"/>
  <c r="AB699" i="1"/>
  <c r="Z497" i="1"/>
  <c r="AB497" i="1" s="1"/>
  <c r="Z461" i="1"/>
  <c r="AB461" i="1" s="1"/>
  <c r="Z389" i="1"/>
  <c r="AB389" i="1" s="1"/>
  <c r="Z353" i="1"/>
  <c r="Z305" i="1"/>
  <c r="AB305" i="1" s="1"/>
  <c r="Z233" i="1"/>
  <c r="AB233" i="1" s="1"/>
  <c r="Z173" i="1"/>
  <c r="AB173" i="1" s="1"/>
  <c r="Z137" i="1"/>
  <c r="AB137" i="1" s="1"/>
  <c r="Z89" i="1"/>
  <c r="AB89" i="1" s="1"/>
  <c r="Z53" i="1"/>
  <c r="AB53" i="1" s="1"/>
  <c r="Z29" i="1"/>
  <c r="AB29" i="1" s="1"/>
  <c r="AB878" i="1"/>
  <c r="AB866" i="1"/>
  <c r="AB854" i="1"/>
  <c r="AB842" i="1"/>
  <c r="AB830" i="1"/>
  <c r="AB818" i="1"/>
  <c r="AB806" i="1"/>
  <c r="AB770" i="1"/>
  <c r="AB758" i="1"/>
  <c r="AB746" i="1"/>
  <c r="AB734" i="1"/>
  <c r="AB722" i="1"/>
  <c r="AB710" i="1"/>
  <c r="AB698" i="1"/>
  <c r="AB674" i="1"/>
  <c r="AB662" i="1"/>
  <c r="Z437" i="1"/>
  <c r="AB437" i="1" s="1"/>
  <c r="Z401" i="1"/>
  <c r="AB401" i="1" s="1"/>
  <c r="Z329" i="1"/>
  <c r="AB329" i="1" s="1"/>
  <c r="Z293" i="1"/>
  <c r="AB293" i="1" s="1"/>
  <c r="Z257" i="1"/>
  <c r="AB257" i="1" s="1"/>
  <c r="Z185" i="1"/>
  <c r="AB185" i="1" s="1"/>
  <c r="Z149" i="1"/>
  <c r="AB149" i="1" s="1"/>
  <c r="Z113" i="1"/>
  <c r="AB113" i="1" s="1"/>
  <c r="Z77" i="1"/>
  <c r="Z17" i="1"/>
  <c r="AB17" i="1" s="1"/>
  <c r="Z867" i="1"/>
  <c r="AB867" i="1" s="1"/>
  <c r="Z843" i="1"/>
  <c r="AB843" i="1" s="1"/>
  <c r="Z819" i="1"/>
  <c r="AB819" i="1" s="1"/>
  <c r="Z807" i="1"/>
  <c r="AB807" i="1" s="1"/>
  <c r="Z795" i="1"/>
  <c r="AB795" i="1" s="1"/>
  <c r="Z723" i="1"/>
  <c r="AB723" i="1" s="1"/>
  <c r="Z711" i="1"/>
  <c r="AB711" i="1" s="1"/>
  <c r="Z687" i="1"/>
  <c r="AB687" i="1" s="1"/>
  <c r="Z675" i="1"/>
  <c r="AB675" i="1" s="1"/>
  <c r="Z639" i="1"/>
  <c r="AB639" i="1" s="1"/>
  <c r="Z627" i="1"/>
  <c r="Z615" i="1"/>
  <c r="AB615" i="1" s="1"/>
  <c r="Z603" i="1"/>
  <c r="AB603" i="1" s="1"/>
  <c r="Z567" i="1"/>
  <c r="AB567" i="1" s="1"/>
  <c r="Z555" i="1"/>
  <c r="AB555" i="1" s="1"/>
  <c r="Z543" i="1"/>
  <c r="AB543" i="1" s="1"/>
  <c r="Z531" i="1"/>
  <c r="AB531" i="1" s="1"/>
  <c r="Z507" i="1"/>
  <c r="Z495" i="1"/>
  <c r="AB495" i="1" s="1"/>
  <c r="Z483" i="1"/>
  <c r="AB483" i="1" s="1"/>
  <c r="Z459" i="1"/>
  <c r="AB459" i="1" s="1"/>
  <c r="Z447" i="1"/>
  <c r="AB447" i="1" s="1"/>
  <c r="Z435" i="1"/>
  <c r="Z399" i="1"/>
  <c r="AB399" i="1" s="1"/>
  <c r="Z387" i="1"/>
  <c r="Z363" i="1"/>
  <c r="AB363" i="1" s="1"/>
  <c r="Z351" i="1"/>
  <c r="AB351" i="1" s="1"/>
  <c r="Z327" i="1"/>
  <c r="Z315" i="1"/>
  <c r="AB315" i="1" s="1"/>
  <c r="Z291" i="1"/>
  <c r="Z279" i="1"/>
  <c r="Z267" i="1"/>
  <c r="AB267" i="1" s="1"/>
  <c r="Z243" i="1"/>
  <c r="AB243" i="1" s="1"/>
  <c r="Z231" i="1"/>
  <c r="AB231" i="1" s="1"/>
  <c r="Z207" i="1"/>
  <c r="Z195" i="1"/>
  <c r="AB195" i="1" s="1"/>
  <c r="Z183" i="1"/>
  <c r="AB183" i="1" s="1"/>
  <c r="Z171" i="1"/>
  <c r="AB171" i="1" s="1"/>
  <c r="AB877" i="1"/>
  <c r="AB865" i="1"/>
  <c r="AB853" i="1"/>
  <c r="AB841" i="1"/>
  <c r="AB829" i="1"/>
  <c r="AB817" i="1"/>
  <c r="AB805" i="1"/>
  <c r="AB781" i="1"/>
  <c r="AB769" i="1"/>
  <c r="AB745" i="1"/>
  <c r="AB733" i="1"/>
  <c r="AB709" i="1"/>
  <c r="AB697" i="1"/>
  <c r="AB673" i="1"/>
  <c r="AB661" i="1"/>
  <c r="AB637" i="1"/>
  <c r="AB625" i="1"/>
  <c r="AB613" i="1"/>
  <c r="AB601" i="1"/>
  <c r="AB553" i="1"/>
  <c r="AB541" i="1"/>
  <c r="AB529" i="1"/>
  <c r="AB517" i="1"/>
  <c r="AB481" i="1"/>
  <c r="AB469" i="1"/>
  <c r="AB457" i="1"/>
  <c r="Z25" i="1"/>
  <c r="AB25" i="1" s="1"/>
  <c r="AB837" i="1"/>
  <c r="AB836" i="1"/>
  <c r="AB824" i="1"/>
  <c r="AB812" i="1"/>
  <c r="AB800" i="1"/>
  <c r="AB776" i="1"/>
  <c r="AB764" i="1"/>
  <c r="AB752" i="1"/>
  <c r="AB728" i="1"/>
  <c r="AB608" i="1"/>
  <c r="AB536" i="1"/>
  <c r="AB512" i="1"/>
  <c r="AB488" i="1"/>
  <c r="AB476" i="1"/>
  <c r="AB464" i="1"/>
  <c r="AB116" i="1"/>
  <c r="AB56" i="1"/>
  <c r="AB44" i="1"/>
  <c r="AB719" i="1"/>
  <c r="AB647" i="1"/>
  <c r="AB527" i="1"/>
  <c r="AB215" i="1"/>
  <c r="AB886" i="1"/>
  <c r="AB874" i="1"/>
  <c r="AB862" i="1"/>
  <c r="AB850" i="1"/>
  <c r="AB838" i="1"/>
  <c r="AB826" i="1"/>
  <c r="AB814" i="1"/>
  <c r="AB802" i="1"/>
  <c r="AB790" i="1"/>
  <c r="AB778" i="1"/>
  <c r="AB766" i="1"/>
  <c r="AB754" i="1"/>
  <c r="AB742" i="1"/>
  <c r="AB730" i="1"/>
  <c r="AB718" i="1"/>
  <c r="AB706" i="1"/>
  <c r="AB694" i="1"/>
  <c r="AB682" i="1"/>
  <c r="AB670" i="1"/>
  <c r="AB658" i="1"/>
  <c r="AB646" i="1"/>
  <c r="AB634" i="1"/>
  <c r="AB622" i="1"/>
  <c r="AB610" i="1"/>
  <c r="AB598" i="1"/>
  <c r="AB586" i="1"/>
  <c r="AB574" i="1"/>
  <c r="AB562" i="1"/>
  <c r="AB550" i="1"/>
  <c r="AB538" i="1"/>
  <c r="AB526" i="1"/>
  <c r="AB514" i="1"/>
  <c r="AB502" i="1"/>
  <c r="AB490" i="1"/>
  <c r="AB478" i="1"/>
  <c r="AB466" i="1"/>
  <c r="AB454" i="1"/>
  <c r="AB442" i="1"/>
  <c r="AB430" i="1"/>
  <c r="AB418" i="1"/>
  <c r="AB406" i="1"/>
  <c r="AB394" i="1"/>
  <c r="AB382" i="1"/>
  <c r="AB202" i="1"/>
  <c r="AB178" i="1"/>
  <c r="AB154" i="1"/>
  <c r="AB58" i="1"/>
  <c r="AB46" i="1"/>
  <c r="AB22" i="1"/>
  <c r="AB849" i="1"/>
  <c r="AB825" i="1"/>
  <c r="AB813" i="1"/>
  <c r="AB801" i="1"/>
  <c r="AB777" i="1"/>
  <c r="AB753" i="1"/>
  <c r="AB729" i="1"/>
  <c r="AB717" i="1"/>
  <c r="AB705" i="1"/>
  <c r="AB693" i="1"/>
  <c r="AB681" i="1"/>
  <c r="AB657" i="1"/>
  <c r="AB645" i="1"/>
  <c r="AB633" i="1"/>
  <c r="AB621" i="1"/>
  <c r="AB609" i="1"/>
  <c r="AB597" i="1"/>
  <c r="AB189" i="1"/>
  <c r="AB165" i="1"/>
  <c r="AB141" i="1"/>
  <c r="AB45" i="1"/>
  <c r="AB883" i="1"/>
  <c r="AB871" i="1"/>
  <c r="AB859" i="1"/>
  <c r="AB847" i="1"/>
  <c r="AB835" i="1"/>
  <c r="AB823" i="1"/>
  <c r="AB811" i="1"/>
  <c r="AB799" i="1"/>
  <c r="AB787" i="1"/>
  <c r="AB763" i="1"/>
  <c r="AB751" i="1"/>
  <c r="AB727" i="1"/>
  <c r="AB715" i="1"/>
  <c r="AB691" i="1"/>
  <c r="AB679" i="1"/>
  <c r="AB655" i="1"/>
  <c r="AB643" i="1"/>
  <c r="AB631" i="1"/>
  <c r="AB619" i="1"/>
  <c r="AB571" i="1"/>
  <c r="AB559" i="1"/>
  <c r="AB547" i="1"/>
  <c r="AB535" i="1"/>
  <c r="AB511" i="1"/>
  <c r="AB499" i="1"/>
  <c r="AB487" i="1"/>
  <c r="AB475" i="1"/>
  <c r="AB427" i="1"/>
  <c r="AB415" i="1"/>
  <c r="AB403" i="1"/>
  <c r="AB391" i="1"/>
  <c r="AB367" i="1"/>
  <c r="AB355" i="1"/>
  <c r="AB343" i="1"/>
  <c r="AB331" i="1"/>
  <c r="AB283" i="1"/>
  <c r="AB271" i="1"/>
  <c r="AB259" i="1"/>
  <c r="AB247" i="1"/>
  <c r="AB223" i="1"/>
  <c r="AB846" i="1"/>
  <c r="AB834" i="1"/>
  <c r="AB822" i="1"/>
  <c r="AB810" i="1"/>
  <c r="AB798" i="1"/>
  <c r="AB786" i="1"/>
  <c r="AB774" i="1"/>
  <c r="AB762" i="1"/>
  <c r="AB750" i="1"/>
  <c r="AB726" i="1"/>
  <c r="AB714" i="1"/>
  <c r="AB702" i="1"/>
  <c r="AB690" i="1"/>
  <c r="AB678" i="1"/>
  <c r="AB666" i="1"/>
  <c r="AB654" i="1"/>
  <c r="AB642" i="1"/>
  <c r="AB630" i="1"/>
  <c r="AB618" i="1"/>
  <c r="AB606" i="1"/>
  <c r="AB594" i="1"/>
  <c r="AB582" i="1"/>
  <c r="AB570" i="1"/>
  <c r="AB558" i="1"/>
  <c r="AB534" i="1"/>
  <c r="AB522" i="1"/>
  <c r="AB510" i="1"/>
  <c r="AB498" i="1"/>
  <c r="AB486" i="1"/>
  <c r="AB474" i="1"/>
  <c r="AB462" i="1"/>
  <c r="AB450" i="1"/>
  <c r="AB438" i="1"/>
  <c r="AB426" i="1"/>
  <c r="AB414" i="1"/>
  <c r="AB402" i="1"/>
  <c r="AB366" i="1"/>
  <c r="AB354" i="1"/>
  <c r="AB342" i="1"/>
  <c r="AB330" i="1"/>
  <c r="AB246" i="1"/>
  <c r="AB234" i="1"/>
  <c r="AB485" i="1"/>
  <c r="AB473" i="1"/>
  <c r="AB377" i="1"/>
  <c r="AB365" i="1"/>
  <c r="AB353" i="1"/>
  <c r="AB341" i="1"/>
  <c r="AB281" i="1"/>
  <c r="AB269" i="1"/>
  <c r="AB221" i="1"/>
  <c r="AB197" i="1"/>
  <c r="AB125" i="1"/>
  <c r="AB77" i="1"/>
  <c r="AB65" i="1"/>
  <c r="AB5" i="1"/>
  <c r="AB280" i="1"/>
  <c r="AB244" i="1"/>
  <c r="AB232" i="1"/>
  <c r="AB220" i="1"/>
  <c r="AB136" i="1"/>
  <c r="AB112" i="1"/>
  <c r="AB100" i="1"/>
  <c r="AB88" i="1"/>
  <c r="AB76" i="1"/>
  <c r="AB306" i="1"/>
  <c r="AB294" i="1"/>
  <c r="AB282" i="1"/>
  <c r="AB270" i="1"/>
  <c r="AB222" i="1"/>
  <c r="AB210" i="1"/>
  <c r="AB198" i="1"/>
  <c r="AB186" i="1"/>
  <c r="AB174" i="1"/>
  <c r="AB162" i="1"/>
  <c r="AB150" i="1"/>
  <c r="AB138" i="1"/>
  <c r="AB126" i="1"/>
  <c r="AB114" i="1"/>
  <c r="AB102" i="1"/>
  <c r="AB90" i="1"/>
  <c r="AB78" i="1"/>
  <c r="AB66" i="1"/>
  <c r="AB54" i="1"/>
  <c r="AB42" i="1"/>
  <c r="AB30" i="1"/>
  <c r="AB18" i="1"/>
  <c r="AB6" i="1"/>
  <c r="AB663" i="1"/>
  <c r="AB651" i="1"/>
  <c r="AB627" i="1"/>
  <c r="AB591" i="1"/>
  <c r="AB579" i="1"/>
  <c r="AB207" i="1"/>
  <c r="AB123" i="1"/>
  <c r="AB27" i="1"/>
  <c r="AB614" i="1"/>
  <c r="AB602" i="1"/>
  <c r="AB590" i="1"/>
  <c r="AB578" i="1"/>
  <c r="AB554" i="1"/>
  <c r="AB542" i="1"/>
  <c r="AB530" i="1"/>
  <c r="AB518" i="1"/>
  <c r="AB470" i="1"/>
  <c r="AB458" i="1"/>
  <c r="AB446" i="1"/>
  <c r="AB434" i="1"/>
  <c r="AB410" i="1"/>
  <c r="AB398" i="1"/>
  <c r="AB386" i="1"/>
  <c r="AB374" i="1"/>
  <c r="AB326" i="1"/>
  <c r="AB314" i="1"/>
  <c r="AB302" i="1"/>
  <c r="AB290" i="1"/>
  <c r="AB266" i="1"/>
  <c r="AB254" i="1"/>
  <c r="AB242" i="1"/>
  <c r="AB230" i="1"/>
  <c r="AB134" i="1"/>
  <c r="AB122" i="1"/>
  <c r="AB98" i="1"/>
  <c r="AB86" i="1"/>
  <c r="AB74" i="1"/>
  <c r="AB26" i="1"/>
  <c r="AB409" i="1"/>
  <c r="AB397" i="1"/>
  <c r="AB385" i="1"/>
  <c r="AB373" i="1"/>
  <c r="AB337" i="1"/>
  <c r="AB313" i="1"/>
  <c r="AB265" i="1"/>
  <c r="AB253" i="1"/>
  <c r="AB241" i="1"/>
  <c r="AB229" i="1"/>
  <c r="AB109" i="1"/>
  <c r="AB85" i="1"/>
  <c r="AB888" i="1"/>
  <c r="AB876" i="1"/>
  <c r="AB864" i="1"/>
  <c r="AB852" i="1"/>
  <c r="AB840" i="1"/>
  <c r="AB828" i="1"/>
  <c r="AB816" i="1"/>
  <c r="AB804" i="1"/>
  <c r="AB108" i="1"/>
  <c r="AB12" i="1"/>
  <c r="AB887" i="1"/>
  <c r="AB875" i="1"/>
  <c r="AB863" i="1"/>
  <c r="AB851" i="1"/>
  <c r="AB839" i="1"/>
  <c r="AB827" i="1"/>
  <c r="AB815" i="1"/>
  <c r="AB803" i="1"/>
  <c r="AB707" i="1"/>
  <c r="AB695" i="1"/>
  <c r="AB671" i="1"/>
  <c r="AB659" i="1"/>
  <c r="AB575" i="1"/>
  <c r="AB551" i="1"/>
  <c r="AB539" i="1"/>
  <c r="AB491" i="1"/>
  <c r="AB479" i="1"/>
  <c r="AB431" i="1"/>
  <c r="AB419" i="1"/>
  <c r="AB407" i="1"/>
  <c r="AB395" i="1"/>
  <c r="AB275" i="1"/>
  <c r="AB251" i="1"/>
  <c r="AB179" i="1"/>
  <c r="AB107" i="1"/>
  <c r="AB95" i="1"/>
  <c r="AB83" i="1"/>
  <c r="AB71" i="1"/>
  <c r="AB59" i="1"/>
  <c r="AB519" i="1"/>
  <c r="AB507" i="1"/>
  <c r="AB471" i="1"/>
  <c r="AB435" i="1"/>
  <c r="AB411" i="1"/>
  <c r="AB387" i="1"/>
  <c r="AB375" i="1"/>
  <c r="AB339" i="1"/>
  <c r="AB327" i="1"/>
  <c r="AB291" i="1"/>
  <c r="AB279" i="1"/>
  <c r="AB219" i="1"/>
  <c r="AB159" i="1"/>
  <c r="AB147" i="1"/>
  <c r="AB135" i="1"/>
  <c r="AB111" i="1"/>
  <c r="AB99" i="1"/>
  <c r="AB87" i="1"/>
  <c r="AB63" i="1"/>
  <c r="AB15" i="1"/>
  <c r="AB3" i="1"/>
  <c r="AB158" i="1"/>
  <c r="AB110" i="1"/>
  <c r="AB14" i="1"/>
  <c r="AB145" i="1"/>
  <c r="AB97" i="1"/>
  <c r="AB792" i="1"/>
  <c r="AB780" i="1"/>
  <c r="AB768" i="1"/>
  <c r="AB756" i="1"/>
  <c r="AB744" i="1"/>
  <c r="AB732" i="1"/>
  <c r="AB720" i="1"/>
  <c r="AB708" i="1"/>
  <c r="AB696" i="1"/>
  <c r="AB684" i="1"/>
  <c r="AB672" i="1"/>
  <c r="AB660" i="1"/>
  <c r="AB648" i="1"/>
  <c r="AB636" i="1"/>
  <c r="AB624" i="1"/>
  <c r="AB612" i="1"/>
  <c r="AB600" i="1"/>
  <c r="AB588" i="1"/>
  <c r="AB576" i="1"/>
  <c r="AB564" i="1"/>
  <c r="AB552" i="1"/>
  <c r="AB540" i="1"/>
  <c r="AB528" i="1"/>
  <c r="AB516" i="1"/>
  <c r="AB504" i="1"/>
  <c r="AB492" i="1"/>
  <c r="AB480" i="1"/>
  <c r="AB468" i="1"/>
  <c r="AB456" i="1"/>
  <c r="AB444" i="1"/>
  <c r="AB432" i="1"/>
  <c r="AB420" i="1"/>
  <c r="AB408" i="1"/>
  <c r="AB396" i="1"/>
  <c r="AB384" i="1"/>
  <c r="AB372" i="1"/>
  <c r="AB360" i="1"/>
  <c r="AB348" i="1"/>
  <c r="AB336" i="1"/>
  <c r="AB324" i="1"/>
  <c r="AB312" i="1"/>
  <c r="AB300" i="1"/>
  <c r="AB288" i="1"/>
  <c r="AB276" i="1"/>
  <c r="AB264" i="1"/>
  <c r="AB252" i="1"/>
  <c r="AB240" i="1"/>
  <c r="AB228" i="1"/>
  <c r="AB216" i="1"/>
  <c r="AB180" i="1"/>
  <c r="AB144" i="1"/>
  <c r="AB132" i="1"/>
  <c r="AB120" i="1"/>
  <c r="AB96" i="1"/>
  <c r="AB84" i="1"/>
  <c r="AB72" i="1"/>
  <c r="AB48" i="1"/>
  <c r="AB36" i="1"/>
  <c r="AB24" i="1"/>
  <c r="AB370" i="1"/>
  <c r="AB358" i="1"/>
  <c r="AB346" i="1"/>
  <c r="AB334" i="1"/>
  <c r="AB322" i="1"/>
  <c r="AB310" i="1"/>
  <c r="AB298" i="1"/>
  <c r="AB286" i="1"/>
  <c r="AB274" i="1"/>
  <c r="AB262" i="1"/>
  <c r="AB250" i="1"/>
  <c r="AB238" i="1"/>
  <c r="AB214" i="1"/>
  <c r="AB130" i="1"/>
  <c r="AB82" i="1"/>
  <c r="AB585" i="1"/>
  <c r="AB573" i="1"/>
  <c r="AB561" i="1"/>
  <c r="AB549" i="1"/>
  <c r="AB537" i="1"/>
  <c r="AB525" i="1"/>
  <c r="AB513" i="1"/>
  <c r="AB501" i="1"/>
  <c r="AB489" i="1"/>
  <c r="AB477" i="1"/>
  <c r="AB465" i="1"/>
  <c r="AB453" i="1"/>
  <c r="AB441" i="1"/>
  <c r="AB429" i="1"/>
  <c r="AB417" i="1"/>
  <c r="AB405" i="1"/>
  <c r="AB393" i="1"/>
  <c r="AB381" i="1"/>
  <c r="AB369" i="1"/>
  <c r="AB357" i="1"/>
  <c r="AB345" i="1"/>
  <c r="AB333" i="1"/>
  <c r="AB321" i="1"/>
  <c r="AB309" i="1"/>
  <c r="AB297" i="1"/>
  <c r="AB285" i="1"/>
  <c r="AB273" i="1"/>
  <c r="AB261" i="1"/>
  <c r="AB249" i="1"/>
  <c r="AB237" i="1"/>
  <c r="AB225" i="1"/>
  <c r="AB213" i="1"/>
  <c r="AB201" i="1"/>
  <c r="AB177" i="1"/>
  <c r="AB153" i="1"/>
  <c r="AB129" i="1"/>
  <c r="AB117" i="1"/>
  <c r="AB105" i="1"/>
  <c r="AB81" i="1"/>
  <c r="AB69" i="1"/>
  <c r="AB57" i="1"/>
  <c r="AB33" i="1"/>
  <c r="AB21" i="1"/>
  <c r="AB9" i="1"/>
  <c r="AB404" i="1"/>
  <c r="AB392" i="1"/>
  <c r="AB356" i="1"/>
  <c r="AB320" i="1"/>
  <c r="AB308" i="1"/>
  <c r="AB284" i="1"/>
  <c r="AB272" i="1"/>
  <c r="AB260" i="1"/>
  <c r="AB200" i="1"/>
  <c r="AB164" i="1"/>
  <c r="AB128" i="1"/>
  <c r="AB32" i="1"/>
  <c r="AB211" i="1"/>
  <c r="AB199" i="1"/>
  <c r="AB187" i="1"/>
  <c r="AB175" i="1"/>
  <c r="AB163" i="1"/>
  <c r="AB151" i="1"/>
  <c r="AB139" i="1"/>
  <c r="AB127" i="1"/>
  <c r="AB115" i="1"/>
  <c r="AB103" i="1"/>
  <c r="AB91" i="1"/>
  <c r="AB79" i="1"/>
  <c r="AB67" i="1"/>
  <c r="AB55" i="1"/>
  <c r="AB43" i="1"/>
  <c r="AB31" i="1"/>
  <c r="AB19" i="1"/>
  <c r="AB7" i="1"/>
  <c r="I12" i="3"/>
  <c r="I349" i="3"/>
  <c r="H294" i="3"/>
  <c r="G50" i="3"/>
  <c r="G194" i="3"/>
  <c r="G327" i="3"/>
  <c r="F47" i="3"/>
  <c r="F155" i="3"/>
  <c r="F263" i="3"/>
  <c r="F371" i="3"/>
  <c r="E91" i="3"/>
  <c r="E199" i="3"/>
  <c r="E307" i="3"/>
  <c r="E370" i="3"/>
  <c r="D18" i="3"/>
  <c r="D54" i="3"/>
  <c r="D90" i="3"/>
  <c r="D126" i="3"/>
  <c r="D162" i="3"/>
  <c r="D198" i="3"/>
  <c r="D234" i="3"/>
  <c r="D270" i="3"/>
  <c r="D306" i="3"/>
  <c r="D342" i="3"/>
  <c r="D378" i="3"/>
  <c r="C26" i="3"/>
  <c r="C62" i="3"/>
  <c r="C98" i="3"/>
  <c r="C134" i="3"/>
  <c r="C170" i="3"/>
  <c r="C206" i="3"/>
  <c r="C242" i="3"/>
  <c r="C278" i="3"/>
  <c r="C314" i="3"/>
  <c r="C350" i="3"/>
  <c r="C386" i="3"/>
  <c r="B34" i="3"/>
  <c r="B70" i="3"/>
  <c r="B106" i="3"/>
  <c r="B142" i="3"/>
  <c r="B178" i="3"/>
  <c r="B214" i="3"/>
  <c r="B250" i="3"/>
  <c r="B286" i="3"/>
  <c r="B322" i="3"/>
  <c r="B358" i="3"/>
  <c r="D248" i="3"/>
  <c r="I63" i="3"/>
  <c r="H22" i="3"/>
  <c r="H320" i="3"/>
  <c r="G76" i="3"/>
  <c r="G220" i="3"/>
  <c r="G328" i="3"/>
  <c r="F48" i="3"/>
  <c r="F156" i="3"/>
  <c r="F264" i="3"/>
  <c r="F372" i="3"/>
  <c r="E92" i="3"/>
  <c r="E200" i="3"/>
  <c r="E308" i="3"/>
  <c r="E371" i="3"/>
  <c r="D19" i="3"/>
  <c r="D55" i="3"/>
  <c r="D91" i="3"/>
  <c r="D127" i="3"/>
  <c r="D163" i="3"/>
  <c r="D199" i="3"/>
  <c r="D235" i="3"/>
  <c r="D271" i="3"/>
  <c r="D307" i="3"/>
  <c r="D343" i="3"/>
  <c r="D379" i="3"/>
  <c r="C27" i="3"/>
  <c r="C63" i="3"/>
  <c r="C99" i="3"/>
  <c r="C135" i="3"/>
  <c r="C171" i="3"/>
  <c r="C207" i="3"/>
  <c r="C243" i="3"/>
  <c r="C279" i="3"/>
  <c r="C315" i="3"/>
  <c r="C351" i="3"/>
  <c r="C387" i="3"/>
  <c r="B35" i="3"/>
  <c r="B71" i="3"/>
  <c r="B107" i="3"/>
  <c r="B143" i="3"/>
  <c r="B179" i="3"/>
  <c r="B215" i="3"/>
  <c r="B251" i="3"/>
  <c r="B287" i="3"/>
  <c r="B323" i="3"/>
  <c r="B359" i="3"/>
  <c r="I71" i="3"/>
  <c r="H23" i="3"/>
  <c r="H321" i="3"/>
  <c r="G77" i="3"/>
  <c r="G221" i="3"/>
  <c r="G329" i="3"/>
  <c r="F49" i="3"/>
  <c r="F157" i="3"/>
  <c r="F265" i="3"/>
  <c r="F373" i="3"/>
  <c r="E93" i="3"/>
  <c r="E201" i="3"/>
  <c r="E309" i="3"/>
  <c r="E372" i="3"/>
  <c r="D20" i="3"/>
  <c r="D56" i="3"/>
  <c r="D92" i="3"/>
  <c r="D128" i="3"/>
  <c r="D164" i="3"/>
  <c r="D200" i="3"/>
  <c r="D236" i="3"/>
  <c r="D272" i="3"/>
  <c r="D308" i="3"/>
  <c r="D344" i="3"/>
  <c r="D380" i="3"/>
  <c r="C28" i="3"/>
  <c r="C64" i="3"/>
  <c r="C100" i="3"/>
  <c r="C136" i="3"/>
  <c r="C172" i="3"/>
  <c r="C208" i="3"/>
  <c r="C244" i="3"/>
  <c r="C280" i="3"/>
  <c r="C316" i="3"/>
  <c r="C352" i="3"/>
  <c r="C388" i="3"/>
  <c r="B36" i="3"/>
  <c r="B72" i="3"/>
  <c r="B108" i="3"/>
  <c r="B144" i="3"/>
  <c r="B180" i="3"/>
  <c r="B216" i="3"/>
  <c r="B252" i="3"/>
  <c r="B288" i="3"/>
  <c r="B324" i="3"/>
  <c r="B360" i="3"/>
  <c r="I179" i="3"/>
  <c r="H366" i="3"/>
  <c r="G122" i="3"/>
  <c r="G365" i="3"/>
  <c r="F193" i="3"/>
  <c r="E21" i="3"/>
  <c r="E345" i="3"/>
  <c r="D32" i="3"/>
  <c r="D140" i="3"/>
  <c r="D212" i="3"/>
  <c r="D284" i="3"/>
  <c r="C4" i="3"/>
  <c r="C76" i="3"/>
  <c r="C148" i="3"/>
  <c r="C220" i="3"/>
  <c r="C292" i="3"/>
  <c r="B12" i="3"/>
  <c r="B120" i="3"/>
  <c r="B192" i="3"/>
  <c r="B264" i="3"/>
  <c r="B300" i="3"/>
  <c r="B372" i="3"/>
  <c r="H199" i="3"/>
  <c r="G4" i="3"/>
  <c r="G148" i="3"/>
  <c r="G266" i="3"/>
  <c r="G374" i="3"/>
  <c r="F94" i="3"/>
  <c r="F202" i="3"/>
  <c r="F310" i="3"/>
  <c r="E30" i="3"/>
  <c r="E138" i="3"/>
  <c r="E246" i="3"/>
  <c r="E347" i="3"/>
  <c r="E385" i="3"/>
  <c r="D33" i="3"/>
  <c r="D69" i="3"/>
  <c r="D105" i="3"/>
  <c r="D141" i="3"/>
  <c r="I87" i="3"/>
  <c r="H46" i="3"/>
  <c r="H330" i="3"/>
  <c r="G86" i="3"/>
  <c r="G230" i="3"/>
  <c r="G338" i="3"/>
  <c r="F58" i="3"/>
  <c r="F166" i="3"/>
  <c r="F274" i="3"/>
  <c r="F382" i="3"/>
  <c r="E102" i="3"/>
  <c r="E210" i="3"/>
  <c r="E318" i="3"/>
  <c r="E373" i="3"/>
  <c r="D21" i="3"/>
  <c r="D57" i="3"/>
  <c r="D93" i="3"/>
  <c r="D129" i="3"/>
  <c r="D165" i="3"/>
  <c r="D201" i="3"/>
  <c r="D237" i="3"/>
  <c r="D273" i="3"/>
  <c r="D309" i="3"/>
  <c r="D345" i="3"/>
  <c r="D381" i="3"/>
  <c r="C29" i="3"/>
  <c r="C65" i="3"/>
  <c r="C101" i="3"/>
  <c r="C137" i="3"/>
  <c r="C173" i="3"/>
  <c r="C209" i="3"/>
  <c r="C245" i="3"/>
  <c r="C281" i="3"/>
  <c r="C317" i="3"/>
  <c r="C353" i="3"/>
  <c r="C389" i="3"/>
  <c r="B37" i="3"/>
  <c r="B73" i="3"/>
  <c r="B109" i="3"/>
  <c r="B145" i="3"/>
  <c r="B181" i="3"/>
  <c r="B217" i="3"/>
  <c r="B253" i="3"/>
  <c r="B289" i="3"/>
  <c r="B325" i="3"/>
  <c r="B361" i="3"/>
  <c r="H131" i="3"/>
  <c r="G257" i="3"/>
  <c r="F85" i="3"/>
  <c r="F301" i="3"/>
  <c r="E129" i="3"/>
  <c r="E384" i="3"/>
  <c r="D68" i="3"/>
  <c r="D104" i="3"/>
  <c r="D176" i="3"/>
  <c r="D320" i="3"/>
  <c r="D356" i="3"/>
  <c r="C40" i="3"/>
  <c r="C112" i="3"/>
  <c r="C184" i="3"/>
  <c r="C256" i="3"/>
  <c r="C328" i="3"/>
  <c r="C364" i="3"/>
  <c r="B48" i="3"/>
  <c r="B84" i="3"/>
  <c r="B156" i="3"/>
  <c r="B228" i="3"/>
  <c r="B336" i="3"/>
  <c r="I155" i="3"/>
  <c r="H107" i="3"/>
  <c r="H356" i="3"/>
  <c r="G112" i="3"/>
  <c r="G255" i="3"/>
  <c r="G363" i="3"/>
  <c r="F83" i="3"/>
  <c r="F191" i="3"/>
  <c r="F299" i="3"/>
  <c r="E19" i="3"/>
  <c r="E127" i="3"/>
  <c r="E235" i="3"/>
  <c r="E343" i="3"/>
  <c r="E382" i="3"/>
  <c r="D30" i="3"/>
  <c r="D66" i="3"/>
  <c r="D102" i="3"/>
  <c r="D138" i="3"/>
  <c r="D174" i="3"/>
  <c r="D210" i="3"/>
  <c r="D246" i="3"/>
  <c r="D282" i="3"/>
  <c r="D318" i="3"/>
  <c r="D354" i="3"/>
  <c r="D390" i="3"/>
  <c r="C38" i="3"/>
  <c r="C74" i="3"/>
  <c r="C110" i="3"/>
  <c r="C146" i="3"/>
  <c r="C182" i="3"/>
  <c r="C218" i="3"/>
  <c r="C254" i="3"/>
  <c r="C290" i="3"/>
  <c r="C326" i="3"/>
  <c r="C362" i="3"/>
  <c r="B10" i="3"/>
  <c r="B46" i="3"/>
  <c r="B82" i="3"/>
  <c r="B118" i="3"/>
  <c r="B154" i="3"/>
  <c r="B190" i="3"/>
  <c r="B226" i="3"/>
  <c r="B262" i="3"/>
  <c r="B298" i="3"/>
  <c r="B334" i="3"/>
  <c r="B370" i="3"/>
  <c r="E237" i="3"/>
  <c r="I156" i="3"/>
  <c r="H115" i="3"/>
  <c r="H357" i="3"/>
  <c r="G113" i="3"/>
  <c r="G256" i="3"/>
  <c r="G364" i="3"/>
  <c r="F84" i="3"/>
  <c r="F192" i="3"/>
  <c r="F300" i="3"/>
  <c r="E20" i="3"/>
  <c r="E128" i="3"/>
  <c r="E236" i="3"/>
  <c r="E344" i="3"/>
  <c r="E383" i="3"/>
  <c r="D31" i="3"/>
  <c r="D67" i="3"/>
  <c r="D103" i="3"/>
  <c r="D139" i="3"/>
  <c r="D175" i="3"/>
  <c r="D211" i="3"/>
  <c r="D247" i="3"/>
  <c r="D283" i="3"/>
  <c r="D319" i="3"/>
  <c r="D355" i="3"/>
  <c r="C3" i="3"/>
  <c r="C39" i="3"/>
  <c r="C75" i="3"/>
  <c r="C111" i="3"/>
  <c r="C147" i="3"/>
  <c r="C183" i="3"/>
  <c r="C219" i="3"/>
  <c r="C255" i="3"/>
  <c r="C291" i="3"/>
  <c r="C327" i="3"/>
  <c r="C363" i="3"/>
  <c r="B11" i="3"/>
  <c r="B47" i="3"/>
  <c r="B83" i="3"/>
  <c r="B119" i="3"/>
  <c r="B155" i="3"/>
  <c r="B191" i="3"/>
  <c r="B227" i="3"/>
  <c r="B263" i="3"/>
  <c r="B299" i="3"/>
  <c r="B335" i="3"/>
  <c r="B371" i="3"/>
  <c r="B203" i="3"/>
  <c r="C159" i="3"/>
  <c r="D189" i="3"/>
  <c r="E163" i="3"/>
  <c r="H200" i="3"/>
  <c r="B202" i="3"/>
  <c r="C329" i="3"/>
  <c r="D81" i="3"/>
  <c r="C52" i="3"/>
  <c r="C230" i="3"/>
  <c r="B313" i="3"/>
  <c r="B239" i="3"/>
  <c r="B157" i="3"/>
  <c r="B60" i="3"/>
  <c r="C374" i="3"/>
  <c r="C269" i="3"/>
  <c r="C195" i="3"/>
  <c r="C113" i="3"/>
  <c r="C16" i="3"/>
  <c r="D330" i="3"/>
  <c r="D225" i="3"/>
  <c r="D151" i="3"/>
  <c r="D43" i="3"/>
  <c r="E272" i="3"/>
  <c r="F336" i="3"/>
  <c r="F12" i="3"/>
  <c r="G14" i="3"/>
  <c r="B277" i="3"/>
  <c r="C233" i="3"/>
  <c r="C77" i="3"/>
  <c r="D294" i="3"/>
  <c r="D6" i="3"/>
  <c r="G291" i="3"/>
  <c r="D367" i="3"/>
  <c r="B96" i="3"/>
  <c r="B348" i="3"/>
  <c r="B312" i="3"/>
  <c r="B238" i="3"/>
  <c r="B133" i="3"/>
  <c r="B59" i="3"/>
  <c r="C365" i="3"/>
  <c r="C268" i="3"/>
  <c r="C194" i="3"/>
  <c r="C89" i="3"/>
  <c r="C15" i="3"/>
  <c r="D321" i="3"/>
  <c r="D224" i="3"/>
  <c r="D150" i="3"/>
  <c r="D42" i="3"/>
  <c r="E271" i="3"/>
  <c r="F335" i="3"/>
  <c r="F11" i="3"/>
  <c r="G5" i="3"/>
  <c r="B382" i="3"/>
  <c r="C338" i="3"/>
  <c r="D114" i="3"/>
  <c r="F121" i="3"/>
  <c r="B229" i="3"/>
  <c r="H285" i="3"/>
  <c r="B121" i="3"/>
  <c r="D368" i="3"/>
  <c r="F227" i="3"/>
  <c r="E57" i="3"/>
  <c r="B385" i="3"/>
  <c r="B311" i="3"/>
  <c r="B132" i="3"/>
  <c r="B58" i="3"/>
  <c r="C341" i="3"/>
  <c r="C267" i="3"/>
  <c r="C185" i="3"/>
  <c r="C88" i="3"/>
  <c r="C14" i="3"/>
  <c r="D297" i="3"/>
  <c r="D223" i="3"/>
  <c r="D117" i="3"/>
  <c r="D9" i="3"/>
  <c r="E174" i="3"/>
  <c r="F238" i="3"/>
  <c r="G302" i="3"/>
  <c r="B384" i="3"/>
  <c r="B310" i="3"/>
  <c r="B205" i="3"/>
  <c r="B131" i="3"/>
  <c r="B49" i="3"/>
  <c r="C340" i="3"/>
  <c r="C266" i="3"/>
  <c r="C161" i="3"/>
  <c r="C87" i="3"/>
  <c r="C5" i="3"/>
  <c r="D296" i="3"/>
  <c r="D222" i="3"/>
  <c r="D116" i="3"/>
  <c r="D8" i="3"/>
  <c r="E165" i="3"/>
  <c r="F229" i="3"/>
  <c r="G293" i="3"/>
  <c r="H284" i="3"/>
  <c r="B24" i="3"/>
  <c r="D366" i="3"/>
  <c r="B383" i="3"/>
  <c r="B301" i="3"/>
  <c r="B204" i="3"/>
  <c r="B130" i="3"/>
  <c r="B25" i="3"/>
  <c r="C339" i="3"/>
  <c r="C257" i="3"/>
  <c r="C160" i="3"/>
  <c r="C86" i="3"/>
  <c r="D369" i="3"/>
  <c r="D295" i="3"/>
  <c r="D213" i="3"/>
  <c r="D115" i="3"/>
  <c r="D7" i="3"/>
  <c r="E164" i="3"/>
  <c r="F228" i="3"/>
  <c r="G292" i="3"/>
  <c r="H223" i="3"/>
  <c r="B169" i="3"/>
  <c r="B95" i="3"/>
  <c r="B13" i="3"/>
  <c r="C304" i="3"/>
  <c r="C125" i="3"/>
  <c r="C51" i="3"/>
  <c r="D357" i="3"/>
  <c r="D260" i="3"/>
  <c r="D186" i="3"/>
  <c r="D79" i="3"/>
  <c r="E359" i="3"/>
  <c r="E56" i="3"/>
  <c r="F120" i="3"/>
  <c r="G158" i="3"/>
  <c r="I264" i="3"/>
  <c r="B347" i="3"/>
  <c r="B265" i="3"/>
  <c r="B168" i="3"/>
  <c r="B94" i="3"/>
  <c r="C377" i="3"/>
  <c r="C303" i="3"/>
  <c r="C221" i="3"/>
  <c r="C124" i="3"/>
  <c r="C50" i="3"/>
  <c r="D333" i="3"/>
  <c r="D259" i="3"/>
  <c r="D177" i="3"/>
  <c r="D78" i="3"/>
  <c r="E358" i="3"/>
  <c r="E55" i="3"/>
  <c r="F119" i="3"/>
  <c r="G149" i="3"/>
  <c r="I241" i="3"/>
  <c r="B349" i="3"/>
  <c r="B22" i="3"/>
  <c r="C231" i="3"/>
  <c r="D187" i="3"/>
  <c r="E360" i="3"/>
  <c r="G184" i="3"/>
  <c r="B241" i="3"/>
  <c r="C302" i="3"/>
  <c r="D332" i="3"/>
  <c r="D45" i="3"/>
  <c r="F346" i="3"/>
  <c r="F22" i="3"/>
  <c r="I240" i="3"/>
  <c r="B373" i="3"/>
  <c r="B276" i="3"/>
  <c r="B97" i="3"/>
  <c r="B23" i="3"/>
  <c r="C232" i="3"/>
  <c r="C158" i="3"/>
  <c r="C53" i="3"/>
  <c r="D285" i="3"/>
  <c r="D188" i="3"/>
  <c r="E361" i="3"/>
  <c r="E66" i="3"/>
  <c r="F130" i="3"/>
  <c r="G185" i="3"/>
  <c r="I326" i="3"/>
  <c r="B275" i="3"/>
  <c r="B193" i="3"/>
  <c r="C305" i="3"/>
  <c r="C149" i="3"/>
  <c r="D261" i="3"/>
  <c r="D80" i="3"/>
  <c r="I325" i="3"/>
  <c r="B274" i="3"/>
  <c r="B346" i="3"/>
  <c r="B167" i="3"/>
  <c r="B85" i="3"/>
  <c r="C376" i="3"/>
  <c r="C197" i="3"/>
  <c r="C123" i="3"/>
  <c r="C41" i="3"/>
  <c r="D258" i="3"/>
  <c r="D153" i="3"/>
  <c r="E282" i="3"/>
  <c r="G41" i="3"/>
  <c r="B337" i="3"/>
  <c r="B240" i="3"/>
  <c r="B166" i="3"/>
  <c r="B61" i="3"/>
  <c r="C375" i="3"/>
  <c r="C293" i="3"/>
  <c r="C196" i="3"/>
  <c r="C122" i="3"/>
  <c r="C17" i="3"/>
  <c r="D331" i="3"/>
  <c r="D249" i="3"/>
  <c r="D152" i="3"/>
  <c r="D44" i="3"/>
  <c r="E273" i="3"/>
  <c r="F337" i="3"/>
  <c r="F13" i="3"/>
  <c r="G40" i="3"/>
  <c r="G183" i="3"/>
  <c r="H355" i="3"/>
  <c r="I324" i="3"/>
  <c r="B388" i="3"/>
  <c r="B376" i="3"/>
  <c r="B364" i="3"/>
  <c r="B352" i="3"/>
  <c r="B340" i="3"/>
  <c r="B328" i="3"/>
  <c r="B316" i="3"/>
  <c r="B304" i="3"/>
  <c r="B292" i="3"/>
  <c r="B280" i="3"/>
  <c r="B268" i="3"/>
  <c r="B256" i="3"/>
  <c r="B244" i="3"/>
  <c r="B232" i="3"/>
  <c r="B220" i="3"/>
  <c r="B208" i="3"/>
  <c r="B196" i="3"/>
  <c r="B184" i="3"/>
  <c r="B172" i="3"/>
  <c r="B160" i="3"/>
  <c r="B148" i="3"/>
  <c r="B136" i="3"/>
  <c r="B124" i="3"/>
  <c r="B112" i="3"/>
  <c r="B100" i="3"/>
  <c r="B88" i="3"/>
  <c r="B76" i="3"/>
  <c r="B64" i="3"/>
  <c r="B52" i="3"/>
  <c r="B40" i="3"/>
  <c r="B28" i="3"/>
  <c r="B16" i="3"/>
  <c r="B4" i="3"/>
  <c r="C380" i="3"/>
  <c r="C368" i="3"/>
  <c r="C356" i="3"/>
  <c r="C344" i="3"/>
  <c r="C332" i="3"/>
  <c r="C320" i="3"/>
  <c r="C308" i="3"/>
  <c r="C296" i="3"/>
  <c r="C284" i="3"/>
  <c r="C272" i="3"/>
  <c r="C260" i="3"/>
  <c r="C248" i="3"/>
  <c r="C236" i="3"/>
  <c r="C224" i="3"/>
  <c r="C212" i="3"/>
  <c r="C200" i="3"/>
  <c r="C188" i="3"/>
  <c r="C176" i="3"/>
  <c r="C164" i="3"/>
  <c r="C152" i="3"/>
  <c r="C140" i="3"/>
  <c r="C128" i="3"/>
  <c r="C116" i="3"/>
  <c r="C104" i="3"/>
  <c r="C92" i="3"/>
  <c r="C80" i="3"/>
  <c r="C68" i="3"/>
  <c r="C56" i="3"/>
  <c r="C44" i="3"/>
  <c r="C32" i="3"/>
  <c r="C20" i="3"/>
  <c r="C8" i="3"/>
  <c r="D384" i="3"/>
  <c r="D372" i="3"/>
  <c r="D360" i="3"/>
  <c r="D348" i="3"/>
  <c r="D336" i="3"/>
  <c r="D324" i="3"/>
  <c r="D312" i="3"/>
  <c r="D300" i="3"/>
  <c r="D288" i="3"/>
  <c r="D276" i="3"/>
  <c r="D264" i="3"/>
  <c r="D252" i="3"/>
  <c r="D240" i="3"/>
  <c r="D228" i="3"/>
  <c r="D216" i="3"/>
  <c r="D204" i="3"/>
  <c r="D192" i="3"/>
  <c r="D180" i="3"/>
  <c r="D168" i="3"/>
  <c r="D156" i="3"/>
  <c r="D144" i="3"/>
  <c r="D132" i="3"/>
  <c r="D120" i="3"/>
  <c r="D108" i="3"/>
  <c r="D96" i="3"/>
  <c r="D84" i="3"/>
  <c r="D72" i="3"/>
  <c r="D60" i="3"/>
  <c r="D48" i="3"/>
  <c r="D36" i="3"/>
  <c r="D24" i="3"/>
  <c r="D12" i="3"/>
  <c r="E388" i="3"/>
  <c r="E376" i="3"/>
  <c r="E364" i="3"/>
  <c r="E350" i="3"/>
  <c r="E321" i="3"/>
  <c r="E285" i="3"/>
  <c r="E249" i="3"/>
  <c r="E213" i="3"/>
  <c r="E177" i="3"/>
  <c r="E141" i="3"/>
  <c r="E105" i="3"/>
  <c r="E69" i="3"/>
  <c r="E33" i="3"/>
  <c r="F385" i="3"/>
  <c r="F349" i="3"/>
  <c r="F313" i="3"/>
  <c r="F277" i="3"/>
  <c r="F241" i="3"/>
  <c r="F205" i="3"/>
  <c r="F169" i="3"/>
  <c r="F133" i="3"/>
  <c r="F97" i="3"/>
  <c r="F61" i="3"/>
  <c r="F25" i="3"/>
  <c r="G377" i="3"/>
  <c r="G341" i="3"/>
  <c r="G305" i="3"/>
  <c r="G269" i="3"/>
  <c r="G233" i="3"/>
  <c r="G197" i="3"/>
  <c r="G161" i="3"/>
  <c r="G125" i="3"/>
  <c r="G89" i="3"/>
  <c r="G53" i="3"/>
  <c r="G17" i="3"/>
  <c r="H369" i="3"/>
  <c r="H333" i="3"/>
  <c r="H297" i="3"/>
  <c r="H226" i="3"/>
  <c r="H141" i="3"/>
  <c r="H56" i="3"/>
  <c r="I359" i="3"/>
  <c r="I267" i="3"/>
  <c r="I182" i="3"/>
  <c r="I97" i="3"/>
  <c r="A2" i="3"/>
  <c r="I6" i="3"/>
  <c r="I18" i="3"/>
  <c r="I30" i="3"/>
  <c r="I42" i="3"/>
  <c r="I54" i="3"/>
  <c r="I66" i="3"/>
  <c r="I78" i="3"/>
  <c r="I90" i="3"/>
  <c r="I102" i="3"/>
  <c r="I114" i="3"/>
  <c r="I126" i="3"/>
  <c r="I138" i="3"/>
  <c r="I150" i="3"/>
  <c r="I162" i="3"/>
  <c r="I174" i="3"/>
  <c r="I186" i="3"/>
  <c r="I198" i="3"/>
  <c r="I210" i="3"/>
  <c r="I222" i="3"/>
  <c r="I234" i="3"/>
  <c r="I246" i="3"/>
  <c r="I258" i="3"/>
  <c r="I270" i="3"/>
  <c r="I282" i="3"/>
  <c r="I294" i="3"/>
  <c r="I306" i="3"/>
  <c r="I318" i="3"/>
  <c r="I330" i="3"/>
  <c r="I342" i="3"/>
  <c r="I354" i="3"/>
  <c r="I366" i="3"/>
  <c r="I378" i="3"/>
  <c r="I390" i="3"/>
  <c r="H14" i="3"/>
  <c r="H26" i="3"/>
  <c r="H38" i="3"/>
  <c r="H50" i="3"/>
  <c r="H62" i="3"/>
  <c r="H74" i="3"/>
  <c r="H86" i="3"/>
  <c r="H98" i="3"/>
  <c r="H110" i="3"/>
  <c r="H122" i="3"/>
  <c r="H134" i="3"/>
  <c r="H146" i="3"/>
  <c r="H158" i="3"/>
  <c r="H170" i="3"/>
  <c r="H182" i="3"/>
  <c r="H194" i="3"/>
  <c r="H206" i="3"/>
  <c r="H218" i="3"/>
  <c r="H230" i="3"/>
  <c r="H242" i="3"/>
  <c r="H254" i="3"/>
  <c r="H266" i="3"/>
  <c r="H278" i="3"/>
  <c r="I7" i="3"/>
  <c r="I19" i="3"/>
  <c r="I31" i="3"/>
  <c r="I43" i="3"/>
  <c r="I55" i="3"/>
  <c r="I67" i="3"/>
  <c r="I79" i="3"/>
  <c r="I91" i="3"/>
  <c r="I103" i="3"/>
  <c r="I115" i="3"/>
  <c r="I127" i="3"/>
  <c r="I139" i="3"/>
  <c r="I151" i="3"/>
  <c r="I163" i="3"/>
  <c r="I175" i="3"/>
  <c r="I187" i="3"/>
  <c r="I199" i="3"/>
  <c r="I211" i="3"/>
  <c r="I223" i="3"/>
  <c r="I235" i="3"/>
  <c r="I247" i="3"/>
  <c r="I259" i="3"/>
  <c r="I271" i="3"/>
  <c r="I283" i="3"/>
  <c r="I295" i="3"/>
  <c r="I307" i="3"/>
  <c r="I319" i="3"/>
  <c r="I331" i="3"/>
  <c r="I343" i="3"/>
  <c r="I355" i="3"/>
  <c r="I367" i="3"/>
  <c r="I379" i="3"/>
  <c r="H3" i="3"/>
  <c r="H15" i="3"/>
  <c r="H27" i="3"/>
  <c r="H39" i="3"/>
  <c r="H51" i="3"/>
  <c r="H63" i="3"/>
  <c r="H75" i="3"/>
  <c r="H87" i="3"/>
  <c r="H99" i="3"/>
  <c r="H111" i="3"/>
  <c r="H123" i="3"/>
  <c r="H135" i="3"/>
  <c r="H147" i="3"/>
  <c r="H159" i="3"/>
  <c r="H171" i="3"/>
  <c r="H183" i="3"/>
  <c r="H195" i="3"/>
  <c r="H207" i="3"/>
  <c r="H219" i="3"/>
  <c r="H231" i="3"/>
  <c r="H243" i="3"/>
  <c r="H255" i="3"/>
  <c r="H267" i="3"/>
  <c r="H279" i="3"/>
  <c r="I8" i="3"/>
  <c r="I20" i="3"/>
  <c r="I32" i="3"/>
  <c r="I44" i="3"/>
  <c r="I56" i="3"/>
  <c r="I68" i="3"/>
  <c r="I80" i="3"/>
  <c r="I92" i="3"/>
  <c r="I104" i="3"/>
  <c r="I116" i="3"/>
  <c r="I128" i="3"/>
  <c r="I140" i="3"/>
  <c r="I152" i="3"/>
  <c r="I164" i="3"/>
  <c r="I176" i="3"/>
  <c r="I188" i="3"/>
  <c r="I200" i="3"/>
  <c r="I212" i="3"/>
  <c r="I224" i="3"/>
  <c r="I236" i="3"/>
  <c r="I248" i="3"/>
  <c r="I260" i="3"/>
  <c r="I272" i="3"/>
  <c r="I284" i="3"/>
  <c r="I296" i="3"/>
  <c r="I308" i="3"/>
  <c r="I320" i="3"/>
  <c r="I332" i="3"/>
  <c r="I344" i="3"/>
  <c r="I356" i="3"/>
  <c r="I368" i="3"/>
  <c r="I380" i="3"/>
  <c r="H4" i="3"/>
  <c r="H16" i="3"/>
  <c r="H28" i="3"/>
  <c r="H40" i="3"/>
  <c r="H52" i="3"/>
  <c r="H64" i="3"/>
  <c r="H76" i="3"/>
  <c r="H88" i="3"/>
  <c r="H100" i="3"/>
  <c r="H112" i="3"/>
  <c r="H124" i="3"/>
  <c r="H136" i="3"/>
  <c r="H148" i="3"/>
  <c r="H160" i="3"/>
  <c r="H172" i="3"/>
  <c r="H184" i="3"/>
  <c r="H196" i="3"/>
  <c r="H208" i="3"/>
  <c r="H220" i="3"/>
  <c r="H232" i="3"/>
  <c r="H244" i="3"/>
  <c r="H256" i="3"/>
  <c r="H268" i="3"/>
  <c r="H280" i="3"/>
  <c r="I9" i="3"/>
  <c r="I21" i="3"/>
  <c r="I33" i="3"/>
  <c r="I45" i="3"/>
  <c r="I57" i="3"/>
  <c r="I69" i="3"/>
  <c r="I81" i="3"/>
  <c r="I93" i="3"/>
  <c r="I105" i="3"/>
  <c r="I117" i="3"/>
  <c r="I129" i="3"/>
  <c r="I141" i="3"/>
  <c r="I153" i="3"/>
  <c r="I165" i="3"/>
  <c r="I177" i="3"/>
  <c r="I189" i="3"/>
  <c r="I201" i="3"/>
  <c r="I213" i="3"/>
  <c r="I225" i="3"/>
  <c r="I237" i="3"/>
  <c r="I249" i="3"/>
  <c r="I261" i="3"/>
  <c r="I273" i="3"/>
  <c r="I285" i="3"/>
  <c r="I297" i="3"/>
  <c r="I309" i="3"/>
  <c r="I321" i="3"/>
  <c r="I333" i="3"/>
  <c r="I345" i="3"/>
  <c r="I357" i="3"/>
  <c r="I369" i="3"/>
  <c r="I381" i="3"/>
  <c r="H5" i="3"/>
  <c r="H17" i="3"/>
  <c r="H29" i="3"/>
  <c r="H41" i="3"/>
  <c r="H53" i="3"/>
  <c r="H65" i="3"/>
  <c r="H77" i="3"/>
  <c r="H89" i="3"/>
  <c r="H101" i="3"/>
  <c r="H113" i="3"/>
  <c r="H125" i="3"/>
  <c r="H137" i="3"/>
  <c r="H149" i="3"/>
  <c r="H161" i="3"/>
  <c r="H173" i="3"/>
  <c r="H185" i="3"/>
  <c r="H197" i="3"/>
  <c r="H209" i="3"/>
  <c r="H221" i="3"/>
  <c r="H233" i="3"/>
  <c r="H245" i="3"/>
  <c r="H257" i="3"/>
  <c r="H269" i="3"/>
  <c r="H281" i="3"/>
  <c r="I10" i="3"/>
  <c r="I22" i="3"/>
  <c r="I34" i="3"/>
  <c r="I46" i="3"/>
  <c r="I58" i="3"/>
  <c r="I70" i="3"/>
  <c r="I82" i="3"/>
  <c r="I94" i="3"/>
  <c r="I106" i="3"/>
  <c r="I118" i="3"/>
  <c r="I130" i="3"/>
  <c r="I142" i="3"/>
  <c r="I154" i="3"/>
  <c r="I166" i="3"/>
  <c r="I178" i="3"/>
  <c r="I190" i="3"/>
  <c r="I202" i="3"/>
  <c r="I214" i="3"/>
  <c r="I226" i="3"/>
  <c r="I238" i="3"/>
  <c r="I250" i="3"/>
  <c r="I262" i="3"/>
  <c r="I274" i="3"/>
  <c r="I286" i="3"/>
  <c r="I298" i="3"/>
  <c r="I310" i="3"/>
  <c r="I322" i="3"/>
  <c r="I334" i="3"/>
  <c r="I346" i="3"/>
  <c r="I358" i="3"/>
  <c r="I370" i="3"/>
  <c r="I382" i="3"/>
  <c r="H6" i="3"/>
  <c r="H18" i="3"/>
  <c r="H30" i="3"/>
  <c r="H42" i="3"/>
  <c r="H54" i="3"/>
  <c r="H66" i="3"/>
  <c r="H78" i="3"/>
  <c r="H90" i="3"/>
  <c r="H102" i="3"/>
  <c r="H114" i="3"/>
  <c r="H126" i="3"/>
  <c r="H138" i="3"/>
  <c r="H150" i="3"/>
  <c r="H162" i="3"/>
  <c r="H174" i="3"/>
  <c r="H186" i="3"/>
  <c r="H198" i="3"/>
  <c r="H210" i="3"/>
  <c r="H222" i="3"/>
  <c r="H234" i="3"/>
  <c r="H246" i="3"/>
  <c r="H258" i="3"/>
  <c r="H270" i="3"/>
  <c r="H282" i="3"/>
  <c r="I4" i="3"/>
  <c r="I16" i="3"/>
  <c r="I28" i="3"/>
  <c r="I40" i="3"/>
  <c r="I52" i="3"/>
  <c r="I64" i="3"/>
  <c r="I76" i="3"/>
  <c r="I88" i="3"/>
  <c r="I100" i="3"/>
  <c r="I112" i="3"/>
  <c r="I124" i="3"/>
  <c r="I136" i="3"/>
  <c r="I148" i="3"/>
  <c r="I160" i="3"/>
  <c r="I172" i="3"/>
  <c r="I184" i="3"/>
  <c r="I196" i="3"/>
  <c r="I208" i="3"/>
  <c r="I220" i="3"/>
  <c r="I232" i="3"/>
  <c r="I244" i="3"/>
  <c r="I256" i="3"/>
  <c r="I268" i="3"/>
  <c r="I280" i="3"/>
  <c r="I292" i="3"/>
  <c r="I304" i="3"/>
  <c r="I316" i="3"/>
  <c r="I328" i="3"/>
  <c r="I340" i="3"/>
  <c r="I352" i="3"/>
  <c r="I364" i="3"/>
  <c r="I376" i="3"/>
  <c r="I388" i="3"/>
  <c r="H12" i="3"/>
  <c r="H24" i="3"/>
  <c r="H36" i="3"/>
  <c r="H48" i="3"/>
  <c r="H60" i="3"/>
  <c r="H72" i="3"/>
  <c r="H84" i="3"/>
  <c r="H96" i="3"/>
  <c r="H108" i="3"/>
  <c r="H120" i="3"/>
  <c r="H132" i="3"/>
  <c r="H144" i="3"/>
  <c r="H156" i="3"/>
  <c r="H168" i="3"/>
  <c r="H180" i="3"/>
  <c r="H192" i="3"/>
  <c r="H204" i="3"/>
  <c r="H216" i="3"/>
  <c r="H228" i="3"/>
  <c r="H240" i="3"/>
  <c r="H252" i="3"/>
  <c r="H264" i="3"/>
  <c r="H276" i="3"/>
  <c r="I5" i="3"/>
  <c r="I17" i="3"/>
  <c r="I29" i="3"/>
  <c r="I41" i="3"/>
  <c r="I53" i="3"/>
  <c r="I65" i="3"/>
  <c r="I77" i="3"/>
  <c r="I89" i="3"/>
  <c r="I101" i="3"/>
  <c r="I113" i="3"/>
  <c r="I125" i="3"/>
  <c r="I137" i="3"/>
  <c r="I149" i="3"/>
  <c r="I161" i="3"/>
  <c r="I173" i="3"/>
  <c r="I185" i="3"/>
  <c r="I197" i="3"/>
  <c r="I209" i="3"/>
  <c r="I221" i="3"/>
  <c r="I233" i="3"/>
  <c r="I245" i="3"/>
  <c r="I257" i="3"/>
  <c r="I269" i="3"/>
  <c r="I281" i="3"/>
  <c r="I293" i="3"/>
  <c r="I305" i="3"/>
  <c r="I317" i="3"/>
  <c r="I329" i="3"/>
  <c r="I341" i="3"/>
  <c r="I353" i="3"/>
  <c r="I365" i="3"/>
  <c r="I377" i="3"/>
  <c r="I389" i="3"/>
  <c r="H13" i="3"/>
  <c r="H25" i="3"/>
  <c r="H37" i="3"/>
  <c r="H49" i="3"/>
  <c r="H61" i="3"/>
  <c r="H73" i="3"/>
  <c r="H85" i="3"/>
  <c r="H97" i="3"/>
  <c r="H109" i="3"/>
  <c r="H121" i="3"/>
  <c r="H133" i="3"/>
  <c r="H145" i="3"/>
  <c r="H157" i="3"/>
  <c r="H169" i="3"/>
  <c r="H181" i="3"/>
  <c r="H193" i="3"/>
  <c r="H205" i="3"/>
  <c r="H217" i="3"/>
  <c r="H229" i="3"/>
  <c r="H241" i="3"/>
  <c r="H253" i="3"/>
  <c r="H265" i="3"/>
  <c r="H277" i="3"/>
  <c r="I23" i="3"/>
  <c r="I49" i="3"/>
  <c r="I75" i="3"/>
  <c r="I108" i="3"/>
  <c r="I134" i="3"/>
  <c r="I167" i="3"/>
  <c r="I193" i="3"/>
  <c r="I219" i="3"/>
  <c r="I252" i="3"/>
  <c r="I278" i="3"/>
  <c r="I311" i="3"/>
  <c r="I337" i="3"/>
  <c r="I363" i="3"/>
  <c r="H8" i="3"/>
  <c r="H34" i="3"/>
  <c r="H67" i="3"/>
  <c r="H93" i="3"/>
  <c r="H119" i="3"/>
  <c r="H152" i="3"/>
  <c r="H178" i="3"/>
  <c r="H211" i="3"/>
  <c r="H237" i="3"/>
  <c r="H263" i="3"/>
  <c r="H289" i="3"/>
  <c r="H301" i="3"/>
  <c r="H313" i="3"/>
  <c r="H325" i="3"/>
  <c r="H337" i="3"/>
  <c r="H349" i="3"/>
  <c r="H361" i="3"/>
  <c r="H373" i="3"/>
  <c r="H385" i="3"/>
  <c r="G9" i="3"/>
  <c r="G21" i="3"/>
  <c r="G33" i="3"/>
  <c r="G45" i="3"/>
  <c r="G57" i="3"/>
  <c r="G69" i="3"/>
  <c r="G81" i="3"/>
  <c r="G93" i="3"/>
  <c r="G105" i="3"/>
  <c r="G117" i="3"/>
  <c r="G129" i="3"/>
  <c r="G141" i="3"/>
  <c r="G153" i="3"/>
  <c r="G165" i="3"/>
  <c r="G177" i="3"/>
  <c r="G189" i="3"/>
  <c r="G201" i="3"/>
  <c r="G213" i="3"/>
  <c r="G225" i="3"/>
  <c r="G237" i="3"/>
  <c r="G249" i="3"/>
  <c r="G261" i="3"/>
  <c r="G273" i="3"/>
  <c r="G285" i="3"/>
  <c r="G297" i="3"/>
  <c r="G309" i="3"/>
  <c r="G321" i="3"/>
  <c r="G333" i="3"/>
  <c r="G345" i="3"/>
  <c r="G357" i="3"/>
  <c r="G369" i="3"/>
  <c r="G381" i="3"/>
  <c r="F5" i="3"/>
  <c r="F17" i="3"/>
  <c r="F29" i="3"/>
  <c r="F41" i="3"/>
  <c r="F53" i="3"/>
  <c r="F65" i="3"/>
  <c r="F77" i="3"/>
  <c r="F89" i="3"/>
  <c r="F101" i="3"/>
  <c r="F113" i="3"/>
  <c r="F125" i="3"/>
  <c r="F137" i="3"/>
  <c r="F149" i="3"/>
  <c r="F161" i="3"/>
  <c r="F173" i="3"/>
  <c r="F185" i="3"/>
  <c r="F197" i="3"/>
  <c r="F209" i="3"/>
  <c r="F221" i="3"/>
  <c r="F233" i="3"/>
  <c r="F245" i="3"/>
  <c r="F257" i="3"/>
  <c r="F269" i="3"/>
  <c r="F281" i="3"/>
  <c r="F293" i="3"/>
  <c r="F305" i="3"/>
  <c r="F317" i="3"/>
  <c r="F329" i="3"/>
  <c r="F341" i="3"/>
  <c r="F353" i="3"/>
  <c r="F365" i="3"/>
  <c r="F377" i="3"/>
  <c r="F389" i="3"/>
  <c r="E13" i="3"/>
  <c r="E25" i="3"/>
  <c r="E37" i="3"/>
  <c r="E49" i="3"/>
  <c r="E61" i="3"/>
  <c r="E73" i="3"/>
  <c r="E85" i="3"/>
  <c r="E97" i="3"/>
  <c r="E109" i="3"/>
  <c r="E121" i="3"/>
  <c r="E133" i="3"/>
  <c r="E145" i="3"/>
  <c r="E157" i="3"/>
  <c r="E169" i="3"/>
  <c r="E181" i="3"/>
  <c r="E193" i="3"/>
  <c r="E205" i="3"/>
  <c r="E217" i="3"/>
  <c r="E229" i="3"/>
  <c r="E241" i="3"/>
  <c r="E253" i="3"/>
  <c r="E265" i="3"/>
  <c r="E277" i="3"/>
  <c r="E289" i="3"/>
  <c r="E301" i="3"/>
  <c r="E313" i="3"/>
  <c r="E325" i="3"/>
  <c r="E337" i="3"/>
  <c r="I24" i="3"/>
  <c r="I50" i="3"/>
  <c r="I83" i="3"/>
  <c r="I109" i="3"/>
  <c r="I135" i="3"/>
  <c r="I168" i="3"/>
  <c r="I194" i="3"/>
  <c r="I227" i="3"/>
  <c r="I253" i="3"/>
  <c r="I279" i="3"/>
  <c r="I312" i="3"/>
  <c r="I338" i="3"/>
  <c r="I371" i="3"/>
  <c r="H9" i="3"/>
  <c r="H35" i="3"/>
  <c r="H68" i="3"/>
  <c r="H94" i="3"/>
  <c r="H127" i="3"/>
  <c r="H153" i="3"/>
  <c r="H179" i="3"/>
  <c r="H212" i="3"/>
  <c r="H238" i="3"/>
  <c r="H271" i="3"/>
  <c r="H290" i="3"/>
  <c r="H302" i="3"/>
  <c r="H314" i="3"/>
  <c r="H326" i="3"/>
  <c r="H338" i="3"/>
  <c r="H350" i="3"/>
  <c r="H362" i="3"/>
  <c r="H374" i="3"/>
  <c r="H386" i="3"/>
  <c r="G10" i="3"/>
  <c r="G22" i="3"/>
  <c r="G34" i="3"/>
  <c r="G46" i="3"/>
  <c r="G58" i="3"/>
  <c r="G70" i="3"/>
  <c r="G82" i="3"/>
  <c r="G94" i="3"/>
  <c r="G106" i="3"/>
  <c r="G118" i="3"/>
  <c r="G130" i="3"/>
  <c r="G142" i="3"/>
  <c r="G154" i="3"/>
  <c r="G166" i="3"/>
  <c r="G178" i="3"/>
  <c r="G190" i="3"/>
  <c r="G202" i="3"/>
  <c r="G214" i="3"/>
  <c r="G226" i="3"/>
  <c r="G238" i="3"/>
  <c r="G250" i="3"/>
  <c r="G262" i="3"/>
  <c r="G274" i="3"/>
  <c r="G286" i="3"/>
  <c r="G298" i="3"/>
  <c r="G310" i="3"/>
  <c r="G322" i="3"/>
  <c r="G334" i="3"/>
  <c r="G346" i="3"/>
  <c r="G358" i="3"/>
  <c r="G370" i="3"/>
  <c r="G382" i="3"/>
  <c r="F6" i="3"/>
  <c r="F18" i="3"/>
  <c r="F30" i="3"/>
  <c r="F42" i="3"/>
  <c r="F54" i="3"/>
  <c r="F66" i="3"/>
  <c r="F78" i="3"/>
  <c r="F90" i="3"/>
  <c r="F102" i="3"/>
  <c r="F114" i="3"/>
  <c r="F126" i="3"/>
  <c r="F138" i="3"/>
  <c r="F150" i="3"/>
  <c r="F162" i="3"/>
  <c r="F174" i="3"/>
  <c r="F186" i="3"/>
  <c r="F198" i="3"/>
  <c r="F210" i="3"/>
  <c r="F222" i="3"/>
  <c r="F234" i="3"/>
  <c r="F246" i="3"/>
  <c r="F258" i="3"/>
  <c r="F270" i="3"/>
  <c r="F282" i="3"/>
  <c r="F294" i="3"/>
  <c r="F306" i="3"/>
  <c r="F318" i="3"/>
  <c r="F330" i="3"/>
  <c r="F342" i="3"/>
  <c r="F354" i="3"/>
  <c r="F366" i="3"/>
  <c r="F378" i="3"/>
  <c r="F390" i="3"/>
  <c r="E14" i="3"/>
  <c r="E26" i="3"/>
  <c r="E38" i="3"/>
  <c r="E50" i="3"/>
  <c r="E62" i="3"/>
  <c r="E74" i="3"/>
  <c r="E86" i="3"/>
  <c r="E98" i="3"/>
  <c r="E110" i="3"/>
  <c r="E122" i="3"/>
  <c r="E134" i="3"/>
  <c r="E146" i="3"/>
  <c r="E158" i="3"/>
  <c r="E170" i="3"/>
  <c r="E182" i="3"/>
  <c r="E194" i="3"/>
  <c r="E206" i="3"/>
  <c r="E218" i="3"/>
  <c r="E230" i="3"/>
  <c r="E242" i="3"/>
  <c r="E254" i="3"/>
  <c r="E266" i="3"/>
  <c r="E278" i="3"/>
  <c r="E290" i="3"/>
  <c r="E302" i="3"/>
  <c r="E314" i="3"/>
  <c r="E326" i="3"/>
  <c r="E338" i="3"/>
  <c r="I25" i="3"/>
  <c r="I51" i="3"/>
  <c r="I84" i="3"/>
  <c r="I110" i="3"/>
  <c r="I143" i="3"/>
  <c r="I169" i="3"/>
  <c r="I195" i="3"/>
  <c r="I228" i="3"/>
  <c r="I254" i="3"/>
  <c r="I287" i="3"/>
  <c r="I313" i="3"/>
  <c r="I339" i="3"/>
  <c r="I372" i="3"/>
  <c r="H10" i="3"/>
  <c r="H43" i="3"/>
  <c r="H69" i="3"/>
  <c r="H95" i="3"/>
  <c r="H128" i="3"/>
  <c r="H154" i="3"/>
  <c r="H187" i="3"/>
  <c r="H213" i="3"/>
  <c r="H239" i="3"/>
  <c r="H272" i="3"/>
  <c r="H291" i="3"/>
  <c r="H303" i="3"/>
  <c r="H315" i="3"/>
  <c r="H327" i="3"/>
  <c r="H339" i="3"/>
  <c r="H351" i="3"/>
  <c r="H363" i="3"/>
  <c r="H375" i="3"/>
  <c r="H387" i="3"/>
  <c r="G11" i="3"/>
  <c r="G23" i="3"/>
  <c r="G35" i="3"/>
  <c r="G47" i="3"/>
  <c r="G59" i="3"/>
  <c r="G71" i="3"/>
  <c r="G83" i="3"/>
  <c r="G95" i="3"/>
  <c r="G107" i="3"/>
  <c r="G119" i="3"/>
  <c r="G131" i="3"/>
  <c r="G143" i="3"/>
  <c r="G155" i="3"/>
  <c r="G167" i="3"/>
  <c r="G179" i="3"/>
  <c r="G191" i="3"/>
  <c r="G203" i="3"/>
  <c r="G215" i="3"/>
  <c r="G227" i="3"/>
  <c r="G239" i="3"/>
  <c r="G251" i="3"/>
  <c r="G263" i="3"/>
  <c r="G275" i="3"/>
  <c r="G287" i="3"/>
  <c r="G299" i="3"/>
  <c r="G311" i="3"/>
  <c r="G323" i="3"/>
  <c r="G335" i="3"/>
  <c r="G347" i="3"/>
  <c r="G359" i="3"/>
  <c r="G371" i="3"/>
  <c r="G383" i="3"/>
  <c r="F7" i="3"/>
  <c r="F19" i="3"/>
  <c r="F31" i="3"/>
  <c r="F43" i="3"/>
  <c r="F55" i="3"/>
  <c r="F67" i="3"/>
  <c r="F79" i="3"/>
  <c r="F91" i="3"/>
  <c r="F103" i="3"/>
  <c r="F115" i="3"/>
  <c r="F127" i="3"/>
  <c r="F139" i="3"/>
  <c r="F151" i="3"/>
  <c r="F163" i="3"/>
  <c r="F175" i="3"/>
  <c r="F187" i="3"/>
  <c r="F199" i="3"/>
  <c r="F211" i="3"/>
  <c r="F223" i="3"/>
  <c r="F235" i="3"/>
  <c r="F247" i="3"/>
  <c r="F259" i="3"/>
  <c r="F271" i="3"/>
  <c r="F283" i="3"/>
  <c r="F295" i="3"/>
  <c r="F307" i="3"/>
  <c r="F319" i="3"/>
  <c r="F331" i="3"/>
  <c r="F343" i="3"/>
  <c r="F355" i="3"/>
  <c r="F367" i="3"/>
  <c r="F379" i="3"/>
  <c r="E3" i="3"/>
  <c r="E15" i="3"/>
  <c r="E27" i="3"/>
  <c r="E39" i="3"/>
  <c r="E51" i="3"/>
  <c r="E63" i="3"/>
  <c r="E75" i="3"/>
  <c r="E87" i="3"/>
  <c r="E99" i="3"/>
  <c r="E111" i="3"/>
  <c r="E123" i="3"/>
  <c r="E135" i="3"/>
  <c r="E147" i="3"/>
  <c r="E159" i="3"/>
  <c r="E171" i="3"/>
  <c r="E183" i="3"/>
  <c r="E195" i="3"/>
  <c r="E207" i="3"/>
  <c r="E219" i="3"/>
  <c r="E231" i="3"/>
  <c r="E243" i="3"/>
  <c r="E255" i="3"/>
  <c r="E267" i="3"/>
  <c r="E279" i="3"/>
  <c r="E291" i="3"/>
  <c r="E303" i="3"/>
  <c r="E315" i="3"/>
  <c r="E327" i="3"/>
  <c r="E339" i="3"/>
  <c r="E351" i="3"/>
  <c r="I26" i="3"/>
  <c r="I59" i="3"/>
  <c r="I85" i="3"/>
  <c r="I111" i="3"/>
  <c r="I144" i="3"/>
  <c r="I170" i="3"/>
  <c r="I203" i="3"/>
  <c r="I229" i="3"/>
  <c r="I255" i="3"/>
  <c r="I288" i="3"/>
  <c r="I314" i="3"/>
  <c r="I347" i="3"/>
  <c r="I373" i="3"/>
  <c r="H11" i="3"/>
  <c r="H44" i="3"/>
  <c r="H70" i="3"/>
  <c r="H103" i="3"/>
  <c r="H129" i="3"/>
  <c r="H155" i="3"/>
  <c r="H188" i="3"/>
  <c r="H214" i="3"/>
  <c r="H247" i="3"/>
  <c r="H273" i="3"/>
  <c r="H292" i="3"/>
  <c r="H304" i="3"/>
  <c r="H316" i="3"/>
  <c r="H328" i="3"/>
  <c r="H340" i="3"/>
  <c r="H352" i="3"/>
  <c r="H364" i="3"/>
  <c r="H376" i="3"/>
  <c r="H388" i="3"/>
  <c r="G12" i="3"/>
  <c r="G24" i="3"/>
  <c r="G36" i="3"/>
  <c r="G48" i="3"/>
  <c r="G60" i="3"/>
  <c r="G72" i="3"/>
  <c r="G84" i="3"/>
  <c r="G96" i="3"/>
  <c r="G108" i="3"/>
  <c r="G120" i="3"/>
  <c r="G132" i="3"/>
  <c r="G144" i="3"/>
  <c r="G156" i="3"/>
  <c r="G168" i="3"/>
  <c r="G180" i="3"/>
  <c r="G192" i="3"/>
  <c r="G204" i="3"/>
  <c r="G216" i="3"/>
  <c r="G228" i="3"/>
  <c r="G240" i="3"/>
  <c r="G252" i="3"/>
  <c r="G264" i="3"/>
  <c r="G276" i="3"/>
  <c r="G288" i="3"/>
  <c r="G300" i="3"/>
  <c r="G312" i="3"/>
  <c r="G324" i="3"/>
  <c r="G336" i="3"/>
  <c r="G348" i="3"/>
  <c r="G360" i="3"/>
  <c r="G372" i="3"/>
  <c r="G384" i="3"/>
  <c r="F8" i="3"/>
  <c r="F20" i="3"/>
  <c r="F32" i="3"/>
  <c r="F44" i="3"/>
  <c r="F56" i="3"/>
  <c r="F68" i="3"/>
  <c r="F80" i="3"/>
  <c r="F92" i="3"/>
  <c r="F104" i="3"/>
  <c r="F116" i="3"/>
  <c r="F128" i="3"/>
  <c r="F140" i="3"/>
  <c r="F152" i="3"/>
  <c r="F164" i="3"/>
  <c r="F176" i="3"/>
  <c r="F188" i="3"/>
  <c r="F200" i="3"/>
  <c r="F212" i="3"/>
  <c r="F224" i="3"/>
  <c r="F236" i="3"/>
  <c r="F248" i="3"/>
  <c r="F260" i="3"/>
  <c r="F272" i="3"/>
  <c r="F284" i="3"/>
  <c r="F296" i="3"/>
  <c r="F308" i="3"/>
  <c r="F320" i="3"/>
  <c r="F332" i="3"/>
  <c r="F344" i="3"/>
  <c r="F356" i="3"/>
  <c r="F368" i="3"/>
  <c r="F380" i="3"/>
  <c r="E4" i="3"/>
  <c r="E16" i="3"/>
  <c r="E28" i="3"/>
  <c r="E40" i="3"/>
  <c r="E52" i="3"/>
  <c r="E64" i="3"/>
  <c r="E76" i="3"/>
  <c r="E88" i="3"/>
  <c r="E100" i="3"/>
  <c r="E112" i="3"/>
  <c r="E124" i="3"/>
  <c r="E136" i="3"/>
  <c r="E148" i="3"/>
  <c r="E160" i="3"/>
  <c r="E172" i="3"/>
  <c r="E184" i="3"/>
  <c r="E196" i="3"/>
  <c r="E208" i="3"/>
  <c r="E220" i="3"/>
  <c r="E232" i="3"/>
  <c r="E244" i="3"/>
  <c r="E256" i="3"/>
  <c r="E268" i="3"/>
  <c r="E280" i="3"/>
  <c r="E292" i="3"/>
  <c r="E304" i="3"/>
  <c r="E316" i="3"/>
  <c r="E328" i="3"/>
  <c r="E340" i="3"/>
  <c r="I27" i="3"/>
  <c r="I60" i="3"/>
  <c r="I86" i="3"/>
  <c r="I119" i="3"/>
  <c r="I145" i="3"/>
  <c r="I171" i="3"/>
  <c r="I204" i="3"/>
  <c r="I230" i="3"/>
  <c r="I263" i="3"/>
  <c r="I289" i="3"/>
  <c r="I315" i="3"/>
  <c r="I348" i="3"/>
  <c r="I374" i="3"/>
  <c r="H19" i="3"/>
  <c r="H45" i="3"/>
  <c r="H71" i="3"/>
  <c r="H104" i="3"/>
  <c r="H130" i="3"/>
  <c r="H163" i="3"/>
  <c r="H189" i="3"/>
  <c r="H215" i="3"/>
  <c r="H248" i="3"/>
  <c r="H274" i="3"/>
  <c r="H293" i="3"/>
  <c r="H305" i="3"/>
  <c r="H317" i="3"/>
  <c r="H329" i="3"/>
  <c r="H341" i="3"/>
  <c r="H353" i="3"/>
  <c r="H365" i="3"/>
  <c r="H377" i="3"/>
  <c r="H389" i="3"/>
  <c r="G13" i="3"/>
  <c r="G25" i="3"/>
  <c r="G37" i="3"/>
  <c r="G49" i="3"/>
  <c r="G61" i="3"/>
  <c r="G73" i="3"/>
  <c r="G85" i="3"/>
  <c r="G97" i="3"/>
  <c r="G109" i="3"/>
  <c r="G121" i="3"/>
  <c r="G133" i="3"/>
  <c r="G145" i="3"/>
  <c r="G157" i="3"/>
  <c r="G169" i="3"/>
  <c r="G181" i="3"/>
  <c r="G193" i="3"/>
  <c r="G205" i="3"/>
  <c r="G217" i="3"/>
  <c r="G229" i="3"/>
  <c r="G241" i="3"/>
  <c r="G253" i="3"/>
  <c r="G265" i="3"/>
  <c r="G277" i="3"/>
  <c r="G289" i="3"/>
  <c r="G301" i="3"/>
  <c r="G313" i="3"/>
  <c r="G325" i="3"/>
  <c r="G337" i="3"/>
  <c r="G349" i="3"/>
  <c r="G361" i="3"/>
  <c r="G373" i="3"/>
  <c r="G385" i="3"/>
  <c r="F9" i="3"/>
  <c r="F21" i="3"/>
  <c r="F33" i="3"/>
  <c r="F45" i="3"/>
  <c r="F57" i="3"/>
  <c r="F69" i="3"/>
  <c r="F81" i="3"/>
  <c r="F93" i="3"/>
  <c r="F105" i="3"/>
  <c r="F117" i="3"/>
  <c r="F129" i="3"/>
  <c r="F141" i="3"/>
  <c r="F153" i="3"/>
  <c r="F165" i="3"/>
  <c r="F177" i="3"/>
  <c r="F189" i="3"/>
  <c r="F201" i="3"/>
  <c r="F213" i="3"/>
  <c r="F225" i="3"/>
  <c r="F237" i="3"/>
  <c r="F249" i="3"/>
  <c r="F261" i="3"/>
  <c r="F273" i="3"/>
  <c r="F285" i="3"/>
  <c r="F297" i="3"/>
  <c r="F309" i="3"/>
  <c r="F321" i="3"/>
  <c r="F333" i="3"/>
  <c r="F345" i="3"/>
  <c r="F357" i="3"/>
  <c r="F369" i="3"/>
  <c r="F381" i="3"/>
  <c r="E5" i="3"/>
  <c r="E17" i="3"/>
  <c r="E29" i="3"/>
  <c r="E41" i="3"/>
  <c r="E53" i="3"/>
  <c r="E65" i="3"/>
  <c r="E77" i="3"/>
  <c r="E89" i="3"/>
  <c r="E101" i="3"/>
  <c r="E113" i="3"/>
  <c r="E125" i="3"/>
  <c r="E137" i="3"/>
  <c r="E149" i="3"/>
  <c r="E161" i="3"/>
  <c r="E173" i="3"/>
  <c r="E185" i="3"/>
  <c r="E197" i="3"/>
  <c r="E209" i="3"/>
  <c r="E221" i="3"/>
  <c r="E233" i="3"/>
  <c r="E245" i="3"/>
  <c r="E257" i="3"/>
  <c r="E269" i="3"/>
  <c r="E281" i="3"/>
  <c r="E293" i="3"/>
  <c r="E305" i="3"/>
  <c r="E317" i="3"/>
  <c r="E329" i="3"/>
  <c r="E341" i="3"/>
  <c r="E353" i="3"/>
  <c r="I13" i="3"/>
  <c r="I39" i="3"/>
  <c r="I72" i="3"/>
  <c r="I98" i="3"/>
  <c r="I131" i="3"/>
  <c r="I157" i="3"/>
  <c r="I183" i="3"/>
  <c r="I216" i="3"/>
  <c r="I242" i="3"/>
  <c r="I275" i="3"/>
  <c r="I301" i="3"/>
  <c r="I327" i="3"/>
  <c r="I360" i="3"/>
  <c r="I386" i="3"/>
  <c r="H31" i="3"/>
  <c r="H57" i="3"/>
  <c r="H83" i="3"/>
  <c r="H116" i="3"/>
  <c r="H142" i="3"/>
  <c r="H175" i="3"/>
  <c r="H201" i="3"/>
  <c r="H227" i="3"/>
  <c r="H260" i="3"/>
  <c r="H286" i="3"/>
  <c r="H298" i="3"/>
  <c r="H310" i="3"/>
  <c r="H322" i="3"/>
  <c r="H334" i="3"/>
  <c r="H346" i="3"/>
  <c r="H358" i="3"/>
  <c r="H370" i="3"/>
  <c r="H382" i="3"/>
  <c r="G6" i="3"/>
  <c r="G18" i="3"/>
  <c r="G30" i="3"/>
  <c r="G42" i="3"/>
  <c r="G54" i="3"/>
  <c r="G66" i="3"/>
  <c r="G78" i="3"/>
  <c r="G90" i="3"/>
  <c r="G102" i="3"/>
  <c r="G114" i="3"/>
  <c r="G126" i="3"/>
  <c r="G138" i="3"/>
  <c r="G150" i="3"/>
  <c r="G162" i="3"/>
  <c r="G174" i="3"/>
  <c r="G186" i="3"/>
  <c r="G198" i="3"/>
  <c r="G210" i="3"/>
  <c r="G222" i="3"/>
  <c r="G234" i="3"/>
  <c r="G246" i="3"/>
  <c r="G258" i="3"/>
  <c r="G270" i="3"/>
  <c r="G282" i="3"/>
  <c r="G294" i="3"/>
  <c r="G306" i="3"/>
  <c r="G318" i="3"/>
  <c r="G330" i="3"/>
  <c r="G342" i="3"/>
  <c r="G354" i="3"/>
  <c r="G366" i="3"/>
  <c r="G378" i="3"/>
  <c r="G390" i="3"/>
  <c r="F14" i="3"/>
  <c r="F26" i="3"/>
  <c r="F38" i="3"/>
  <c r="F50" i="3"/>
  <c r="F62" i="3"/>
  <c r="F74" i="3"/>
  <c r="F86" i="3"/>
  <c r="F98" i="3"/>
  <c r="F110" i="3"/>
  <c r="F122" i="3"/>
  <c r="F134" i="3"/>
  <c r="F146" i="3"/>
  <c r="F158" i="3"/>
  <c r="F170" i="3"/>
  <c r="F182" i="3"/>
  <c r="F194" i="3"/>
  <c r="F206" i="3"/>
  <c r="F218" i="3"/>
  <c r="F230" i="3"/>
  <c r="F242" i="3"/>
  <c r="F254" i="3"/>
  <c r="F266" i="3"/>
  <c r="F278" i="3"/>
  <c r="F290" i="3"/>
  <c r="F302" i="3"/>
  <c r="F314" i="3"/>
  <c r="F326" i="3"/>
  <c r="F338" i="3"/>
  <c r="F350" i="3"/>
  <c r="F362" i="3"/>
  <c r="F374" i="3"/>
  <c r="F386" i="3"/>
  <c r="E10" i="3"/>
  <c r="E22" i="3"/>
  <c r="E34" i="3"/>
  <c r="E46" i="3"/>
  <c r="E58" i="3"/>
  <c r="E70" i="3"/>
  <c r="E82" i="3"/>
  <c r="E94" i="3"/>
  <c r="E106" i="3"/>
  <c r="E118" i="3"/>
  <c r="E130" i="3"/>
  <c r="E142" i="3"/>
  <c r="E154" i="3"/>
  <c r="E166" i="3"/>
  <c r="E178" i="3"/>
  <c r="E190" i="3"/>
  <c r="E202" i="3"/>
  <c r="E214" i="3"/>
  <c r="E226" i="3"/>
  <c r="E238" i="3"/>
  <c r="E250" i="3"/>
  <c r="E262" i="3"/>
  <c r="E274" i="3"/>
  <c r="E286" i="3"/>
  <c r="E298" i="3"/>
  <c r="E310" i="3"/>
  <c r="E322" i="3"/>
  <c r="E334" i="3"/>
  <c r="E346" i="3"/>
  <c r="I14" i="3"/>
  <c r="I47" i="3"/>
  <c r="I73" i="3"/>
  <c r="I99" i="3"/>
  <c r="I132" i="3"/>
  <c r="I158" i="3"/>
  <c r="I191" i="3"/>
  <c r="I217" i="3"/>
  <c r="I243" i="3"/>
  <c r="I276" i="3"/>
  <c r="I302" i="3"/>
  <c r="I335" i="3"/>
  <c r="I361" i="3"/>
  <c r="I387" i="3"/>
  <c r="H32" i="3"/>
  <c r="H58" i="3"/>
  <c r="H91" i="3"/>
  <c r="H117" i="3"/>
  <c r="H143" i="3"/>
  <c r="H176" i="3"/>
  <c r="H202" i="3"/>
  <c r="H235" i="3"/>
  <c r="H261" i="3"/>
  <c r="H287" i="3"/>
  <c r="H299" i="3"/>
  <c r="H311" i="3"/>
  <c r="H323" i="3"/>
  <c r="H335" i="3"/>
  <c r="H347" i="3"/>
  <c r="H359" i="3"/>
  <c r="H371" i="3"/>
  <c r="H383" i="3"/>
  <c r="G7" i="3"/>
  <c r="G19" i="3"/>
  <c r="G31" i="3"/>
  <c r="G43" i="3"/>
  <c r="G55" i="3"/>
  <c r="G67" i="3"/>
  <c r="G79" i="3"/>
  <c r="G91" i="3"/>
  <c r="G103" i="3"/>
  <c r="G115" i="3"/>
  <c r="G127" i="3"/>
  <c r="G139" i="3"/>
  <c r="G151" i="3"/>
  <c r="G163" i="3"/>
  <c r="G175" i="3"/>
  <c r="G187" i="3"/>
  <c r="G199" i="3"/>
  <c r="G211" i="3"/>
  <c r="G223" i="3"/>
  <c r="G235" i="3"/>
  <c r="G247" i="3"/>
  <c r="G259" i="3"/>
  <c r="G271" i="3"/>
  <c r="G283" i="3"/>
  <c r="G295" i="3"/>
  <c r="G307" i="3"/>
  <c r="G319" i="3"/>
  <c r="G331" i="3"/>
  <c r="G343" i="3"/>
  <c r="G355" i="3"/>
  <c r="G367" i="3"/>
  <c r="G379" i="3"/>
  <c r="F3" i="3"/>
  <c r="F15" i="3"/>
  <c r="F27" i="3"/>
  <c r="F39" i="3"/>
  <c r="F51" i="3"/>
  <c r="F63" i="3"/>
  <c r="F75" i="3"/>
  <c r="F87" i="3"/>
  <c r="F99" i="3"/>
  <c r="F111" i="3"/>
  <c r="F123" i="3"/>
  <c r="F135" i="3"/>
  <c r="F147" i="3"/>
  <c r="F159" i="3"/>
  <c r="F171" i="3"/>
  <c r="F183" i="3"/>
  <c r="F195" i="3"/>
  <c r="F207" i="3"/>
  <c r="F219" i="3"/>
  <c r="F231" i="3"/>
  <c r="F243" i="3"/>
  <c r="F255" i="3"/>
  <c r="F267" i="3"/>
  <c r="F279" i="3"/>
  <c r="F291" i="3"/>
  <c r="F303" i="3"/>
  <c r="F315" i="3"/>
  <c r="F327" i="3"/>
  <c r="F339" i="3"/>
  <c r="F351" i="3"/>
  <c r="F363" i="3"/>
  <c r="F375" i="3"/>
  <c r="F387" i="3"/>
  <c r="E11" i="3"/>
  <c r="E23" i="3"/>
  <c r="E35" i="3"/>
  <c r="E47" i="3"/>
  <c r="E59" i="3"/>
  <c r="E71" i="3"/>
  <c r="E83" i="3"/>
  <c r="E95" i="3"/>
  <c r="E107" i="3"/>
  <c r="E119" i="3"/>
  <c r="E131" i="3"/>
  <c r="E143" i="3"/>
  <c r="E155" i="3"/>
  <c r="E167" i="3"/>
  <c r="E179" i="3"/>
  <c r="E191" i="3"/>
  <c r="E203" i="3"/>
  <c r="E215" i="3"/>
  <c r="E227" i="3"/>
  <c r="E239" i="3"/>
  <c r="E251" i="3"/>
  <c r="E263" i="3"/>
  <c r="E275" i="3"/>
  <c r="E287" i="3"/>
  <c r="E299" i="3"/>
  <c r="E311" i="3"/>
  <c r="E323" i="3"/>
  <c r="E335" i="3"/>
  <c r="I15" i="3"/>
  <c r="I48" i="3"/>
  <c r="I74" i="3"/>
  <c r="I107" i="3"/>
  <c r="I133" i="3"/>
  <c r="I159" i="3"/>
  <c r="I192" i="3"/>
  <c r="I218" i="3"/>
  <c r="I251" i="3"/>
  <c r="I277" i="3"/>
  <c r="I303" i="3"/>
  <c r="I336" i="3"/>
  <c r="I362" i="3"/>
  <c r="H7" i="3"/>
  <c r="H33" i="3"/>
  <c r="H59" i="3"/>
  <c r="H92" i="3"/>
  <c r="H118" i="3"/>
  <c r="H151" i="3"/>
  <c r="H177" i="3"/>
  <c r="H203" i="3"/>
  <c r="H236" i="3"/>
  <c r="H262" i="3"/>
  <c r="H288" i="3"/>
  <c r="H300" i="3"/>
  <c r="H312" i="3"/>
  <c r="H324" i="3"/>
  <c r="H336" i="3"/>
  <c r="H348" i="3"/>
  <c r="H360" i="3"/>
  <c r="H372" i="3"/>
  <c r="H384" i="3"/>
  <c r="G8" i="3"/>
  <c r="G20" i="3"/>
  <c r="G32" i="3"/>
  <c r="G44" i="3"/>
  <c r="G56" i="3"/>
  <c r="G68" i="3"/>
  <c r="G80" i="3"/>
  <c r="G92" i="3"/>
  <c r="G104" i="3"/>
  <c r="G116" i="3"/>
  <c r="G128" i="3"/>
  <c r="G140" i="3"/>
  <c r="G152" i="3"/>
  <c r="G164" i="3"/>
  <c r="G176" i="3"/>
  <c r="G188" i="3"/>
  <c r="G200" i="3"/>
  <c r="G212" i="3"/>
  <c r="G224" i="3"/>
  <c r="G236" i="3"/>
  <c r="G248" i="3"/>
  <c r="G260" i="3"/>
  <c r="G272" i="3"/>
  <c r="G284" i="3"/>
  <c r="G296" i="3"/>
  <c r="G308" i="3"/>
  <c r="G320" i="3"/>
  <c r="G332" i="3"/>
  <c r="G344" i="3"/>
  <c r="G356" i="3"/>
  <c r="G368" i="3"/>
  <c r="G380" i="3"/>
  <c r="F4" i="3"/>
  <c r="F16" i="3"/>
  <c r="F28" i="3"/>
  <c r="F40" i="3"/>
  <c r="F52" i="3"/>
  <c r="F64" i="3"/>
  <c r="F76" i="3"/>
  <c r="F88" i="3"/>
  <c r="F100" i="3"/>
  <c r="F112" i="3"/>
  <c r="F124" i="3"/>
  <c r="F136" i="3"/>
  <c r="F148" i="3"/>
  <c r="F160" i="3"/>
  <c r="F172" i="3"/>
  <c r="F184" i="3"/>
  <c r="F196" i="3"/>
  <c r="F208" i="3"/>
  <c r="F220" i="3"/>
  <c r="F232" i="3"/>
  <c r="F244" i="3"/>
  <c r="F256" i="3"/>
  <c r="F268" i="3"/>
  <c r="F280" i="3"/>
  <c r="F292" i="3"/>
  <c r="F304" i="3"/>
  <c r="F316" i="3"/>
  <c r="F328" i="3"/>
  <c r="F340" i="3"/>
  <c r="F352" i="3"/>
  <c r="F364" i="3"/>
  <c r="F376" i="3"/>
  <c r="F388" i="3"/>
  <c r="E12" i="3"/>
  <c r="E24" i="3"/>
  <c r="E36" i="3"/>
  <c r="E48" i="3"/>
  <c r="E60" i="3"/>
  <c r="E72" i="3"/>
  <c r="E84" i="3"/>
  <c r="E96" i="3"/>
  <c r="E108" i="3"/>
  <c r="E120" i="3"/>
  <c r="E132" i="3"/>
  <c r="E144" i="3"/>
  <c r="E156" i="3"/>
  <c r="E168" i="3"/>
  <c r="E180" i="3"/>
  <c r="E192" i="3"/>
  <c r="E204" i="3"/>
  <c r="E216" i="3"/>
  <c r="E228" i="3"/>
  <c r="E240" i="3"/>
  <c r="E252" i="3"/>
  <c r="E264" i="3"/>
  <c r="E276" i="3"/>
  <c r="E288" i="3"/>
  <c r="E300" i="3"/>
  <c r="E312" i="3"/>
  <c r="E324" i="3"/>
  <c r="E336" i="3"/>
  <c r="B387" i="3"/>
  <c r="B375" i="3"/>
  <c r="B363" i="3"/>
  <c r="B351" i="3"/>
  <c r="B339" i="3"/>
  <c r="B327" i="3"/>
  <c r="B315" i="3"/>
  <c r="B303" i="3"/>
  <c r="B291" i="3"/>
  <c r="B279" i="3"/>
  <c r="B267" i="3"/>
  <c r="B255" i="3"/>
  <c r="B243" i="3"/>
  <c r="B231" i="3"/>
  <c r="B219" i="3"/>
  <c r="B207" i="3"/>
  <c r="B195" i="3"/>
  <c r="B183" i="3"/>
  <c r="B171" i="3"/>
  <c r="B159" i="3"/>
  <c r="B147" i="3"/>
  <c r="B135" i="3"/>
  <c r="B123" i="3"/>
  <c r="B111" i="3"/>
  <c r="B99" i="3"/>
  <c r="B87" i="3"/>
  <c r="B75" i="3"/>
  <c r="B63" i="3"/>
  <c r="B51" i="3"/>
  <c r="B39" i="3"/>
  <c r="B27" i="3"/>
  <c r="B15" i="3"/>
  <c r="B3" i="3"/>
  <c r="C379" i="3"/>
  <c r="C367" i="3"/>
  <c r="C355" i="3"/>
  <c r="C343" i="3"/>
  <c r="C331" i="3"/>
  <c r="C319" i="3"/>
  <c r="C307" i="3"/>
  <c r="C295" i="3"/>
  <c r="C283" i="3"/>
  <c r="C271" i="3"/>
  <c r="C259" i="3"/>
  <c r="C247" i="3"/>
  <c r="C235" i="3"/>
  <c r="C223" i="3"/>
  <c r="C211" i="3"/>
  <c r="C199" i="3"/>
  <c r="C187" i="3"/>
  <c r="C175" i="3"/>
  <c r="C163" i="3"/>
  <c r="C151" i="3"/>
  <c r="C139" i="3"/>
  <c r="C127" i="3"/>
  <c r="C115" i="3"/>
  <c r="C103" i="3"/>
  <c r="C91" i="3"/>
  <c r="C79" i="3"/>
  <c r="C67" i="3"/>
  <c r="C55" i="3"/>
  <c r="C43" i="3"/>
  <c r="C31" i="3"/>
  <c r="C19" i="3"/>
  <c r="C7" i="3"/>
  <c r="D383" i="3"/>
  <c r="D371" i="3"/>
  <c r="D359" i="3"/>
  <c r="D347" i="3"/>
  <c r="D335" i="3"/>
  <c r="D323" i="3"/>
  <c r="D311" i="3"/>
  <c r="D299" i="3"/>
  <c r="D287" i="3"/>
  <c r="D275" i="3"/>
  <c r="D263" i="3"/>
  <c r="D251" i="3"/>
  <c r="D239" i="3"/>
  <c r="D227" i="3"/>
  <c r="D215" i="3"/>
  <c r="D203" i="3"/>
  <c r="D191" i="3"/>
  <c r="D179" i="3"/>
  <c r="D167" i="3"/>
  <c r="D155" i="3"/>
  <c r="D143" i="3"/>
  <c r="D131" i="3"/>
  <c r="D119" i="3"/>
  <c r="D107" i="3"/>
  <c r="D95" i="3"/>
  <c r="D83" i="3"/>
  <c r="D71" i="3"/>
  <c r="D59" i="3"/>
  <c r="D47" i="3"/>
  <c r="D35" i="3"/>
  <c r="D23" i="3"/>
  <c r="D11" i="3"/>
  <c r="E387" i="3"/>
  <c r="E375" i="3"/>
  <c r="E363" i="3"/>
  <c r="E349" i="3"/>
  <c r="E320" i="3"/>
  <c r="E284" i="3"/>
  <c r="E248" i="3"/>
  <c r="E212" i="3"/>
  <c r="E176" i="3"/>
  <c r="E140" i="3"/>
  <c r="E104" i="3"/>
  <c r="E68" i="3"/>
  <c r="E32" i="3"/>
  <c r="F384" i="3"/>
  <c r="F348" i="3"/>
  <c r="F312" i="3"/>
  <c r="F276" i="3"/>
  <c r="F240" i="3"/>
  <c r="F204" i="3"/>
  <c r="F168" i="3"/>
  <c r="F132" i="3"/>
  <c r="F96" i="3"/>
  <c r="F60" i="3"/>
  <c r="F24" i="3"/>
  <c r="G376" i="3"/>
  <c r="G340" i="3"/>
  <c r="G304" i="3"/>
  <c r="G268" i="3"/>
  <c r="G232" i="3"/>
  <c r="G196" i="3"/>
  <c r="G160" i="3"/>
  <c r="G124" i="3"/>
  <c r="G88" i="3"/>
  <c r="G52" i="3"/>
  <c r="G16" i="3"/>
  <c r="H368" i="3"/>
  <c r="H332" i="3"/>
  <c r="H296" i="3"/>
  <c r="H225" i="3"/>
  <c r="H140" i="3"/>
  <c r="H55" i="3"/>
  <c r="I351" i="3"/>
  <c r="I266" i="3"/>
  <c r="I181" i="3"/>
  <c r="I96" i="3"/>
  <c r="I11" i="3"/>
  <c r="B386" i="3"/>
  <c r="B374" i="3"/>
  <c r="B362" i="3"/>
  <c r="B350" i="3"/>
  <c r="B338" i="3"/>
  <c r="B326" i="3"/>
  <c r="B314" i="3"/>
  <c r="B302" i="3"/>
  <c r="B290" i="3"/>
  <c r="B278" i="3"/>
  <c r="B266" i="3"/>
  <c r="B254" i="3"/>
  <c r="B242" i="3"/>
  <c r="B230" i="3"/>
  <c r="B218" i="3"/>
  <c r="B206" i="3"/>
  <c r="B194" i="3"/>
  <c r="B182" i="3"/>
  <c r="B170" i="3"/>
  <c r="B158" i="3"/>
  <c r="B146" i="3"/>
  <c r="B134" i="3"/>
  <c r="B122" i="3"/>
  <c r="B110" i="3"/>
  <c r="B98" i="3"/>
  <c r="B86" i="3"/>
  <c r="B74" i="3"/>
  <c r="B62" i="3"/>
  <c r="B50" i="3"/>
  <c r="B38" i="3"/>
  <c r="B26" i="3"/>
  <c r="B14" i="3"/>
  <c r="C390" i="3"/>
  <c r="C378" i="3"/>
  <c r="C366" i="3"/>
  <c r="C354" i="3"/>
  <c r="C342" i="3"/>
  <c r="C330" i="3"/>
  <c r="C318" i="3"/>
  <c r="C306" i="3"/>
  <c r="C294" i="3"/>
  <c r="C282" i="3"/>
  <c r="C270" i="3"/>
  <c r="C258" i="3"/>
  <c r="C246" i="3"/>
  <c r="C234" i="3"/>
  <c r="C222" i="3"/>
  <c r="C210" i="3"/>
  <c r="C198" i="3"/>
  <c r="C186" i="3"/>
  <c r="C174" i="3"/>
  <c r="C162" i="3"/>
  <c r="C150" i="3"/>
  <c r="C138" i="3"/>
  <c r="C126" i="3"/>
  <c r="C114" i="3"/>
  <c r="C102" i="3"/>
  <c r="C90" i="3"/>
  <c r="C78" i="3"/>
  <c r="C66" i="3"/>
  <c r="C54" i="3"/>
  <c r="C42" i="3"/>
  <c r="C30" i="3"/>
  <c r="C18" i="3"/>
  <c r="C6" i="3"/>
  <c r="D382" i="3"/>
  <c r="D370" i="3"/>
  <c r="D358" i="3"/>
  <c r="D346" i="3"/>
  <c r="D334" i="3"/>
  <c r="D322" i="3"/>
  <c r="D310" i="3"/>
  <c r="D298" i="3"/>
  <c r="D286" i="3"/>
  <c r="D274" i="3"/>
  <c r="D262" i="3"/>
  <c r="D250" i="3"/>
  <c r="D238" i="3"/>
  <c r="D226" i="3"/>
  <c r="D214" i="3"/>
  <c r="D202" i="3"/>
  <c r="D190" i="3"/>
  <c r="D178" i="3"/>
  <c r="D166" i="3"/>
  <c r="D154" i="3"/>
  <c r="D142" i="3"/>
  <c r="D130" i="3"/>
  <c r="D118" i="3"/>
  <c r="D106" i="3"/>
  <c r="D94" i="3"/>
  <c r="D82" i="3"/>
  <c r="D70" i="3"/>
  <c r="D58" i="3"/>
  <c r="D46" i="3"/>
  <c r="D34" i="3"/>
  <c r="D22" i="3"/>
  <c r="D10" i="3"/>
  <c r="E386" i="3"/>
  <c r="E374" i="3"/>
  <c r="E362" i="3"/>
  <c r="E348" i="3"/>
  <c r="E319" i="3"/>
  <c r="E283" i="3"/>
  <c r="E247" i="3"/>
  <c r="E211" i="3"/>
  <c r="E175" i="3"/>
  <c r="E139" i="3"/>
  <c r="E103" i="3"/>
  <c r="E67" i="3"/>
  <c r="E31" i="3"/>
  <c r="F383" i="3"/>
  <c r="F347" i="3"/>
  <c r="F311" i="3"/>
  <c r="F275" i="3"/>
  <c r="F239" i="3"/>
  <c r="F203" i="3"/>
  <c r="F167" i="3"/>
  <c r="F131" i="3"/>
  <c r="F95" i="3"/>
  <c r="F59" i="3"/>
  <c r="F23" i="3"/>
  <c r="G375" i="3"/>
  <c r="G339" i="3"/>
  <c r="G303" i="3"/>
  <c r="G267" i="3"/>
  <c r="G231" i="3"/>
  <c r="G195" i="3"/>
  <c r="G159" i="3"/>
  <c r="G123" i="3"/>
  <c r="G87" i="3"/>
  <c r="G51" i="3"/>
  <c r="G15" i="3"/>
  <c r="H367" i="3"/>
  <c r="H331" i="3"/>
  <c r="H295" i="3"/>
  <c r="H224" i="3"/>
  <c r="H139" i="3"/>
  <c r="H47" i="3"/>
  <c r="I350" i="3"/>
  <c r="I265" i="3"/>
  <c r="I180" i="3"/>
  <c r="I95" i="3"/>
  <c r="I3" i="3"/>
  <c r="B381" i="3"/>
  <c r="B369" i="3"/>
  <c r="B357" i="3"/>
  <c r="B345" i="3"/>
  <c r="B333" i="3"/>
  <c r="B321" i="3"/>
  <c r="B309" i="3"/>
  <c r="B297" i="3"/>
  <c r="B285" i="3"/>
  <c r="B273" i="3"/>
  <c r="B261" i="3"/>
  <c r="B249" i="3"/>
  <c r="B237" i="3"/>
  <c r="B225" i="3"/>
  <c r="B213" i="3"/>
  <c r="B201" i="3"/>
  <c r="B189" i="3"/>
  <c r="B177" i="3"/>
  <c r="B165" i="3"/>
  <c r="B153" i="3"/>
  <c r="B141" i="3"/>
  <c r="B129" i="3"/>
  <c r="B117" i="3"/>
  <c r="B105" i="3"/>
  <c r="B93" i="3"/>
  <c r="B81" i="3"/>
  <c r="B69" i="3"/>
  <c r="B57" i="3"/>
  <c r="B45" i="3"/>
  <c r="B33" i="3"/>
  <c r="B21" i="3"/>
  <c r="B9" i="3"/>
  <c r="C385" i="3"/>
  <c r="C373" i="3"/>
  <c r="C361" i="3"/>
  <c r="C349" i="3"/>
  <c r="C337" i="3"/>
  <c r="C325" i="3"/>
  <c r="C313" i="3"/>
  <c r="C301" i="3"/>
  <c r="C289" i="3"/>
  <c r="C277" i="3"/>
  <c r="C265" i="3"/>
  <c r="C253" i="3"/>
  <c r="C241" i="3"/>
  <c r="C229" i="3"/>
  <c r="C217" i="3"/>
  <c r="C205" i="3"/>
  <c r="C193" i="3"/>
  <c r="C181" i="3"/>
  <c r="C169" i="3"/>
  <c r="C157" i="3"/>
  <c r="C145" i="3"/>
  <c r="C133" i="3"/>
  <c r="C121" i="3"/>
  <c r="C109" i="3"/>
  <c r="C97" i="3"/>
  <c r="C85" i="3"/>
  <c r="C73" i="3"/>
  <c r="C61" i="3"/>
  <c r="C49" i="3"/>
  <c r="C37" i="3"/>
  <c r="C25" i="3"/>
  <c r="C13" i="3"/>
  <c r="D389" i="3"/>
  <c r="D377" i="3"/>
  <c r="D365" i="3"/>
  <c r="D353" i="3"/>
  <c r="D341" i="3"/>
  <c r="D329" i="3"/>
  <c r="D317" i="3"/>
  <c r="D305" i="3"/>
  <c r="D293" i="3"/>
  <c r="D281" i="3"/>
  <c r="D269" i="3"/>
  <c r="D257" i="3"/>
  <c r="D245" i="3"/>
  <c r="D233" i="3"/>
  <c r="D221" i="3"/>
  <c r="D209" i="3"/>
  <c r="D197" i="3"/>
  <c r="D185" i="3"/>
  <c r="D173" i="3"/>
  <c r="D161" i="3"/>
  <c r="D149" i="3"/>
  <c r="D137" i="3"/>
  <c r="D125" i="3"/>
  <c r="D113" i="3"/>
  <c r="D101" i="3"/>
  <c r="D89" i="3"/>
  <c r="D77" i="3"/>
  <c r="D65" i="3"/>
  <c r="D53" i="3"/>
  <c r="D41" i="3"/>
  <c r="D29" i="3"/>
  <c r="D17" i="3"/>
  <c r="D5" i="3"/>
  <c r="E381" i="3"/>
  <c r="E369" i="3"/>
  <c r="E357" i="3"/>
  <c r="E342" i="3"/>
  <c r="E306" i="3"/>
  <c r="E270" i="3"/>
  <c r="E234" i="3"/>
  <c r="E198" i="3"/>
  <c r="E162" i="3"/>
  <c r="E126" i="3"/>
  <c r="E90" i="3"/>
  <c r="E54" i="3"/>
  <c r="E18" i="3"/>
  <c r="F370" i="3"/>
  <c r="F334" i="3"/>
  <c r="F298" i="3"/>
  <c r="F262" i="3"/>
  <c r="F226" i="3"/>
  <c r="F190" i="3"/>
  <c r="F154" i="3"/>
  <c r="F118" i="3"/>
  <c r="F82" i="3"/>
  <c r="F46" i="3"/>
  <c r="F10" i="3"/>
  <c r="G362" i="3"/>
  <c r="G326" i="3"/>
  <c r="G290" i="3"/>
  <c r="G254" i="3"/>
  <c r="G218" i="3"/>
  <c r="G182" i="3"/>
  <c r="G146" i="3"/>
  <c r="G110" i="3"/>
  <c r="G74" i="3"/>
  <c r="G38" i="3"/>
  <c r="H390" i="3"/>
  <c r="H354" i="3"/>
  <c r="H318" i="3"/>
  <c r="H275" i="3"/>
  <c r="H190" i="3"/>
  <c r="H105" i="3"/>
  <c r="H20" i="3"/>
  <c r="I323" i="3"/>
  <c r="I231" i="3"/>
  <c r="I146" i="3"/>
  <c r="I61" i="3"/>
  <c r="B380" i="3"/>
  <c r="B368" i="3"/>
  <c r="B356" i="3"/>
  <c r="B344" i="3"/>
  <c r="B332" i="3"/>
  <c r="B320" i="3"/>
  <c r="B308" i="3"/>
  <c r="B296" i="3"/>
  <c r="B284" i="3"/>
  <c r="B272" i="3"/>
  <c r="B260" i="3"/>
  <c r="B248" i="3"/>
  <c r="B236" i="3"/>
  <c r="B224" i="3"/>
  <c r="B212" i="3"/>
  <c r="B200" i="3"/>
  <c r="B188" i="3"/>
  <c r="B176" i="3"/>
  <c r="B164" i="3"/>
  <c r="B152" i="3"/>
  <c r="B140" i="3"/>
  <c r="B128" i="3"/>
  <c r="B116" i="3"/>
  <c r="B104" i="3"/>
  <c r="B92" i="3"/>
  <c r="B80" i="3"/>
  <c r="B68" i="3"/>
  <c r="B56" i="3"/>
  <c r="B44" i="3"/>
  <c r="B32" i="3"/>
  <c r="B20" i="3"/>
  <c r="B8" i="3"/>
  <c r="C384" i="3"/>
  <c r="C372" i="3"/>
  <c r="C360" i="3"/>
  <c r="C348" i="3"/>
  <c r="C336" i="3"/>
  <c r="C324" i="3"/>
  <c r="C312" i="3"/>
  <c r="C300" i="3"/>
  <c r="C288" i="3"/>
  <c r="C276" i="3"/>
  <c r="C264" i="3"/>
  <c r="C252" i="3"/>
  <c r="C240" i="3"/>
  <c r="C228" i="3"/>
  <c r="C216" i="3"/>
  <c r="C204" i="3"/>
  <c r="C192" i="3"/>
  <c r="C180" i="3"/>
  <c r="C168" i="3"/>
  <c r="C156" i="3"/>
  <c r="C144" i="3"/>
  <c r="C132" i="3"/>
  <c r="C120" i="3"/>
  <c r="C108" i="3"/>
  <c r="C96" i="3"/>
  <c r="C84" i="3"/>
  <c r="C72" i="3"/>
  <c r="C60" i="3"/>
  <c r="C48" i="3"/>
  <c r="C36" i="3"/>
  <c r="C24" i="3"/>
  <c r="C12" i="3"/>
  <c r="D388" i="3"/>
  <c r="D376" i="3"/>
  <c r="D364" i="3"/>
  <c r="D352" i="3"/>
  <c r="D340" i="3"/>
  <c r="D328" i="3"/>
  <c r="D316" i="3"/>
  <c r="D304" i="3"/>
  <c r="D292" i="3"/>
  <c r="D280" i="3"/>
  <c r="D268" i="3"/>
  <c r="D256" i="3"/>
  <c r="D244" i="3"/>
  <c r="D232" i="3"/>
  <c r="D220" i="3"/>
  <c r="D208" i="3"/>
  <c r="D196" i="3"/>
  <c r="D184" i="3"/>
  <c r="D172" i="3"/>
  <c r="D160" i="3"/>
  <c r="D148" i="3"/>
  <c r="D136" i="3"/>
  <c r="D124" i="3"/>
  <c r="D112" i="3"/>
  <c r="D100" i="3"/>
  <c r="D88" i="3"/>
  <c r="D76" i="3"/>
  <c r="D64" i="3"/>
  <c r="D52" i="3"/>
  <c r="D40" i="3"/>
  <c r="D28" i="3"/>
  <c r="D16" i="3"/>
  <c r="D4" i="3"/>
  <c r="E380" i="3"/>
  <c r="E368" i="3"/>
  <c r="E356" i="3"/>
  <c r="E333" i="3"/>
  <c r="E297" i="3"/>
  <c r="E261" i="3"/>
  <c r="E225" i="3"/>
  <c r="E189" i="3"/>
  <c r="E153" i="3"/>
  <c r="E117" i="3"/>
  <c r="E81" i="3"/>
  <c r="E45" i="3"/>
  <c r="E9" i="3"/>
  <c r="F361" i="3"/>
  <c r="F325" i="3"/>
  <c r="F289" i="3"/>
  <c r="F253" i="3"/>
  <c r="F217" i="3"/>
  <c r="F181" i="3"/>
  <c r="F145" i="3"/>
  <c r="F109" i="3"/>
  <c r="F73" i="3"/>
  <c r="F37" i="3"/>
  <c r="G389" i="3"/>
  <c r="G353" i="3"/>
  <c r="G317" i="3"/>
  <c r="G281" i="3"/>
  <c r="G245" i="3"/>
  <c r="G209" i="3"/>
  <c r="G173" i="3"/>
  <c r="G137" i="3"/>
  <c r="G101" i="3"/>
  <c r="G65" i="3"/>
  <c r="G29" i="3"/>
  <c r="H381" i="3"/>
  <c r="H345" i="3"/>
  <c r="H309" i="3"/>
  <c r="H259" i="3"/>
  <c r="H167" i="3"/>
  <c r="H82" i="3"/>
  <c r="I385" i="3"/>
  <c r="I300" i="3"/>
  <c r="I215" i="3"/>
  <c r="I123" i="3"/>
  <c r="I38" i="3"/>
  <c r="G75" i="3"/>
  <c r="I239" i="3"/>
  <c r="B379" i="3"/>
  <c r="B367" i="3"/>
  <c r="B355" i="3"/>
  <c r="B343" i="3"/>
  <c r="B331" i="3"/>
  <c r="B319" i="3"/>
  <c r="B307" i="3"/>
  <c r="B295" i="3"/>
  <c r="B283" i="3"/>
  <c r="B271" i="3"/>
  <c r="B259" i="3"/>
  <c r="B247" i="3"/>
  <c r="B235" i="3"/>
  <c r="B223" i="3"/>
  <c r="B211" i="3"/>
  <c r="B199" i="3"/>
  <c r="B187" i="3"/>
  <c r="B175" i="3"/>
  <c r="B163" i="3"/>
  <c r="B151" i="3"/>
  <c r="B139" i="3"/>
  <c r="B127" i="3"/>
  <c r="B115" i="3"/>
  <c r="B103" i="3"/>
  <c r="B91" i="3"/>
  <c r="B79" i="3"/>
  <c r="B67" i="3"/>
  <c r="B55" i="3"/>
  <c r="B43" i="3"/>
  <c r="B31" i="3"/>
  <c r="B19" i="3"/>
  <c r="B7" i="3"/>
  <c r="C383" i="3"/>
  <c r="C371" i="3"/>
  <c r="C359" i="3"/>
  <c r="C347" i="3"/>
  <c r="C335" i="3"/>
  <c r="C323" i="3"/>
  <c r="C311" i="3"/>
  <c r="C299" i="3"/>
  <c r="C287" i="3"/>
  <c r="C275" i="3"/>
  <c r="C263" i="3"/>
  <c r="C251" i="3"/>
  <c r="C239" i="3"/>
  <c r="C227" i="3"/>
  <c r="C215" i="3"/>
  <c r="C203" i="3"/>
  <c r="C191" i="3"/>
  <c r="C179" i="3"/>
  <c r="C167" i="3"/>
  <c r="C155" i="3"/>
  <c r="C143" i="3"/>
  <c r="C131" i="3"/>
  <c r="C119" i="3"/>
  <c r="C107" i="3"/>
  <c r="C95" i="3"/>
  <c r="C83" i="3"/>
  <c r="C71" i="3"/>
  <c r="C59" i="3"/>
  <c r="C47" i="3"/>
  <c r="C35" i="3"/>
  <c r="C23" i="3"/>
  <c r="C11" i="3"/>
  <c r="D387" i="3"/>
  <c r="D375" i="3"/>
  <c r="D363" i="3"/>
  <c r="D351" i="3"/>
  <c r="D339" i="3"/>
  <c r="D327" i="3"/>
  <c r="D315" i="3"/>
  <c r="D303" i="3"/>
  <c r="D291" i="3"/>
  <c r="D279" i="3"/>
  <c r="D267" i="3"/>
  <c r="D255" i="3"/>
  <c r="D243" i="3"/>
  <c r="D231" i="3"/>
  <c r="D219" i="3"/>
  <c r="D207" i="3"/>
  <c r="D195" i="3"/>
  <c r="D183" i="3"/>
  <c r="D171" i="3"/>
  <c r="D159" i="3"/>
  <c r="D147" i="3"/>
  <c r="D135" i="3"/>
  <c r="D123" i="3"/>
  <c r="D111" i="3"/>
  <c r="D99" i="3"/>
  <c r="D87" i="3"/>
  <c r="D75" i="3"/>
  <c r="D63" i="3"/>
  <c r="D51" i="3"/>
  <c r="D39" i="3"/>
  <c r="D27" i="3"/>
  <c r="D15" i="3"/>
  <c r="D3" i="3"/>
  <c r="E379" i="3"/>
  <c r="E367" i="3"/>
  <c r="E355" i="3"/>
  <c r="E332" i="3"/>
  <c r="E296" i="3"/>
  <c r="E260" i="3"/>
  <c r="E224" i="3"/>
  <c r="E188" i="3"/>
  <c r="E152" i="3"/>
  <c r="E116" i="3"/>
  <c r="E80" i="3"/>
  <c r="E44" i="3"/>
  <c r="E8" i="3"/>
  <c r="F360" i="3"/>
  <c r="F324" i="3"/>
  <c r="F288" i="3"/>
  <c r="F252" i="3"/>
  <c r="F216" i="3"/>
  <c r="F180" i="3"/>
  <c r="F144" i="3"/>
  <c r="F108" i="3"/>
  <c r="F72" i="3"/>
  <c r="F36" i="3"/>
  <c r="G388" i="3"/>
  <c r="G352" i="3"/>
  <c r="G316" i="3"/>
  <c r="G280" i="3"/>
  <c r="G244" i="3"/>
  <c r="G208" i="3"/>
  <c r="G172" i="3"/>
  <c r="G136" i="3"/>
  <c r="G100" i="3"/>
  <c r="G64" i="3"/>
  <c r="G28" i="3"/>
  <c r="H380" i="3"/>
  <c r="H344" i="3"/>
  <c r="H308" i="3"/>
  <c r="H251" i="3"/>
  <c r="H166" i="3"/>
  <c r="H81" i="3"/>
  <c r="I384" i="3"/>
  <c r="I299" i="3"/>
  <c r="I207" i="3"/>
  <c r="I122" i="3"/>
  <c r="I37" i="3"/>
  <c r="G147" i="3"/>
  <c r="H283" i="3"/>
  <c r="I147" i="3"/>
  <c r="B390" i="3"/>
  <c r="B378" i="3"/>
  <c r="B366" i="3"/>
  <c r="B354" i="3"/>
  <c r="B342" i="3"/>
  <c r="B330" i="3"/>
  <c r="B318" i="3"/>
  <c r="B306" i="3"/>
  <c r="B294" i="3"/>
  <c r="B282" i="3"/>
  <c r="B270" i="3"/>
  <c r="B258" i="3"/>
  <c r="B246" i="3"/>
  <c r="B234" i="3"/>
  <c r="B222" i="3"/>
  <c r="B210" i="3"/>
  <c r="B198" i="3"/>
  <c r="B186" i="3"/>
  <c r="B174" i="3"/>
  <c r="B162" i="3"/>
  <c r="B150" i="3"/>
  <c r="B138" i="3"/>
  <c r="B126" i="3"/>
  <c r="B114" i="3"/>
  <c r="B102" i="3"/>
  <c r="B90" i="3"/>
  <c r="B78" i="3"/>
  <c r="B66" i="3"/>
  <c r="B54" i="3"/>
  <c r="B42" i="3"/>
  <c r="B30" i="3"/>
  <c r="B18" i="3"/>
  <c r="B6" i="3"/>
  <c r="C382" i="3"/>
  <c r="C370" i="3"/>
  <c r="C358" i="3"/>
  <c r="C346" i="3"/>
  <c r="C334" i="3"/>
  <c r="C322" i="3"/>
  <c r="C310" i="3"/>
  <c r="C298" i="3"/>
  <c r="C286" i="3"/>
  <c r="C274" i="3"/>
  <c r="C262" i="3"/>
  <c r="C250" i="3"/>
  <c r="C238" i="3"/>
  <c r="C226" i="3"/>
  <c r="C214" i="3"/>
  <c r="C202" i="3"/>
  <c r="C190" i="3"/>
  <c r="C178" i="3"/>
  <c r="C166" i="3"/>
  <c r="C154" i="3"/>
  <c r="C142" i="3"/>
  <c r="C130" i="3"/>
  <c r="C118" i="3"/>
  <c r="C106" i="3"/>
  <c r="C94" i="3"/>
  <c r="C82" i="3"/>
  <c r="C70" i="3"/>
  <c r="C58" i="3"/>
  <c r="C46" i="3"/>
  <c r="C34" i="3"/>
  <c r="C22" i="3"/>
  <c r="C10" i="3"/>
  <c r="D386" i="3"/>
  <c r="D374" i="3"/>
  <c r="D362" i="3"/>
  <c r="D350" i="3"/>
  <c r="D338" i="3"/>
  <c r="D326" i="3"/>
  <c r="D314" i="3"/>
  <c r="D302" i="3"/>
  <c r="D290" i="3"/>
  <c r="D278" i="3"/>
  <c r="D266" i="3"/>
  <c r="D254" i="3"/>
  <c r="D242" i="3"/>
  <c r="D230" i="3"/>
  <c r="D218" i="3"/>
  <c r="D206" i="3"/>
  <c r="D194" i="3"/>
  <c r="D182" i="3"/>
  <c r="D170" i="3"/>
  <c r="D158" i="3"/>
  <c r="D146" i="3"/>
  <c r="D134" i="3"/>
  <c r="D122" i="3"/>
  <c r="D110" i="3"/>
  <c r="D98" i="3"/>
  <c r="D86" i="3"/>
  <c r="D74" i="3"/>
  <c r="D62" i="3"/>
  <c r="D50" i="3"/>
  <c r="D38" i="3"/>
  <c r="D26" i="3"/>
  <c r="D14" i="3"/>
  <c r="E390" i="3"/>
  <c r="E378" i="3"/>
  <c r="E366" i="3"/>
  <c r="E354" i="3"/>
  <c r="E331" i="3"/>
  <c r="E295" i="3"/>
  <c r="E259" i="3"/>
  <c r="E223" i="3"/>
  <c r="E187" i="3"/>
  <c r="E151" i="3"/>
  <c r="E115" i="3"/>
  <c r="E79" i="3"/>
  <c r="E43" i="3"/>
  <c r="E7" i="3"/>
  <c r="F359" i="3"/>
  <c r="F323" i="3"/>
  <c r="F287" i="3"/>
  <c r="F251" i="3"/>
  <c r="F215" i="3"/>
  <c r="F179" i="3"/>
  <c r="F143" i="3"/>
  <c r="F107" i="3"/>
  <c r="F71" i="3"/>
  <c r="F35" i="3"/>
  <c r="G387" i="3"/>
  <c r="G351" i="3"/>
  <c r="G315" i="3"/>
  <c r="G279" i="3"/>
  <c r="G243" i="3"/>
  <c r="G207" i="3"/>
  <c r="G171" i="3"/>
  <c r="G135" i="3"/>
  <c r="G99" i="3"/>
  <c r="G63" i="3"/>
  <c r="G27" i="3"/>
  <c r="H379" i="3"/>
  <c r="H343" i="3"/>
  <c r="H307" i="3"/>
  <c r="H250" i="3"/>
  <c r="H165" i="3"/>
  <c r="H80" i="3"/>
  <c r="I383" i="3"/>
  <c r="I291" i="3"/>
  <c r="I206" i="3"/>
  <c r="I121" i="3"/>
  <c r="I36" i="3"/>
  <c r="G219" i="3"/>
  <c r="G111" i="3"/>
  <c r="G39" i="3"/>
  <c r="G3" i="3"/>
  <c r="H319" i="3"/>
  <c r="H191" i="3"/>
  <c r="H106" i="3"/>
  <c r="H21" i="3"/>
  <c r="I62" i="3"/>
  <c r="B389" i="3"/>
  <c r="B377" i="3"/>
  <c r="B365" i="3"/>
  <c r="B353" i="3"/>
  <c r="B341" i="3"/>
  <c r="B329" i="3"/>
  <c r="B317" i="3"/>
  <c r="B305" i="3"/>
  <c r="B293" i="3"/>
  <c r="B281" i="3"/>
  <c r="B269" i="3"/>
  <c r="B257" i="3"/>
  <c r="B245" i="3"/>
  <c r="B233" i="3"/>
  <c r="B221" i="3"/>
  <c r="B209" i="3"/>
  <c r="B197" i="3"/>
  <c r="B185" i="3"/>
  <c r="B173" i="3"/>
  <c r="B161" i="3"/>
  <c r="B149" i="3"/>
  <c r="B137" i="3"/>
  <c r="B125" i="3"/>
  <c r="B113" i="3"/>
  <c r="B101" i="3"/>
  <c r="B89" i="3"/>
  <c r="B77" i="3"/>
  <c r="B65" i="3"/>
  <c r="B53" i="3"/>
  <c r="B41" i="3"/>
  <c r="B29" i="3"/>
  <c r="B17" i="3"/>
  <c r="B5" i="3"/>
  <c r="C381" i="3"/>
  <c r="C369" i="3"/>
  <c r="C357" i="3"/>
  <c r="C345" i="3"/>
  <c r="C333" i="3"/>
  <c r="C321" i="3"/>
  <c r="C309" i="3"/>
  <c r="C297" i="3"/>
  <c r="C285" i="3"/>
  <c r="C273" i="3"/>
  <c r="C261" i="3"/>
  <c r="C249" i="3"/>
  <c r="C237" i="3"/>
  <c r="C225" i="3"/>
  <c r="C213" i="3"/>
  <c r="C201" i="3"/>
  <c r="C189" i="3"/>
  <c r="C177" i="3"/>
  <c r="C165" i="3"/>
  <c r="C153" i="3"/>
  <c r="C141" i="3"/>
  <c r="C129" i="3"/>
  <c r="C117" i="3"/>
  <c r="C105" i="3"/>
  <c r="C93" i="3"/>
  <c r="C81" i="3"/>
  <c r="C69" i="3"/>
  <c r="C57" i="3"/>
  <c r="C45" i="3"/>
  <c r="C33" i="3"/>
  <c r="C21" i="3"/>
  <c r="C9" i="3"/>
  <c r="D385" i="3"/>
  <c r="D373" i="3"/>
  <c r="D361" i="3"/>
  <c r="D349" i="3"/>
  <c r="D337" i="3"/>
  <c r="D325" i="3"/>
  <c r="D313" i="3"/>
  <c r="D301" i="3"/>
  <c r="D289" i="3"/>
  <c r="D277" i="3"/>
  <c r="D265" i="3"/>
  <c r="D253" i="3"/>
  <c r="D241" i="3"/>
  <c r="D229" i="3"/>
  <c r="D217" i="3"/>
  <c r="D205" i="3"/>
  <c r="D193" i="3"/>
  <c r="D181" i="3"/>
  <c r="D169" i="3"/>
  <c r="D157" i="3"/>
  <c r="D145" i="3"/>
  <c r="D133" i="3"/>
  <c r="D121" i="3"/>
  <c r="D109" i="3"/>
  <c r="D97" i="3"/>
  <c r="D85" i="3"/>
  <c r="D73" i="3"/>
  <c r="D61" i="3"/>
  <c r="D49" i="3"/>
  <c r="D37" i="3"/>
  <c r="D25" i="3"/>
  <c r="D13" i="3"/>
  <c r="E389" i="3"/>
  <c r="E377" i="3"/>
  <c r="E365" i="3"/>
  <c r="E352" i="3"/>
  <c r="E330" i="3"/>
  <c r="E294" i="3"/>
  <c r="E258" i="3"/>
  <c r="E222" i="3"/>
  <c r="E186" i="3"/>
  <c r="E150" i="3"/>
  <c r="E114" i="3"/>
  <c r="E78" i="3"/>
  <c r="E42" i="3"/>
  <c r="E6" i="3"/>
  <c r="F358" i="3"/>
  <c r="F322" i="3"/>
  <c r="F286" i="3"/>
  <c r="F250" i="3"/>
  <c r="F214" i="3"/>
  <c r="F178" i="3"/>
  <c r="F142" i="3"/>
  <c r="F106" i="3"/>
  <c r="F70" i="3"/>
  <c r="F34" i="3"/>
  <c r="G386" i="3"/>
  <c r="G350" i="3"/>
  <c r="G314" i="3"/>
  <c r="G278" i="3"/>
  <c r="G242" i="3"/>
  <c r="G206" i="3"/>
  <c r="G170" i="3"/>
  <c r="G134" i="3"/>
  <c r="G98" i="3"/>
  <c r="G62" i="3"/>
  <c r="G26" i="3"/>
  <c r="H378" i="3"/>
  <c r="H342" i="3"/>
  <c r="H306" i="3"/>
  <c r="H249" i="3"/>
  <c r="H164" i="3"/>
  <c r="H79" i="3"/>
  <c r="I375" i="3"/>
  <c r="I290" i="3"/>
  <c r="I205" i="3"/>
  <c r="I120" i="3"/>
  <c r="I35" i="3"/>
  <c r="AA5" i="6"/>
  <c r="D22" i="10"/>
  <c r="M7" i="6"/>
  <c r="AA3" i="6"/>
  <c r="A30" i="10"/>
  <c r="T7" i="6"/>
  <c r="A25" i="10"/>
  <c r="T6" i="6"/>
  <c r="A24" i="10"/>
  <c r="D21" i="10"/>
  <c r="T3" i="6"/>
  <c r="A21" i="10"/>
  <c r="AA4" i="6"/>
  <c r="T5" i="6"/>
  <c r="A23" i="10"/>
  <c r="D20" i="10"/>
  <c r="A20" i="10"/>
  <c r="T4" i="6"/>
  <c r="A22" i="10"/>
  <c r="M6" i="6"/>
  <c r="A29" i="10"/>
  <c r="M5" i="6"/>
  <c r="A28" i="10"/>
  <c r="M4" i="6"/>
  <c r="A27" i="10"/>
  <c r="M3" i="6"/>
  <c r="A26" i="10"/>
  <c r="D19" i="10"/>
  <c r="H26" i="10"/>
  <c r="V58" i="4" a="1"/>
  <c r="V58" i="4" s="1"/>
  <c r="W58" i="4" a="1"/>
  <c r="W58" i="4" s="1"/>
  <c r="X58" i="4" a="1"/>
  <c r="X58" i="4" s="1"/>
  <c r="Y58" i="4" a="1"/>
  <c r="Y58" i="4" s="1"/>
  <c r="V57" i="4" a="1"/>
  <c r="V57" i="4" s="1"/>
  <c r="W57" i="4" a="1"/>
  <c r="W57" i="4" s="1"/>
  <c r="X57" i="4" a="1"/>
  <c r="X57" i="4" s="1"/>
  <c r="Y57" i="4" a="1"/>
  <c r="Y57" i="4" s="1"/>
  <c r="C2" i="5"/>
  <c r="C19" i="5" s="1"/>
  <c r="D2" i="5"/>
  <c r="E2" i="5"/>
  <c r="F2" i="5"/>
  <c r="G2" i="5"/>
  <c r="H2" i="5"/>
  <c r="I2" i="5"/>
  <c r="I19" i="5" s="1"/>
  <c r="J2" i="5"/>
  <c r="J19" i="5" s="1"/>
  <c r="K2" i="5"/>
  <c r="K19" i="5" s="1"/>
  <c r="L2" i="5"/>
  <c r="M2" i="5"/>
  <c r="M19" i="5" s="1"/>
  <c r="B2" i="5"/>
  <c r="B20" i="5" s="1"/>
  <c r="Z2" i="6"/>
  <c r="S2" i="6"/>
  <c r="M63" i="5"/>
  <c r="L63" i="5"/>
  <c r="K63" i="5"/>
  <c r="J63" i="5"/>
  <c r="I63" i="5"/>
  <c r="H63" i="5"/>
  <c r="G63" i="5"/>
  <c r="F63" i="5"/>
  <c r="E63" i="5"/>
  <c r="D63" i="5"/>
  <c r="C63" i="5"/>
  <c r="B63" i="5"/>
  <c r="C50" i="5"/>
  <c r="D50" i="5"/>
  <c r="E50" i="5"/>
  <c r="F50" i="5"/>
  <c r="G50" i="5"/>
  <c r="H50" i="5"/>
  <c r="H45" i="5" s="1"/>
  <c r="I50" i="5"/>
  <c r="J50" i="5"/>
  <c r="J45" i="5" s="1"/>
  <c r="K50" i="5"/>
  <c r="K45" i="5" s="1"/>
  <c r="L50" i="5"/>
  <c r="M50" i="5"/>
  <c r="B50" i="5"/>
  <c r="L58" i="5" l="1"/>
  <c r="L45" i="5"/>
  <c r="D58" i="5"/>
  <c r="F58" i="5"/>
  <c r="B58" i="5"/>
  <c r="B7" i="10" s="1"/>
  <c r="B13" i="10" s="1"/>
  <c r="B14" i="10" s="1"/>
  <c r="M58" i="5"/>
  <c r="M45" i="5"/>
  <c r="AJ12" i="1"/>
  <c r="AJ13" i="1"/>
  <c r="AJ25" i="1"/>
  <c r="AJ37" i="1"/>
  <c r="AJ49" i="1"/>
  <c r="AJ61" i="1"/>
  <c r="AJ73" i="1"/>
  <c r="AJ85" i="1"/>
  <c r="AJ97" i="1"/>
  <c r="AJ14" i="1"/>
  <c r="AJ3" i="1"/>
  <c r="AJ4" i="1"/>
  <c r="AJ5" i="1"/>
  <c r="AJ6" i="1"/>
  <c r="AJ7" i="1"/>
  <c r="AJ19" i="1"/>
  <c r="AJ31" i="1"/>
  <c r="AJ43" i="1"/>
  <c r="AJ55" i="1"/>
  <c r="AJ67" i="1"/>
  <c r="AJ79" i="1"/>
  <c r="AJ91" i="1"/>
  <c r="AJ8" i="1"/>
  <c r="AJ9" i="1"/>
  <c r="AJ10" i="1"/>
  <c r="AJ22" i="1"/>
  <c r="AJ46" i="1"/>
  <c r="AJ58" i="1"/>
  <c r="AJ70" i="1"/>
  <c r="AJ82" i="1"/>
  <c r="AJ94" i="1"/>
  <c r="AJ106" i="1"/>
  <c r="AJ118" i="1"/>
  <c r="AJ130" i="1"/>
  <c r="AJ142" i="1"/>
  <c r="AJ154" i="1"/>
  <c r="AJ166" i="1"/>
  <c r="AJ178" i="1"/>
  <c r="AJ190" i="1"/>
  <c r="AJ11" i="1"/>
  <c r="AJ16" i="1"/>
  <c r="AJ32" i="1"/>
  <c r="AJ48" i="1"/>
  <c r="AJ64" i="1"/>
  <c r="AJ80" i="1"/>
  <c r="AJ96" i="1"/>
  <c r="AJ110" i="1"/>
  <c r="AJ123" i="1"/>
  <c r="AJ136" i="1"/>
  <c r="AJ149" i="1"/>
  <c r="AJ162" i="1"/>
  <c r="AJ175" i="1"/>
  <c r="AJ188" i="1"/>
  <c r="AJ201" i="1"/>
  <c r="AJ213" i="1"/>
  <c r="AJ225" i="1"/>
  <c r="AJ237" i="1"/>
  <c r="AJ249" i="1"/>
  <c r="AJ261" i="1"/>
  <c r="AJ273" i="1"/>
  <c r="AJ285" i="1"/>
  <c r="AJ297" i="1"/>
  <c r="AJ309" i="1"/>
  <c r="AJ321" i="1"/>
  <c r="AJ333" i="1"/>
  <c r="AJ345" i="1"/>
  <c r="AJ357" i="1"/>
  <c r="AJ369" i="1"/>
  <c r="AJ381" i="1"/>
  <c r="AJ393" i="1"/>
  <c r="AJ405" i="1"/>
  <c r="AJ417" i="1"/>
  <c r="AJ429" i="1"/>
  <c r="AJ441" i="1"/>
  <c r="AJ453" i="1"/>
  <c r="AJ465" i="1"/>
  <c r="AJ477" i="1"/>
  <c r="AJ489" i="1"/>
  <c r="AJ501" i="1"/>
  <c r="AJ513" i="1"/>
  <c r="AJ525" i="1"/>
  <c r="AJ537" i="1"/>
  <c r="AJ549" i="1"/>
  <c r="AJ561" i="1"/>
  <c r="AJ573" i="1"/>
  <c r="AJ585" i="1"/>
  <c r="AJ597" i="1"/>
  <c r="AJ609" i="1"/>
  <c r="AJ621" i="1"/>
  <c r="AJ633" i="1"/>
  <c r="AJ645" i="1"/>
  <c r="AJ657" i="1"/>
  <c r="AJ669" i="1"/>
  <c r="AJ681" i="1"/>
  <c r="AJ693" i="1"/>
  <c r="AJ705" i="1"/>
  <c r="AJ717" i="1"/>
  <c r="AJ729" i="1"/>
  <c r="AJ741" i="1"/>
  <c r="AJ753" i="1"/>
  <c r="AJ765" i="1"/>
  <c r="AJ777" i="1"/>
  <c r="AJ789" i="1"/>
  <c r="AJ801" i="1"/>
  <c r="AJ813" i="1"/>
  <c r="AJ825" i="1"/>
  <c r="AJ837" i="1"/>
  <c r="AJ849" i="1"/>
  <c r="AJ861" i="1"/>
  <c r="AJ873" i="1"/>
  <c r="AJ885" i="1"/>
  <c r="AI11" i="1"/>
  <c r="AI23" i="1"/>
  <c r="AI35" i="1"/>
  <c r="AI47" i="1"/>
  <c r="AI59" i="1"/>
  <c r="AI71" i="1"/>
  <c r="AI83" i="1"/>
  <c r="AI95" i="1"/>
  <c r="AI107" i="1"/>
  <c r="AI119" i="1"/>
  <c r="AI131" i="1"/>
  <c r="AI143" i="1"/>
  <c r="AI155" i="1"/>
  <c r="AI167" i="1"/>
  <c r="AI179" i="1"/>
  <c r="AI191" i="1"/>
  <c r="AI203" i="1"/>
  <c r="AI215" i="1"/>
  <c r="AI227" i="1"/>
  <c r="AI239" i="1"/>
  <c r="AJ17" i="1"/>
  <c r="AJ33" i="1"/>
  <c r="AJ50" i="1"/>
  <c r="AJ65" i="1"/>
  <c r="AJ81" i="1"/>
  <c r="AJ98" i="1"/>
  <c r="AJ111" i="1"/>
  <c r="AJ124" i="1"/>
  <c r="AJ137" i="1"/>
  <c r="AJ150" i="1"/>
  <c r="AJ163" i="1"/>
  <c r="AJ176" i="1"/>
  <c r="AJ189" i="1"/>
  <c r="AJ202" i="1"/>
  <c r="AJ214" i="1"/>
  <c r="AJ226" i="1"/>
  <c r="AJ238" i="1"/>
  <c r="AJ250" i="1"/>
  <c r="AJ262" i="1"/>
  <c r="AJ274" i="1"/>
  <c r="AJ286" i="1"/>
  <c r="AJ298" i="1"/>
  <c r="AJ310" i="1"/>
  <c r="AJ322" i="1"/>
  <c r="AJ334" i="1"/>
  <c r="AJ346" i="1"/>
  <c r="AJ358" i="1"/>
  <c r="AJ370" i="1"/>
  <c r="AJ382" i="1"/>
  <c r="AJ394" i="1"/>
  <c r="AJ406" i="1"/>
  <c r="AJ418" i="1"/>
  <c r="AJ430" i="1"/>
  <c r="AJ442" i="1"/>
  <c r="AJ454" i="1"/>
  <c r="AJ466" i="1"/>
  <c r="AJ478" i="1"/>
  <c r="AJ490" i="1"/>
  <c r="AJ502" i="1"/>
  <c r="AJ514" i="1"/>
  <c r="AJ526" i="1"/>
  <c r="AJ538" i="1"/>
  <c r="AJ550" i="1"/>
  <c r="AJ562" i="1"/>
  <c r="AJ574" i="1"/>
  <c r="AJ586" i="1"/>
  <c r="AJ598" i="1"/>
  <c r="AJ610" i="1"/>
  <c r="AJ622" i="1"/>
  <c r="AJ634" i="1"/>
  <c r="AJ646" i="1"/>
  <c r="AJ658" i="1"/>
  <c r="AJ670" i="1"/>
  <c r="AJ682" i="1"/>
  <c r="AJ694" i="1"/>
  <c r="AJ706" i="1"/>
  <c r="AJ718" i="1"/>
  <c r="AJ730" i="1"/>
  <c r="AJ742" i="1"/>
  <c r="AJ754" i="1"/>
  <c r="AJ766" i="1"/>
  <c r="AJ778" i="1"/>
  <c r="AJ790" i="1"/>
  <c r="AJ802" i="1"/>
  <c r="AJ814" i="1"/>
  <c r="AJ826" i="1"/>
  <c r="AJ838" i="1"/>
  <c r="AJ850" i="1"/>
  <c r="AJ862" i="1"/>
  <c r="AJ874" i="1"/>
  <c r="AJ886" i="1"/>
  <c r="AI12" i="1"/>
  <c r="AI24" i="1"/>
  <c r="AI36" i="1"/>
  <c r="AI48" i="1"/>
  <c r="AI60" i="1"/>
  <c r="AI72" i="1"/>
  <c r="AI84" i="1"/>
  <c r="AI96" i="1"/>
  <c r="AI108" i="1"/>
  <c r="AI120" i="1"/>
  <c r="AI132" i="1"/>
  <c r="AI144" i="1"/>
  <c r="AI156" i="1"/>
  <c r="AI168" i="1"/>
  <c r="AI180" i="1"/>
  <c r="AI192" i="1"/>
  <c r="AI204" i="1"/>
  <c r="AI216" i="1"/>
  <c r="AI228" i="1"/>
  <c r="AI240" i="1"/>
  <c r="AI252" i="1"/>
  <c r="AI264" i="1"/>
  <c r="AJ18" i="1"/>
  <c r="AJ35" i="1"/>
  <c r="AJ51" i="1"/>
  <c r="AJ66" i="1"/>
  <c r="AJ83" i="1"/>
  <c r="AJ99" i="1"/>
  <c r="AJ112" i="1"/>
  <c r="AJ125" i="1"/>
  <c r="AJ138" i="1"/>
  <c r="AJ151" i="1"/>
  <c r="AJ164" i="1"/>
  <c r="AJ177" i="1"/>
  <c r="AJ191" i="1"/>
  <c r="AJ203" i="1"/>
  <c r="AJ215" i="1"/>
  <c r="AJ227" i="1"/>
  <c r="AJ239" i="1"/>
  <c r="AJ251" i="1"/>
  <c r="AJ263" i="1"/>
  <c r="AJ275" i="1"/>
  <c r="AJ287" i="1"/>
  <c r="AJ299" i="1"/>
  <c r="AJ311" i="1"/>
  <c r="AJ323" i="1"/>
  <c r="AJ335" i="1"/>
  <c r="AJ347" i="1"/>
  <c r="AJ359" i="1"/>
  <c r="AJ371" i="1"/>
  <c r="AJ383" i="1"/>
  <c r="AJ395" i="1"/>
  <c r="AJ407" i="1"/>
  <c r="AJ419" i="1"/>
  <c r="AJ431" i="1"/>
  <c r="AJ443" i="1"/>
  <c r="AJ455" i="1"/>
  <c r="AJ467" i="1"/>
  <c r="AJ479" i="1"/>
  <c r="AJ491" i="1"/>
  <c r="AJ503" i="1"/>
  <c r="AJ515" i="1"/>
  <c r="AJ527" i="1"/>
  <c r="AJ539" i="1"/>
  <c r="AJ551" i="1"/>
  <c r="AJ563" i="1"/>
  <c r="AJ575" i="1"/>
  <c r="AJ587" i="1"/>
  <c r="AJ599" i="1"/>
  <c r="AJ611" i="1"/>
  <c r="AJ623" i="1"/>
  <c r="AJ635" i="1"/>
  <c r="AJ647" i="1"/>
  <c r="AJ659" i="1"/>
  <c r="AJ671" i="1"/>
  <c r="AJ683" i="1"/>
  <c r="AJ695" i="1"/>
  <c r="AJ707" i="1"/>
  <c r="AJ719" i="1"/>
  <c r="AJ731" i="1"/>
  <c r="AJ743" i="1"/>
  <c r="AJ755" i="1"/>
  <c r="AJ767" i="1"/>
  <c r="AJ779" i="1"/>
  <c r="AJ791" i="1"/>
  <c r="AJ803" i="1"/>
  <c r="AJ815" i="1"/>
  <c r="AJ827" i="1"/>
  <c r="AJ839" i="1"/>
  <c r="AJ851" i="1"/>
  <c r="AJ863" i="1"/>
  <c r="AJ875" i="1"/>
  <c r="AJ887" i="1"/>
  <c r="AI13" i="1"/>
  <c r="AI25" i="1"/>
  <c r="AI37" i="1"/>
  <c r="AI49" i="1"/>
  <c r="AI61" i="1"/>
  <c r="AI73" i="1"/>
  <c r="AI85" i="1"/>
  <c r="AI97" i="1"/>
  <c r="AI109" i="1"/>
  <c r="AI121" i="1"/>
  <c r="AI133" i="1"/>
  <c r="AI145" i="1"/>
  <c r="AJ20" i="1"/>
  <c r="AJ36" i="1"/>
  <c r="AJ52" i="1"/>
  <c r="AJ68" i="1"/>
  <c r="AJ84" i="1"/>
  <c r="AJ100" i="1"/>
  <c r="AJ113" i="1"/>
  <c r="AJ126" i="1"/>
  <c r="AJ139" i="1"/>
  <c r="AJ152" i="1"/>
  <c r="AJ165" i="1"/>
  <c r="AJ179" i="1"/>
  <c r="AJ192" i="1"/>
  <c r="AJ204" i="1"/>
  <c r="AJ216" i="1"/>
  <c r="AJ228" i="1"/>
  <c r="AJ240" i="1"/>
  <c r="AJ252" i="1"/>
  <c r="AJ264" i="1"/>
  <c r="AJ276" i="1"/>
  <c r="AJ288" i="1"/>
  <c r="AJ300" i="1"/>
  <c r="AJ312" i="1"/>
  <c r="AJ324" i="1"/>
  <c r="AJ336" i="1"/>
  <c r="AJ348" i="1"/>
  <c r="AJ360" i="1"/>
  <c r="AJ372" i="1"/>
  <c r="AJ384" i="1"/>
  <c r="AJ396" i="1"/>
  <c r="AJ408" i="1"/>
  <c r="AJ420" i="1"/>
  <c r="AJ432" i="1"/>
  <c r="AJ444" i="1"/>
  <c r="AJ456" i="1"/>
  <c r="AJ468" i="1"/>
  <c r="AJ480" i="1"/>
  <c r="AJ492" i="1"/>
  <c r="AJ504" i="1"/>
  <c r="AJ516" i="1"/>
  <c r="AJ528" i="1"/>
  <c r="AJ540" i="1"/>
  <c r="AJ552" i="1"/>
  <c r="AJ564" i="1"/>
  <c r="AJ576" i="1"/>
  <c r="AJ588" i="1"/>
  <c r="AJ600" i="1"/>
  <c r="AJ612" i="1"/>
  <c r="AJ624" i="1"/>
  <c r="AJ636" i="1"/>
  <c r="AJ648" i="1"/>
  <c r="AJ660" i="1"/>
  <c r="AJ672" i="1"/>
  <c r="AJ684" i="1"/>
  <c r="AJ696" i="1"/>
  <c r="AJ708" i="1"/>
  <c r="AJ720" i="1"/>
  <c r="AJ732" i="1"/>
  <c r="AJ744" i="1"/>
  <c r="AJ756" i="1"/>
  <c r="AJ768" i="1"/>
  <c r="AJ780" i="1"/>
  <c r="AJ792" i="1"/>
  <c r="AJ804" i="1"/>
  <c r="AJ816" i="1"/>
  <c r="AJ828" i="1"/>
  <c r="AJ840" i="1"/>
  <c r="AJ852" i="1"/>
  <c r="AJ864" i="1"/>
  <c r="AJ876" i="1"/>
  <c r="AJ888" i="1"/>
  <c r="AI14" i="1"/>
  <c r="AI26" i="1"/>
  <c r="AI38" i="1"/>
  <c r="AI50" i="1"/>
  <c r="AI62" i="1"/>
  <c r="AI74" i="1"/>
  <c r="AI86" i="1"/>
  <c r="AI98" i="1"/>
  <c r="AI110" i="1"/>
  <c r="AI122" i="1"/>
  <c r="AI134" i="1"/>
  <c r="AI146" i="1"/>
  <c r="AI158" i="1"/>
  <c r="AI170" i="1"/>
  <c r="AI182" i="1"/>
  <c r="AI194" i="1"/>
  <c r="AI206" i="1"/>
  <c r="AI218" i="1"/>
  <c r="AI230" i="1"/>
  <c r="AI242" i="1"/>
  <c r="AI254" i="1"/>
  <c r="AI266" i="1"/>
  <c r="AI278" i="1"/>
  <c r="AJ21" i="1"/>
  <c r="AJ38" i="1"/>
  <c r="AJ53" i="1"/>
  <c r="AJ69" i="1"/>
  <c r="AJ86" i="1"/>
  <c r="AJ101" i="1"/>
  <c r="AJ114" i="1"/>
  <c r="AJ127" i="1"/>
  <c r="AJ140" i="1"/>
  <c r="AJ153" i="1"/>
  <c r="AJ167" i="1"/>
  <c r="AJ180" i="1"/>
  <c r="AJ193" i="1"/>
  <c r="AJ205" i="1"/>
  <c r="AJ217" i="1"/>
  <c r="AJ229" i="1"/>
  <c r="AJ241" i="1"/>
  <c r="AJ253" i="1"/>
  <c r="AJ265" i="1"/>
  <c r="AJ277" i="1"/>
  <c r="AJ289" i="1"/>
  <c r="AJ301" i="1"/>
  <c r="AJ313" i="1"/>
  <c r="AJ325" i="1"/>
  <c r="AJ337" i="1"/>
  <c r="AJ349" i="1"/>
  <c r="AJ361" i="1"/>
  <c r="AJ373" i="1"/>
  <c r="AJ385" i="1"/>
  <c r="AJ397" i="1"/>
  <c r="AJ409" i="1"/>
  <c r="AJ421" i="1"/>
  <c r="AJ433" i="1"/>
  <c r="AJ445" i="1"/>
  <c r="AJ457" i="1"/>
  <c r="AJ469" i="1"/>
  <c r="AJ481" i="1"/>
  <c r="AJ493" i="1"/>
  <c r="AJ505" i="1"/>
  <c r="AJ517" i="1"/>
  <c r="AJ529" i="1"/>
  <c r="AJ541" i="1"/>
  <c r="AJ553" i="1"/>
  <c r="AJ565" i="1"/>
  <c r="AJ577" i="1"/>
  <c r="AJ589" i="1"/>
  <c r="AJ601" i="1"/>
  <c r="AJ613" i="1"/>
  <c r="AJ625" i="1"/>
  <c r="AJ637" i="1"/>
  <c r="AJ649" i="1"/>
  <c r="AJ661" i="1"/>
  <c r="AJ673" i="1"/>
  <c r="AJ685" i="1"/>
  <c r="AJ697" i="1"/>
  <c r="AJ709" i="1"/>
  <c r="AJ721" i="1"/>
  <c r="AJ733" i="1"/>
  <c r="AJ745" i="1"/>
  <c r="AJ757" i="1"/>
  <c r="AJ769" i="1"/>
  <c r="AJ781" i="1"/>
  <c r="AJ793" i="1"/>
  <c r="AJ805" i="1"/>
  <c r="AJ817" i="1"/>
  <c r="AJ829" i="1"/>
  <c r="AJ841" i="1"/>
  <c r="AJ853" i="1"/>
  <c r="AJ865" i="1"/>
  <c r="AJ877" i="1"/>
  <c r="AI3" i="1"/>
  <c r="AI15" i="1"/>
  <c r="AI27" i="1"/>
  <c r="AI39" i="1"/>
  <c r="AI51" i="1"/>
  <c r="AI63" i="1"/>
  <c r="AI75" i="1"/>
  <c r="AI87" i="1"/>
  <c r="AI99" i="1"/>
  <c r="AI111" i="1"/>
  <c r="AI123" i="1"/>
  <c r="AI135" i="1"/>
  <c r="AI147" i="1"/>
  <c r="AI159" i="1"/>
  <c r="AI171" i="1"/>
  <c r="AJ28" i="1"/>
  <c r="AJ44" i="1"/>
  <c r="AJ60" i="1"/>
  <c r="AJ76" i="1"/>
  <c r="AJ92" i="1"/>
  <c r="AJ107" i="1"/>
  <c r="AJ120" i="1"/>
  <c r="AJ133" i="1"/>
  <c r="AJ146" i="1"/>
  <c r="AJ159" i="1"/>
  <c r="AJ172" i="1"/>
  <c r="AJ185" i="1"/>
  <c r="AJ198" i="1"/>
  <c r="AJ210" i="1"/>
  <c r="AJ222" i="1"/>
  <c r="AJ234" i="1"/>
  <c r="AJ246" i="1"/>
  <c r="AJ258" i="1"/>
  <c r="AJ270" i="1"/>
  <c r="AJ282" i="1"/>
  <c r="AJ294" i="1"/>
  <c r="AJ306" i="1"/>
  <c r="AJ318" i="1"/>
  <c r="AJ330" i="1"/>
  <c r="AJ342" i="1"/>
  <c r="AJ354" i="1"/>
  <c r="AJ366" i="1"/>
  <c r="AJ378" i="1"/>
  <c r="AJ390" i="1"/>
  <c r="AJ402" i="1"/>
  <c r="AJ414" i="1"/>
  <c r="AJ426" i="1"/>
  <c r="AJ438" i="1"/>
  <c r="AJ450" i="1"/>
  <c r="AJ462" i="1"/>
  <c r="AJ474" i="1"/>
  <c r="AJ486" i="1"/>
  <c r="AJ498" i="1"/>
  <c r="AJ510" i="1"/>
  <c r="AJ522" i="1"/>
  <c r="AJ534" i="1"/>
  <c r="AJ546" i="1"/>
  <c r="AJ558" i="1"/>
  <c r="AJ570" i="1"/>
  <c r="AJ582" i="1"/>
  <c r="AJ594" i="1"/>
  <c r="AJ606" i="1"/>
  <c r="AJ618" i="1"/>
  <c r="AJ630" i="1"/>
  <c r="AJ642" i="1"/>
  <c r="AJ654" i="1"/>
  <c r="AJ666" i="1"/>
  <c r="AJ678" i="1"/>
  <c r="AJ690" i="1"/>
  <c r="AJ702" i="1"/>
  <c r="AJ714" i="1"/>
  <c r="AJ726" i="1"/>
  <c r="AJ738" i="1"/>
  <c r="AJ750" i="1"/>
  <c r="AJ762" i="1"/>
  <c r="AJ774" i="1"/>
  <c r="AJ786" i="1"/>
  <c r="AJ798" i="1"/>
  <c r="AJ810" i="1"/>
  <c r="AJ822" i="1"/>
  <c r="AJ834" i="1"/>
  <c r="AJ846" i="1"/>
  <c r="AJ858" i="1"/>
  <c r="AJ870" i="1"/>
  <c r="AJ882" i="1"/>
  <c r="AI8" i="1"/>
  <c r="AI20" i="1"/>
  <c r="AI32" i="1"/>
  <c r="AI44" i="1"/>
  <c r="AI56" i="1"/>
  <c r="AI68" i="1"/>
  <c r="AI80" i="1"/>
  <c r="AI92" i="1"/>
  <c r="AI104" i="1"/>
  <c r="AI116" i="1"/>
  <c r="AI128" i="1"/>
  <c r="AI140" i="1"/>
  <c r="AI152" i="1"/>
  <c r="AI164" i="1"/>
  <c r="AI176" i="1"/>
  <c r="AJ29" i="1"/>
  <c r="AJ45" i="1"/>
  <c r="AJ62" i="1"/>
  <c r="AJ77" i="1"/>
  <c r="AJ93" i="1"/>
  <c r="AJ108" i="1"/>
  <c r="AJ121" i="1"/>
  <c r="AJ134" i="1"/>
  <c r="AJ147" i="1"/>
  <c r="AJ160" i="1"/>
  <c r="AJ173" i="1"/>
  <c r="AJ186" i="1"/>
  <c r="AJ199" i="1"/>
  <c r="AJ211" i="1"/>
  <c r="AJ223" i="1"/>
  <c r="AJ235" i="1"/>
  <c r="AJ247" i="1"/>
  <c r="AJ259" i="1"/>
  <c r="AJ271" i="1"/>
  <c r="AJ283" i="1"/>
  <c r="AJ295" i="1"/>
  <c r="AJ307" i="1"/>
  <c r="AJ319" i="1"/>
  <c r="AJ331" i="1"/>
  <c r="AJ343" i="1"/>
  <c r="AJ355" i="1"/>
  <c r="AJ367" i="1"/>
  <c r="AJ379" i="1"/>
  <c r="AJ391" i="1"/>
  <c r="AJ403" i="1"/>
  <c r="AJ415" i="1"/>
  <c r="AJ427" i="1"/>
  <c r="AJ439" i="1"/>
  <c r="AJ451" i="1"/>
  <c r="AJ463" i="1"/>
  <c r="AJ475" i="1"/>
  <c r="AJ487" i="1"/>
  <c r="AJ499" i="1"/>
  <c r="AJ511" i="1"/>
  <c r="AJ523" i="1"/>
  <c r="AJ535" i="1"/>
  <c r="AJ547" i="1"/>
  <c r="AJ559" i="1"/>
  <c r="AJ571" i="1"/>
  <c r="AJ583" i="1"/>
  <c r="AJ595" i="1"/>
  <c r="AJ607" i="1"/>
  <c r="AJ619" i="1"/>
  <c r="AJ631" i="1"/>
  <c r="AJ643" i="1"/>
  <c r="AJ655" i="1"/>
  <c r="AJ667" i="1"/>
  <c r="AJ679" i="1"/>
  <c r="AJ691" i="1"/>
  <c r="AJ703" i="1"/>
  <c r="AJ715" i="1"/>
  <c r="AJ727" i="1"/>
  <c r="AJ739" i="1"/>
  <c r="AJ751" i="1"/>
  <c r="AJ763" i="1"/>
  <c r="AJ775" i="1"/>
  <c r="AJ787" i="1"/>
  <c r="AJ799" i="1"/>
  <c r="AJ811" i="1"/>
  <c r="AJ823" i="1"/>
  <c r="AJ835" i="1"/>
  <c r="AJ847" i="1"/>
  <c r="AJ859" i="1"/>
  <c r="AJ871" i="1"/>
  <c r="AJ883" i="1"/>
  <c r="AI9" i="1"/>
  <c r="AI21" i="1"/>
  <c r="AI33" i="1"/>
  <c r="AI45" i="1"/>
  <c r="AI57" i="1"/>
  <c r="AJ15" i="1"/>
  <c r="AJ30" i="1"/>
  <c r="AJ47" i="1"/>
  <c r="AJ63" i="1"/>
  <c r="AJ78" i="1"/>
  <c r="AJ95" i="1"/>
  <c r="AJ109" i="1"/>
  <c r="AJ122" i="1"/>
  <c r="AJ135" i="1"/>
  <c r="AJ148" i="1"/>
  <c r="AJ161" i="1"/>
  <c r="AJ174" i="1"/>
  <c r="AJ187" i="1"/>
  <c r="AJ200" i="1"/>
  <c r="AJ212" i="1"/>
  <c r="AJ224" i="1"/>
  <c r="AJ236" i="1"/>
  <c r="AJ248" i="1"/>
  <c r="AJ260" i="1"/>
  <c r="AJ272" i="1"/>
  <c r="AJ284" i="1"/>
  <c r="AJ296" i="1"/>
  <c r="AJ308" i="1"/>
  <c r="AJ320" i="1"/>
  <c r="AJ332" i="1"/>
  <c r="AJ344" i="1"/>
  <c r="AJ356" i="1"/>
  <c r="AJ368" i="1"/>
  <c r="AJ380" i="1"/>
  <c r="AJ392" i="1"/>
  <c r="AJ404" i="1"/>
  <c r="AJ416" i="1"/>
  <c r="AJ428" i="1"/>
  <c r="AJ440" i="1"/>
  <c r="AJ452" i="1"/>
  <c r="AJ464" i="1"/>
  <c r="AJ476" i="1"/>
  <c r="AJ488" i="1"/>
  <c r="AJ500" i="1"/>
  <c r="AJ512" i="1"/>
  <c r="AJ524" i="1"/>
  <c r="AJ536" i="1"/>
  <c r="AJ548" i="1"/>
  <c r="AJ24" i="1"/>
  <c r="AJ72" i="1"/>
  <c r="AJ116" i="1"/>
  <c r="AJ156" i="1"/>
  <c r="AJ195" i="1"/>
  <c r="AJ231" i="1"/>
  <c r="AJ267" i="1"/>
  <c r="AJ303" i="1"/>
  <c r="AJ339" i="1"/>
  <c r="AJ375" i="1"/>
  <c r="AJ411" i="1"/>
  <c r="AJ447" i="1"/>
  <c r="AJ483" i="1"/>
  <c r="AJ519" i="1"/>
  <c r="AJ555" i="1"/>
  <c r="AJ581" i="1"/>
  <c r="AJ614" i="1"/>
  <c r="AJ640" i="1"/>
  <c r="AJ668" i="1"/>
  <c r="AJ699" i="1"/>
  <c r="AJ725" i="1"/>
  <c r="AJ758" i="1"/>
  <c r="AJ784" i="1"/>
  <c r="AJ812" i="1"/>
  <c r="AJ843" i="1"/>
  <c r="AJ869" i="1"/>
  <c r="AI16" i="1"/>
  <c r="AI42" i="1"/>
  <c r="AI69" i="1"/>
  <c r="AI93" i="1"/>
  <c r="AI117" i="1"/>
  <c r="AI141" i="1"/>
  <c r="AI163" i="1"/>
  <c r="AI184" i="1"/>
  <c r="AI199" i="1"/>
  <c r="AI214" i="1"/>
  <c r="AI232" i="1"/>
  <c r="AI247" i="1"/>
  <c r="AI261" i="1"/>
  <c r="AI275" i="1"/>
  <c r="AI288" i="1"/>
  <c r="AI300" i="1"/>
  <c r="AI312" i="1"/>
  <c r="AI324" i="1"/>
  <c r="AI336" i="1"/>
  <c r="AI348" i="1"/>
  <c r="AI360" i="1"/>
  <c r="AI372" i="1"/>
  <c r="AI384" i="1"/>
  <c r="AI396" i="1"/>
  <c r="AI408" i="1"/>
  <c r="AI420" i="1"/>
  <c r="AI432" i="1"/>
  <c r="AI444" i="1"/>
  <c r="AI456" i="1"/>
  <c r="AI468" i="1"/>
  <c r="AI480" i="1"/>
  <c r="AI492" i="1"/>
  <c r="AI504" i="1"/>
  <c r="AI516" i="1"/>
  <c r="AI528" i="1"/>
  <c r="AI540" i="1"/>
  <c r="AI552" i="1"/>
  <c r="AI564" i="1"/>
  <c r="AI576" i="1"/>
  <c r="AI588" i="1"/>
  <c r="AI600" i="1"/>
  <c r="AI612" i="1"/>
  <c r="AI624" i="1"/>
  <c r="AI636" i="1"/>
  <c r="AI648" i="1"/>
  <c r="AI660" i="1"/>
  <c r="AI672" i="1"/>
  <c r="AI684" i="1"/>
  <c r="AI696" i="1"/>
  <c r="AI708" i="1"/>
  <c r="AI720" i="1"/>
  <c r="AI732" i="1"/>
  <c r="AI744" i="1"/>
  <c r="AI756" i="1"/>
  <c r="AI768" i="1"/>
  <c r="AI780" i="1"/>
  <c r="AI792" i="1"/>
  <c r="AI804" i="1"/>
  <c r="AI816" i="1"/>
  <c r="AI828" i="1"/>
  <c r="AI840" i="1"/>
  <c r="AI852" i="1"/>
  <c r="AI864" i="1"/>
  <c r="AI876" i="1"/>
  <c r="AI888" i="1"/>
  <c r="AH14" i="1"/>
  <c r="AH26" i="1"/>
  <c r="AH38" i="1"/>
  <c r="AH50" i="1"/>
  <c r="AH62" i="1"/>
  <c r="AH74" i="1"/>
  <c r="AJ26" i="1"/>
  <c r="AJ74" i="1"/>
  <c r="AJ117" i="1"/>
  <c r="AJ157" i="1"/>
  <c r="AJ196" i="1"/>
  <c r="AJ232" i="1"/>
  <c r="AJ268" i="1"/>
  <c r="AJ304" i="1"/>
  <c r="AJ340" i="1"/>
  <c r="AJ376" i="1"/>
  <c r="AJ412" i="1"/>
  <c r="AJ448" i="1"/>
  <c r="AJ484" i="1"/>
  <c r="AJ520" i="1"/>
  <c r="AJ556" i="1"/>
  <c r="AJ584" i="1"/>
  <c r="AJ615" i="1"/>
  <c r="AJ641" i="1"/>
  <c r="AJ674" i="1"/>
  <c r="AJ700" i="1"/>
  <c r="AJ728" i="1"/>
  <c r="AJ759" i="1"/>
  <c r="AJ785" i="1"/>
  <c r="AJ818" i="1"/>
  <c r="AJ844" i="1"/>
  <c r="AJ872" i="1"/>
  <c r="AI17" i="1"/>
  <c r="AI43" i="1"/>
  <c r="AI70" i="1"/>
  <c r="AI94" i="1"/>
  <c r="AI118" i="1"/>
  <c r="AI142" i="1"/>
  <c r="AI165" i="1"/>
  <c r="AI185" i="1"/>
  <c r="AI200" i="1"/>
  <c r="AI217" i="1"/>
  <c r="AI233" i="1"/>
  <c r="AI248" i="1"/>
  <c r="AI262" i="1"/>
  <c r="AI276" i="1"/>
  <c r="AI289" i="1"/>
  <c r="AI301" i="1"/>
  <c r="AI313" i="1"/>
  <c r="AI325" i="1"/>
  <c r="AI337" i="1"/>
  <c r="AI349" i="1"/>
  <c r="AI361" i="1"/>
  <c r="AI373" i="1"/>
  <c r="AI385" i="1"/>
  <c r="AI397" i="1"/>
  <c r="AI409" i="1"/>
  <c r="AI421" i="1"/>
  <c r="AI433" i="1"/>
  <c r="AI445" i="1"/>
  <c r="AI457" i="1"/>
  <c r="AI469" i="1"/>
  <c r="AI481" i="1"/>
  <c r="AI493" i="1"/>
  <c r="AI505" i="1"/>
  <c r="AI517" i="1"/>
  <c r="AI529" i="1"/>
  <c r="AI541" i="1"/>
  <c r="AI553" i="1"/>
  <c r="AI565" i="1"/>
  <c r="AI577" i="1"/>
  <c r="AI589" i="1"/>
  <c r="AI601" i="1"/>
  <c r="AI613" i="1"/>
  <c r="AI625" i="1"/>
  <c r="AI637" i="1"/>
  <c r="AI649" i="1"/>
  <c r="AI661" i="1"/>
  <c r="AI673" i="1"/>
  <c r="AI685" i="1"/>
  <c r="AI697" i="1"/>
  <c r="AI709" i="1"/>
  <c r="AI721" i="1"/>
  <c r="AI733" i="1"/>
  <c r="AI745" i="1"/>
  <c r="AI757" i="1"/>
  <c r="AI769" i="1"/>
  <c r="AI781" i="1"/>
  <c r="AI793" i="1"/>
  <c r="AI805" i="1"/>
  <c r="AI817" i="1"/>
  <c r="AI829" i="1"/>
  <c r="AI841" i="1"/>
  <c r="AI853" i="1"/>
  <c r="AJ27" i="1"/>
  <c r="AJ75" i="1"/>
  <c r="AJ119" i="1"/>
  <c r="AJ158" i="1"/>
  <c r="AJ197" i="1"/>
  <c r="AJ233" i="1"/>
  <c r="AJ269" i="1"/>
  <c r="AJ305" i="1"/>
  <c r="AJ341" i="1"/>
  <c r="AJ377" i="1"/>
  <c r="AJ413" i="1"/>
  <c r="AJ449" i="1"/>
  <c r="AJ485" i="1"/>
  <c r="AJ521" i="1"/>
  <c r="AJ557" i="1"/>
  <c r="AJ590" i="1"/>
  <c r="AJ616" i="1"/>
  <c r="AJ644" i="1"/>
  <c r="AJ675" i="1"/>
  <c r="AJ701" i="1"/>
  <c r="AJ734" i="1"/>
  <c r="AJ760" i="1"/>
  <c r="AJ788" i="1"/>
  <c r="AJ819" i="1"/>
  <c r="AJ845" i="1"/>
  <c r="AJ878" i="1"/>
  <c r="AI18" i="1"/>
  <c r="AI46" i="1"/>
  <c r="AI76" i="1"/>
  <c r="AI100" i="1"/>
  <c r="AI124" i="1"/>
  <c r="AI148" i="1"/>
  <c r="AI166" i="1"/>
  <c r="AI186" i="1"/>
  <c r="AI201" i="1"/>
  <c r="AI219" i="1"/>
  <c r="AI234" i="1"/>
  <c r="AI249" i="1"/>
  <c r="AI263" i="1"/>
  <c r="AI277" i="1"/>
  <c r="AI290" i="1"/>
  <c r="AI302" i="1"/>
  <c r="AI314" i="1"/>
  <c r="AI326" i="1"/>
  <c r="AI338" i="1"/>
  <c r="AI350" i="1"/>
  <c r="AI362" i="1"/>
  <c r="AI374" i="1"/>
  <c r="AI386" i="1"/>
  <c r="AI398" i="1"/>
  <c r="AI410" i="1"/>
  <c r="AI422" i="1"/>
  <c r="AI434" i="1"/>
  <c r="AI446" i="1"/>
  <c r="AI458" i="1"/>
  <c r="AI470" i="1"/>
  <c r="AI482" i="1"/>
  <c r="AI494" i="1"/>
  <c r="AI506" i="1"/>
  <c r="AI518" i="1"/>
  <c r="AI530" i="1"/>
  <c r="AI542" i="1"/>
  <c r="AI554" i="1"/>
  <c r="AI566" i="1"/>
  <c r="AI578" i="1"/>
  <c r="AI590" i="1"/>
  <c r="AI602" i="1"/>
  <c r="AI614" i="1"/>
  <c r="AI626" i="1"/>
  <c r="AI638" i="1"/>
  <c r="AI650" i="1"/>
  <c r="AI662" i="1"/>
  <c r="AI674" i="1"/>
  <c r="AI686" i="1"/>
  <c r="AI698" i="1"/>
  <c r="AI710" i="1"/>
  <c r="AI722" i="1"/>
  <c r="AJ39" i="1"/>
  <c r="AJ87" i="1"/>
  <c r="AJ128" i="1"/>
  <c r="AJ168" i="1"/>
  <c r="AJ206" i="1"/>
  <c r="AJ242" i="1"/>
  <c r="AJ278" i="1"/>
  <c r="AJ314" i="1"/>
  <c r="AJ350" i="1"/>
  <c r="AJ386" i="1"/>
  <c r="AJ422" i="1"/>
  <c r="AJ458" i="1"/>
  <c r="AJ494" i="1"/>
  <c r="AJ530" i="1"/>
  <c r="AJ560" i="1"/>
  <c r="AJ591" i="1"/>
  <c r="AJ617" i="1"/>
  <c r="AJ650" i="1"/>
  <c r="AJ676" i="1"/>
  <c r="AJ704" i="1"/>
  <c r="AJ735" i="1"/>
  <c r="AJ761" i="1"/>
  <c r="AJ794" i="1"/>
  <c r="AJ820" i="1"/>
  <c r="AJ848" i="1"/>
  <c r="AJ879" i="1"/>
  <c r="AI19" i="1"/>
  <c r="AI52" i="1"/>
  <c r="AI77" i="1"/>
  <c r="AI101" i="1"/>
  <c r="AI125" i="1"/>
  <c r="AI149" i="1"/>
  <c r="AI169" i="1"/>
  <c r="AI187" i="1"/>
  <c r="AI202" i="1"/>
  <c r="AI220" i="1"/>
  <c r="AI235" i="1"/>
  <c r="AI250" i="1"/>
  <c r="AI265" i="1"/>
  <c r="AI279" i="1"/>
  <c r="AI291" i="1"/>
  <c r="AI303" i="1"/>
  <c r="AI315" i="1"/>
  <c r="AI327" i="1"/>
  <c r="AI339" i="1"/>
  <c r="AI351" i="1"/>
  <c r="AI363" i="1"/>
  <c r="AI375" i="1"/>
  <c r="AI387" i="1"/>
  <c r="AI399" i="1"/>
  <c r="AI411" i="1"/>
  <c r="AI423" i="1"/>
  <c r="AI435" i="1"/>
  <c r="AI447" i="1"/>
  <c r="AI459" i="1"/>
  <c r="AI471" i="1"/>
  <c r="AI483" i="1"/>
  <c r="AI495" i="1"/>
  <c r="AI507" i="1"/>
  <c r="AI519" i="1"/>
  <c r="AI531" i="1"/>
  <c r="AI543" i="1"/>
  <c r="AI555" i="1"/>
  <c r="AI567" i="1"/>
  <c r="AI579" i="1"/>
  <c r="AI591" i="1"/>
  <c r="AI603" i="1"/>
  <c r="AI615" i="1"/>
  <c r="AI627" i="1"/>
  <c r="AI639" i="1"/>
  <c r="AI651" i="1"/>
  <c r="AI663" i="1"/>
  <c r="AI675" i="1"/>
  <c r="AI687" i="1"/>
  <c r="AI699" i="1"/>
  <c r="AI711" i="1"/>
  <c r="AI723" i="1"/>
  <c r="AI735" i="1"/>
  <c r="AI747" i="1"/>
  <c r="AI759" i="1"/>
  <c r="AI771" i="1"/>
  <c r="AI783" i="1"/>
  <c r="AI795" i="1"/>
  <c r="AI807" i="1"/>
  <c r="AI819" i="1"/>
  <c r="AI831" i="1"/>
  <c r="AI843" i="1"/>
  <c r="AI855" i="1"/>
  <c r="AI867" i="1"/>
  <c r="AI879" i="1"/>
  <c r="AH5" i="1"/>
  <c r="AH17" i="1"/>
  <c r="AH29" i="1"/>
  <c r="AJ40" i="1"/>
  <c r="AJ88" i="1"/>
  <c r="AJ129" i="1"/>
  <c r="AJ169" i="1"/>
  <c r="AJ207" i="1"/>
  <c r="AJ243" i="1"/>
  <c r="AJ279" i="1"/>
  <c r="AJ315" i="1"/>
  <c r="AJ351" i="1"/>
  <c r="AJ387" i="1"/>
  <c r="AJ423" i="1"/>
  <c r="AJ459" i="1"/>
  <c r="AJ495" i="1"/>
  <c r="AJ531" i="1"/>
  <c r="AJ566" i="1"/>
  <c r="AJ592" i="1"/>
  <c r="AJ620" i="1"/>
  <c r="AJ651" i="1"/>
  <c r="AJ677" i="1"/>
  <c r="AJ710" i="1"/>
  <c r="AJ736" i="1"/>
  <c r="AJ764" i="1"/>
  <c r="AJ795" i="1"/>
  <c r="AJ821" i="1"/>
  <c r="AJ854" i="1"/>
  <c r="AJ880" i="1"/>
  <c r="AI22" i="1"/>
  <c r="AI53" i="1"/>
  <c r="AI78" i="1"/>
  <c r="AI102" i="1"/>
  <c r="AI126" i="1"/>
  <c r="AI150" i="1"/>
  <c r="AI172" i="1"/>
  <c r="AI188" i="1"/>
  <c r="AI205" i="1"/>
  <c r="AI221" i="1"/>
  <c r="AI236" i="1"/>
  <c r="AI251" i="1"/>
  <c r="AI267" i="1"/>
  <c r="AI280" i="1"/>
  <c r="AI292" i="1"/>
  <c r="AI304" i="1"/>
  <c r="AI316" i="1"/>
  <c r="AI328" i="1"/>
  <c r="AI340" i="1"/>
  <c r="AI352" i="1"/>
  <c r="AI364" i="1"/>
  <c r="AI376" i="1"/>
  <c r="AI388" i="1"/>
  <c r="AI400" i="1"/>
  <c r="AI412" i="1"/>
  <c r="AI424" i="1"/>
  <c r="AI436" i="1"/>
  <c r="AI448" i="1"/>
  <c r="AI460" i="1"/>
  <c r="AI472" i="1"/>
  <c r="AI484" i="1"/>
  <c r="AI496" i="1"/>
  <c r="AI508" i="1"/>
  <c r="AI520" i="1"/>
  <c r="AI532" i="1"/>
  <c r="AI544" i="1"/>
  <c r="AI556" i="1"/>
  <c r="AI568" i="1"/>
  <c r="AI580" i="1"/>
  <c r="AI592" i="1"/>
  <c r="AI604" i="1"/>
  <c r="AI616" i="1"/>
  <c r="AI628" i="1"/>
  <c r="AI640" i="1"/>
  <c r="AI652" i="1"/>
  <c r="AI664" i="1"/>
  <c r="AI676" i="1"/>
  <c r="AI688" i="1"/>
  <c r="AI700" i="1"/>
  <c r="AI712" i="1"/>
  <c r="AI724" i="1"/>
  <c r="AI736" i="1"/>
  <c r="AI748" i="1"/>
  <c r="AI760" i="1"/>
  <c r="AI772" i="1"/>
  <c r="AI784" i="1"/>
  <c r="AI796" i="1"/>
  <c r="AI808" i="1"/>
  <c r="AI820" i="1"/>
  <c r="AI832" i="1"/>
  <c r="AI844" i="1"/>
  <c r="AI856" i="1"/>
  <c r="AJ41" i="1"/>
  <c r="AJ89" i="1"/>
  <c r="AJ131" i="1"/>
  <c r="AJ170" i="1"/>
  <c r="AJ208" i="1"/>
  <c r="AJ244" i="1"/>
  <c r="AJ280" i="1"/>
  <c r="AJ316" i="1"/>
  <c r="AJ352" i="1"/>
  <c r="AJ388" i="1"/>
  <c r="AJ424" i="1"/>
  <c r="AJ460" i="1"/>
  <c r="AJ496" i="1"/>
  <c r="AJ532" i="1"/>
  <c r="AJ567" i="1"/>
  <c r="AJ593" i="1"/>
  <c r="AJ626" i="1"/>
  <c r="AJ652" i="1"/>
  <c r="AJ680" i="1"/>
  <c r="AJ711" i="1"/>
  <c r="AJ737" i="1"/>
  <c r="AJ770" i="1"/>
  <c r="AJ796" i="1"/>
  <c r="AJ824" i="1"/>
  <c r="AJ855" i="1"/>
  <c r="AJ881" i="1"/>
  <c r="AI28" i="1"/>
  <c r="AI54" i="1"/>
  <c r="AI79" i="1"/>
  <c r="AI103" i="1"/>
  <c r="AI127" i="1"/>
  <c r="AI151" i="1"/>
  <c r="AI173" i="1"/>
  <c r="AI189" i="1"/>
  <c r="AI207" i="1"/>
  <c r="AI222" i="1"/>
  <c r="AI237" i="1"/>
  <c r="AI253" i="1"/>
  <c r="AI268" i="1"/>
  <c r="AI281" i="1"/>
  <c r="AI293" i="1"/>
  <c r="AI305" i="1"/>
  <c r="AI317" i="1"/>
  <c r="AI329" i="1"/>
  <c r="AI341" i="1"/>
  <c r="AI353" i="1"/>
  <c r="AI365" i="1"/>
  <c r="AI377" i="1"/>
  <c r="AI389" i="1"/>
  <c r="AI401" i="1"/>
  <c r="AI413" i="1"/>
  <c r="AI425" i="1"/>
  <c r="AI437" i="1"/>
  <c r="AI449" i="1"/>
  <c r="AI461" i="1"/>
  <c r="AI473" i="1"/>
  <c r="AI485" i="1"/>
  <c r="AI497" i="1"/>
  <c r="AI509" i="1"/>
  <c r="AI521" i="1"/>
  <c r="AI533" i="1"/>
  <c r="AI545" i="1"/>
  <c r="AI557" i="1"/>
  <c r="AI569" i="1"/>
  <c r="AI581" i="1"/>
  <c r="AI593" i="1"/>
  <c r="AI605" i="1"/>
  <c r="AI617" i="1"/>
  <c r="AI629" i="1"/>
  <c r="AI641" i="1"/>
  <c r="AI653" i="1"/>
  <c r="AI665" i="1"/>
  <c r="AI677" i="1"/>
  <c r="AI689" i="1"/>
  <c r="AI701" i="1"/>
  <c r="AI713" i="1"/>
  <c r="AI725" i="1"/>
  <c r="AI737" i="1"/>
  <c r="AI749" i="1"/>
  <c r="AI761" i="1"/>
  <c r="AI773" i="1"/>
  <c r="AI785" i="1"/>
  <c r="AI797" i="1"/>
  <c r="AI809" i="1"/>
  <c r="AI821" i="1"/>
  <c r="AJ57" i="1"/>
  <c r="AJ104" i="1"/>
  <c r="AJ144" i="1"/>
  <c r="AJ183" i="1"/>
  <c r="AJ220" i="1"/>
  <c r="AJ256" i="1"/>
  <c r="AJ292" i="1"/>
  <c r="AJ328" i="1"/>
  <c r="AJ364" i="1"/>
  <c r="AJ400" i="1"/>
  <c r="AJ436" i="1"/>
  <c r="AJ472" i="1"/>
  <c r="AJ508" i="1"/>
  <c r="AJ544" i="1"/>
  <c r="AJ578" i="1"/>
  <c r="AJ604" i="1"/>
  <c r="AJ632" i="1"/>
  <c r="AJ663" i="1"/>
  <c r="AJ689" i="1"/>
  <c r="AJ722" i="1"/>
  <c r="AJ748" i="1"/>
  <c r="AJ776" i="1"/>
  <c r="AJ807" i="1"/>
  <c r="AJ833" i="1"/>
  <c r="AJ866" i="1"/>
  <c r="AI6" i="1"/>
  <c r="AI65" i="1"/>
  <c r="AI89" i="1"/>
  <c r="AI113" i="1"/>
  <c r="AI137" i="1"/>
  <c r="AI160" i="1"/>
  <c r="AI178" i="1"/>
  <c r="AI196" i="1"/>
  <c r="AI211" i="1"/>
  <c r="AI226" i="1"/>
  <c r="AI244" i="1"/>
  <c r="AI258" i="1"/>
  <c r="AI272" i="1"/>
  <c r="AI285" i="1"/>
  <c r="AI297" i="1"/>
  <c r="AI309" i="1"/>
  <c r="AI321" i="1"/>
  <c r="AI333" i="1"/>
  <c r="AI345" i="1"/>
  <c r="AI357" i="1"/>
  <c r="AI369" i="1"/>
  <c r="AI381" i="1"/>
  <c r="AI393" i="1"/>
  <c r="AI405" i="1"/>
  <c r="AI417" i="1"/>
  <c r="AI429" i="1"/>
  <c r="AI441" i="1"/>
  <c r="AI453" i="1"/>
  <c r="AI465" i="1"/>
  <c r="AI477" i="1"/>
  <c r="AI489" i="1"/>
  <c r="AI501" i="1"/>
  <c r="AI513" i="1"/>
  <c r="AI525" i="1"/>
  <c r="AI537" i="1"/>
  <c r="AI549" i="1"/>
  <c r="AI561" i="1"/>
  <c r="AI573" i="1"/>
  <c r="AI585" i="1"/>
  <c r="AI597" i="1"/>
  <c r="AI609" i="1"/>
  <c r="AI621" i="1"/>
  <c r="AI633" i="1"/>
  <c r="AI645" i="1"/>
  <c r="AI657" i="1"/>
  <c r="AI669" i="1"/>
  <c r="AI681" i="1"/>
  <c r="AI693" i="1"/>
  <c r="AI705" i="1"/>
  <c r="AJ59" i="1"/>
  <c r="AJ105" i="1"/>
  <c r="AJ145" i="1"/>
  <c r="AJ184" i="1"/>
  <c r="AJ221" i="1"/>
  <c r="AJ257" i="1"/>
  <c r="AJ293" i="1"/>
  <c r="AJ329" i="1"/>
  <c r="AJ365" i="1"/>
  <c r="AJ401" i="1"/>
  <c r="AJ437" i="1"/>
  <c r="AJ473" i="1"/>
  <c r="AJ509" i="1"/>
  <c r="AJ545" i="1"/>
  <c r="AJ579" i="1"/>
  <c r="AJ605" i="1"/>
  <c r="AJ638" i="1"/>
  <c r="AJ664" i="1"/>
  <c r="AJ692" i="1"/>
  <c r="AJ723" i="1"/>
  <c r="AJ749" i="1"/>
  <c r="AJ782" i="1"/>
  <c r="AJ808" i="1"/>
  <c r="AJ836" i="1"/>
  <c r="AJ867" i="1"/>
  <c r="AI7" i="1"/>
  <c r="AI40" i="1"/>
  <c r="AI66" i="1"/>
  <c r="AI90" i="1"/>
  <c r="AI114" i="1"/>
  <c r="AI138" i="1"/>
  <c r="AI161" i="1"/>
  <c r="AI181" i="1"/>
  <c r="AI197" i="1"/>
  <c r="AI212" i="1"/>
  <c r="AI229" i="1"/>
  <c r="AI245" i="1"/>
  <c r="AI259" i="1"/>
  <c r="AI273" i="1"/>
  <c r="AI286" i="1"/>
  <c r="AI298" i="1"/>
  <c r="AI310" i="1"/>
  <c r="AI322" i="1"/>
  <c r="AI334" i="1"/>
  <c r="AI346" i="1"/>
  <c r="AI358" i="1"/>
  <c r="AI370" i="1"/>
  <c r="AI382" i="1"/>
  <c r="AI394" i="1"/>
  <c r="AI406" i="1"/>
  <c r="AI418" i="1"/>
  <c r="AI430" i="1"/>
  <c r="AI442" i="1"/>
  <c r="AI454" i="1"/>
  <c r="AI466" i="1"/>
  <c r="AI478" i="1"/>
  <c r="AI490" i="1"/>
  <c r="AI502" i="1"/>
  <c r="AI514" i="1"/>
  <c r="AI526" i="1"/>
  <c r="AI538" i="1"/>
  <c r="AI550" i="1"/>
  <c r="AI562" i="1"/>
  <c r="AI574" i="1"/>
  <c r="AI586" i="1"/>
  <c r="AI598" i="1"/>
  <c r="AI610" i="1"/>
  <c r="AI622" i="1"/>
  <c r="AI634" i="1"/>
  <c r="AI646" i="1"/>
  <c r="AI658" i="1"/>
  <c r="AI670" i="1"/>
  <c r="AI682" i="1"/>
  <c r="AI694" i="1"/>
  <c r="AI706" i="1"/>
  <c r="AI718" i="1"/>
  <c r="AI730" i="1"/>
  <c r="AI742" i="1"/>
  <c r="AI754" i="1"/>
  <c r="AJ42" i="1"/>
  <c r="AJ171" i="1"/>
  <c r="AJ281" i="1"/>
  <c r="AJ389" i="1"/>
  <c r="AJ497" i="1"/>
  <c r="AJ596" i="1"/>
  <c r="AJ686" i="1"/>
  <c r="AJ771" i="1"/>
  <c r="AJ856" i="1"/>
  <c r="AI55" i="1"/>
  <c r="AI129" i="1"/>
  <c r="AI190" i="1"/>
  <c r="AI238" i="1"/>
  <c r="AI282" i="1"/>
  <c r="AI318" i="1"/>
  <c r="AI354" i="1"/>
  <c r="AI390" i="1"/>
  <c r="AI426" i="1"/>
  <c r="AI462" i="1"/>
  <c r="AI498" i="1"/>
  <c r="AI534" i="1"/>
  <c r="AI570" i="1"/>
  <c r="AI606" i="1"/>
  <c r="AI642" i="1"/>
  <c r="AI678" i="1"/>
  <c r="AI714" i="1"/>
  <c r="AI739" i="1"/>
  <c r="AI763" i="1"/>
  <c r="AI782" i="1"/>
  <c r="AI802" i="1"/>
  <c r="AI824" i="1"/>
  <c r="AI842" i="1"/>
  <c r="AI860" i="1"/>
  <c r="AI874" i="1"/>
  <c r="AH3" i="1"/>
  <c r="AH18" i="1"/>
  <c r="AH32" i="1"/>
  <c r="AH45" i="1"/>
  <c r="AH58" i="1"/>
  <c r="AH71" i="1"/>
  <c r="AH84" i="1"/>
  <c r="AH96" i="1"/>
  <c r="AH108" i="1"/>
  <c r="AH120" i="1"/>
  <c r="AH132" i="1"/>
  <c r="AH144" i="1"/>
  <c r="AH156" i="1"/>
  <c r="AH168" i="1"/>
  <c r="AH180" i="1"/>
  <c r="AH192" i="1"/>
  <c r="AH204" i="1"/>
  <c r="AH216" i="1"/>
  <c r="AH228" i="1"/>
  <c r="AH240" i="1"/>
  <c r="AH252" i="1"/>
  <c r="AH264" i="1"/>
  <c r="AH276" i="1"/>
  <c r="AH288" i="1"/>
  <c r="AH300" i="1"/>
  <c r="AH312" i="1"/>
  <c r="AH324" i="1"/>
  <c r="AH336" i="1"/>
  <c r="AH348" i="1"/>
  <c r="AH360" i="1"/>
  <c r="AH372" i="1"/>
  <c r="AH384" i="1"/>
  <c r="AH396" i="1"/>
  <c r="AH408" i="1"/>
  <c r="AH420" i="1"/>
  <c r="AH432" i="1"/>
  <c r="AH444" i="1"/>
  <c r="AH456" i="1"/>
  <c r="AH468" i="1"/>
  <c r="AH480" i="1"/>
  <c r="AH492" i="1"/>
  <c r="AH504" i="1"/>
  <c r="AH516" i="1"/>
  <c r="AH528" i="1"/>
  <c r="AH540" i="1"/>
  <c r="AH552" i="1"/>
  <c r="AH564" i="1"/>
  <c r="AH576" i="1"/>
  <c r="AH588" i="1"/>
  <c r="AH600" i="1"/>
  <c r="AH612" i="1"/>
  <c r="AH624" i="1"/>
  <c r="AH636" i="1"/>
  <c r="AH648" i="1"/>
  <c r="AH660" i="1"/>
  <c r="AH672" i="1"/>
  <c r="AH684" i="1"/>
  <c r="AH696" i="1"/>
  <c r="AH708" i="1"/>
  <c r="AH720" i="1"/>
  <c r="AH732" i="1"/>
  <c r="AH744" i="1"/>
  <c r="AH756" i="1"/>
  <c r="AH768" i="1"/>
  <c r="AH780" i="1"/>
  <c r="AH792" i="1"/>
  <c r="AH804" i="1"/>
  <c r="AH816" i="1"/>
  <c r="AH828" i="1"/>
  <c r="AH840" i="1"/>
  <c r="AH852" i="1"/>
  <c r="AH864" i="1"/>
  <c r="AH876" i="1"/>
  <c r="AH888" i="1"/>
  <c r="AG14" i="1"/>
  <c r="AG26" i="1"/>
  <c r="AJ54" i="1"/>
  <c r="AJ181" i="1"/>
  <c r="AJ290" i="1"/>
  <c r="AJ398" i="1"/>
  <c r="AJ506" i="1"/>
  <c r="AJ602" i="1"/>
  <c r="AJ687" i="1"/>
  <c r="AJ772" i="1"/>
  <c r="AJ857" i="1"/>
  <c r="AI58" i="1"/>
  <c r="AI130" i="1"/>
  <c r="AI193" i="1"/>
  <c r="AI241" i="1"/>
  <c r="AI283" i="1"/>
  <c r="AI319" i="1"/>
  <c r="AI355" i="1"/>
  <c r="AI391" i="1"/>
  <c r="AI427" i="1"/>
  <c r="AI463" i="1"/>
  <c r="AI499" i="1"/>
  <c r="AI535" i="1"/>
  <c r="AI571" i="1"/>
  <c r="AI607" i="1"/>
  <c r="AI643" i="1"/>
  <c r="AI679" i="1"/>
  <c r="AI715" i="1"/>
  <c r="AI740" i="1"/>
  <c r="AI764" i="1"/>
  <c r="AI786" i="1"/>
  <c r="AI803" i="1"/>
  <c r="AI825" i="1"/>
  <c r="AI845" i="1"/>
  <c r="AI861" i="1"/>
  <c r="AI875" i="1"/>
  <c r="AH4" i="1"/>
  <c r="AH19" i="1"/>
  <c r="AH33" i="1"/>
  <c r="AH46" i="1"/>
  <c r="AH59" i="1"/>
  <c r="AH72" i="1"/>
  <c r="AH85" i="1"/>
  <c r="AH97" i="1"/>
  <c r="AH109" i="1"/>
  <c r="AH121" i="1"/>
  <c r="AH133" i="1"/>
  <c r="AH145" i="1"/>
  <c r="AH157" i="1"/>
  <c r="AH169" i="1"/>
  <c r="AH181" i="1"/>
  <c r="AH193" i="1"/>
  <c r="AH205" i="1"/>
  <c r="AH217" i="1"/>
  <c r="AH229" i="1"/>
  <c r="AH241" i="1"/>
  <c r="AH253" i="1"/>
  <c r="AH265" i="1"/>
  <c r="AH277" i="1"/>
  <c r="AH289" i="1"/>
  <c r="AH301" i="1"/>
  <c r="AH313" i="1"/>
  <c r="AH325" i="1"/>
  <c r="AH337" i="1"/>
  <c r="AH349" i="1"/>
  <c r="AH361" i="1"/>
  <c r="AH373" i="1"/>
  <c r="AH385" i="1"/>
  <c r="AH397" i="1"/>
  <c r="AH409" i="1"/>
  <c r="AH421" i="1"/>
  <c r="AH433" i="1"/>
  <c r="AH445" i="1"/>
  <c r="AH457" i="1"/>
  <c r="AH469" i="1"/>
  <c r="AH481" i="1"/>
  <c r="AH493" i="1"/>
  <c r="AH505" i="1"/>
  <c r="AH517" i="1"/>
  <c r="AH529" i="1"/>
  <c r="AH541" i="1"/>
  <c r="AH553" i="1"/>
  <c r="AH565" i="1"/>
  <c r="AH577" i="1"/>
  <c r="AH589" i="1"/>
  <c r="AH601" i="1"/>
  <c r="AH613" i="1"/>
  <c r="AH625" i="1"/>
  <c r="AH637" i="1"/>
  <c r="AH649" i="1"/>
  <c r="AH661" i="1"/>
  <c r="AH673" i="1"/>
  <c r="AH685" i="1"/>
  <c r="AH697" i="1"/>
  <c r="AH709" i="1"/>
  <c r="AH721" i="1"/>
  <c r="AH733" i="1"/>
  <c r="AH745" i="1"/>
  <c r="AH757" i="1"/>
  <c r="AH769" i="1"/>
  <c r="AH781" i="1"/>
  <c r="AH793" i="1"/>
  <c r="AH805" i="1"/>
  <c r="AH817" i="1"/>
  <c r="AH829" i="1"/>
  <c r="AH841" i="1"/>
  <c r="AH853" i="1"/>
  <c r="AJ56" i="1"/>
  <c r="AJ182" i="1"/>
  <c r="AJ291" i="1"/>
  <c r="AJ399" i="1"/>
  <c r="AJ507" i="1"/>
  <c r="AJ603" i="1"/>
  <c r="AJ688" i="1"/>
  <c r="AJ773" i="1"/>
  <c r="AJ860" i="1"/>
  <c r="AI64" i="1"/>
  <c r="AI136" i="1"/>
  <c r="AI195" i="1"/>
  <c r="AI243" i="1"/>
  <c r="AI284" i="1"/>
  <c r="AI320" i="1"/>
  <c r="AI356" i="1"/>
  <c r="AI392" i="1"/>
  <c r="AI428" i="1"/>
  <c r="AI464" i="1"/>
  <c r="AI500" i="1"/>
  <c r="AI536" i="1"/>
  <c r="AI572" i="1"/>
  <c r="AI608" i="1"/>
  <c r="AI644" i="1"/>
  <c r="AI680" i="1"/>
  <c r="AI716" i="1"/>
  <c r="AI741" i="1"/>
  <c r="AI765" i="1"/>
  <c r="AI787" i="1"/>
  <c r="AI806" i="1"/>
  <c r="AI826" i="1"/>
  <c r="AI846" i="1"/>
  <c r="AI862" i="1"/>
  <c r="AI877" i="1"/>
  <c r="AH6" i="1"/>
  <c r="AH20" i="1"/>
  <c r="AH47" i="1"/>
  <c r="AH60" i="1"/>
  <c r="AH73" i="1"/>
  <c r="AH86" i="1"/>
  <c r="AH98" i="1"/>
  <c r="AH110" i="1"/>
  <c r="AH122" i="1"/>
  <c r="AH134" i="1"/>
  <c r="AH146" i="1"/>
  <c r="AH158" i="1"/>
  <c r="AH170" i="1"/>
  <c r="AH182" i="1"/>
  <c r="AH194" i="1"/>
  <c r="AH206" i="1"/>
  <c r="AH218" i="1"/>
  <c r="AH230" i="1"/>
  <c r="AH242" i="1"/>
  <c r="AH254" i="1"/>
  <c r="AH266" i="1"/>
  <c r="AH278" i="1"/>
  <c r="AH290" i="1"/>
  <c r="AH302" i="1"/>
  <c r="AH314" i="1"/>
  <c r="AH326" i="1"/>
  <c r="AH338" i="1"/>
  <c r="AH350" i="1"/>
  <c r="AH362" i="1"/>
  <c r="AH374" i="1"/>
  <c r="AH386" i="1"/>
  <c r="AH398" i="1"/>
  <c r="AH410" i="1"/>
  <c r="AH422" i="1"/>
  <c r="AH434" i="1"/>
  <c r="AH446" i="1"/>
  <c r="AH458" i="1"/>
  <c r="AH470" i="1"/>
  <c r="AH482" i="1"/>
  <c r="AH494" i="1"/>
  <c r="AH506" i="1"/>
  <c r="AH518" i="1"/>
  <c r="AH530" i="1"/>
  <c r="AH542" i="1"/>
  <c r="AH554" i="1"/>
  <c r="AH566" i="1"/>
  <c r="AH578" i="1"/>
  <c r="AH590" i="1"/>
  <c r="AH602" i="1"/>
  <c r="AH614" i="1"/>
  <c r="AH626" i="1"/>
  <c r="AH638" i="1"/>
  <c r="AH650" i="1"/>
  <c r="AH662" i="1"/>
  <c r="AH674" i="1"/>
  <c r="AH686" i="1"/>
  <c r="AH698" i="1"/>
  <c r="AH710" i="1"/>
  <c r="AH722" i="1"/>
  <c r="AH734" i="1"/>
  <c r="AH746" i="1"/>
  <c r="AH758" i="1"/>
  <c r="AH770" i="1"/>
  <c r="AH782" i="1"/>
  <c r="AH794" i="1"/>
  <c r="AH806" i="1"/>
  <c r="AH818" i="1"/>
  <c r="AJ71" i="1"/>
  <c r="AJ194" i="1"/>
  <c r="AJ302" i="1"/>
  <c r="AJ410" i="1"/>
  <c r="AJ518" i="1"/>
  <c r="AJ608" i="1"/>
  <c r="AJ698" i="1"/>
  <c r="AJ783" i="1"/>
  <c r="AJ868" i="1"/>
  <c r="AI67" i="1"/>
  <c r="AI139" i="1"/>
  <c r="AI198" i="1"/>
  <c r="AI246" i="1"/>
  <c r="AI287" i="1"/>
  <c r="AI323" i="1"/>
  <c r="AI359" i="1"/>
  <c r="AI395" i="1"/>
  <c r="AI431" i="1"/>
  <c r="AI467" i="1"/>
  <c r="AI503" i="1"/>
  <c r="AI539" i="1"/>
  <c r="AI575" i="1"/>
  <c r="AI611" i="1"/>
  <c r="AI647" i="1"/>
  <c r="AI683" i="1"/>
  <c r="AI717" i="1"/>
  <c r="AI743" i="1"/>
  <c r="AI766" i="1"/>
  <c r="AI788" i="1"/>
  <c r="AI810" i="1"/>
  <c r="AI827" i="1"/>
  <c r="AI847" i="1"/>
  <c r="AI863" i="1"/>
  <c r="AI878" i="1"/>
  <c r="AH7" i="1"/>
  <c r="AH21" i="1"/>
  <c r="AH35" i="1"/>
  <c r="AH48" i="1"/>
  <c r="AH61" i="1"/>
  <c r="AH75" i="1"/>
  <c r="AH87" i="1"/>
  <c r="AH99" i="1"/>
  <c r="AH111" i="1"/>
  <c r="AH123" i="1"/>
  <c r="AH135" i="1"/>
  <c r="AH147" i="1"/>
  <c r="AH159" i="1"/>
  <c r="AH171" i="1"/>
  <c r="AH183" i="1"/>
  <c r="AH195" i="1"/>
  <c r="AH207" i="1"/>
  <c r="AH219" i="1"/>
  <c r="AH231" i="1"/>
  <c r="AH243" i="1"/>
  <c r="AH255" i="1"/>
  <c r="AH267" i="1"/>
  <c r="AH279" i="1"/>
  <c r="AH291" i="1"/>
  <c r="AH303" i="1"/>
  <c r="AH315" i="1"/>
  <c r="AH327" i="1"/>
  <c r="AH339" i="1"/>
  <c r="AH351" i="1"/>
  <c r="AH363" i="1"/>
  <c r="AH375" i="1"/>
  <c r="AH387" i="1"/>
  <c r="AH399" i="1"/>
  <c r="AH411" i="1"/>
  <c r="AH423" i="1"/>
  <c r="AH435" i="1"/>
  <c r="AH447" i="1"/>
  <c r="AH459" i="1"/>
  <c r="AH471" i="1"/>
  <c r="AH483" i="1"/>
  <c r="AH495" i="1"/>
  <c r="AH507" i="1"/>
  <c r="AH519" i="1"/>
  <c r="AH531" i="1"/>
  <c r="AH543" i="1"/>
  <c r="AH555" i="1"/>
  <c r="AH567" i="1"/>
  <c r="AH579" i="1"/>
  <c r="AH591" i="1"/>
  <c r="AH603" i="1"/>
  <c r="AH615" i="1"/>
  <c r="AH627" i="1"/>
  <c r="AH639" i="1"/>
  <c r="AH651" i="1"/>
  <c r="AH663" i="1"/>
  <c r="AH675" i="1"/>
  <c r="AH687" i="1"/>
  <c r="AH699" i="1"/>
  <c r="AH711" i="1"/>
  <c r="AH723" i="1"/>
  <c r="AH735" i="1"/>
  <c r="AH747" i="1"/>
  <c r="AH759" i="1"/>
  <c r="AH771" i="1"/>
  <c r="AJ90" i="1"/>
  <c r="AJ209" i="1"/>
  <c r="AJ317" i="1"/>
  <c r="AJ425" i="1"/>
  <c r="AJ533" i="1"/>
  <c r="AJ627" i="1"/>
  <c r="AJ712" i="1"/>
  <c r="AJ797" i="1"/>
  <c r="AJ884" i="1"/>
  <c r="AI81" i="1"/>
  <c r="AI153" i="1"/>
  <c r="AI208" i="1"/>
  <c r="AI255" i="1"/>
  <c r="AI294" i="1"/>
  <c r="AI330" i="1"/>
  <c r="AI366" i="1"/>
  <c r="AI402" i="1"/>
  <c r="AI438" i="1"/>
  <c r="AI474" i="1"/>
  <c r="AI510" i="1"/>
  <c r="AI546" i="1"/>
  <c r="AI582" i="1"/>
  <c r="AI618" i="1"/>
  <c r="AI654" i="1"/>
  <c r="AI690" i="1"/>
  <c r="AI719" i="1"/>
  <c r="AI746" i="1"/>
  <c r="AI767" i="1"/>
  <c r="AI789" i="1"/>
  <c r="AI811" i="1"/>
  <c r="AI830" i="1"/>
  <c r="AI848" i="1"/>
  <c r="AI865" i="1"/>
  <c r="AI880" i="1"/>
  <c r="AH8" i="1"/>
  <c r="AH22" i="1"/>
  <c r="AH36" i="1"/>
  <c r="AH49" i="1"/>
  <c r="AH63" i="1"/>
  <c r="AH76" i="1"/>
  <c r="AH88" i="1"/>
  <c r="AH100" i="1"/>
  <c r="AH112" i="1"/>
  <c r="AH124" i="1"/>
  <c r="AH136" i="1"/>
  <c r="AH148" i="1"/>
  <c r="AH160" i="1"/>
  <c r="AH172" i="1"/>
  <c r="AH184" i="1"/>
  <c r="AH196" i="1"/>
  <c r="AH208" i="1"/>
  <c r="AH220" i="1"/>
  <c r="AH232" i="1"/>
  <c r="AH244" i="1"/>
  <c r="AH256" i="1"/>
  <c r="AH268" i="1"/>
  <c r="AH280" i="1"/>
  <c r="AH292" i="1"/>
  <c r="AH304" i="1"/>
  <c r="AH316" i="1"/>
  <c r="AH328" i="1"/>
  <c r="AH340" i="1"/>
  <c r="AH352" i="1"/>
  <c r="AH364" i="1"/>
  <c r="AH376" i="1"/>
  <c r="AH388" i="1"/>
  <c r="AH400" i="1"/>
  <c r="AH412" i="1"/>
  <c r="AH424" i="1"/>
  <c r="AH436" i="1"/>
  <c r="AH448" i="1"/>
  <c r="AH460" i="1"/>
  <c r="AH472" i="1"/>
  <c r="AH484" i="1"/>
  <c r="AH496" i="1"/>
  <c r="AH508" i="1"/>
  <c r="AH520" i="1"/>
  <c r="AH532" i="1"/>
  <c r="AH544" i="1"/>
  <c r="AH556" i="1"/>
  <c r="AH568" i="1"/>
  <c r="AH580" i="1"/>
  <c r="AH592" i="1"/>
  <c r="AH604" i="1"/>
  <c r="AH616" i="1"/>
  <c r="AH628" i="1"/>
  <c r="AH640" i="1"/>
  <c r="AH652" i="1"/>
  <c r="AH664" i="1"/>
  <c r="AH676" i="1"/>
  <c r="AH688" i="1"/>
  <c r="AH700" i="1"/>
  <c r="AH712" i="1"/>
  <c r="AH724" i="1"/>
  <c r="AH736" i="1"/>
  <c r="AH748" i="1"/>
  <c r="AH760" i="1"/>
  <c r="AH772" i="1"/>
  <c r="AH784" i="1"/>
  <c r="AH796" i="1"/>
  <c r="AJ141" i="1"/>
  <c r="AJ254" i="1"/>
  <c r="AJ362" i="1"/>
  <c r="AJ470" i="1"/>
  <c r="AJ569" i="1"/>
  <c r="AJ656" i="1"/>
  <c r="AJ746" i="1"/>
  <c r="AJ831" i="1"/>
  <c r="AI30" i="1"/>
  <c r="AI106" i="1"/>
  <c r="AI175" i="1"/>
  <c r="AI224" i="1"/>
  <c r="AI270" i="1"/>
  <c r="AI307" i="1"/>
  <c r="AI343" i="1"/>
  <c r="AI379" i="1"/>
  <c r="AI415" i="1"/>
  <c r="AI451" i="1"/>
  <c r="AI487" i="1"/>
  <c r="AI523" i="1"/>
  <c r="AI559" i="1"/>
  <c r="AI595" i="1"/>
  <c r="AI631" i="1"/>
  <c r="AI667" i="1"/>
  <c r="AI703" i="1"/>
  <c r="AI731" i="1"/>
  <c r="AI755" i="1"/>
  <c r="AI777" i="1"/>
  <c r="AI799" i="1"/>
  <c r="AI818" i="1"/>
  <c r="AI837" i="1"/>
  <c r="AI857" i="1"/>
  <c r="AI871" i="1"/>
  <c r="AI885" i="1"/>
  <c r="AH13" i="1"/>
  <c r="AH28" i="1"/>
  <c r="AH42" i="1"/>
  <c r="AH55" i="1"/>
  <c r="AH68" i="1"/>
  <c r="AH81" i="1"/>
  <c r="AH93" i="1"/>
  <c r="AH105" i="1"/>
  <c r="AH117" i="1"/>
  <c r="AH129" i="1"/>
  <c r="AH141" i="1"/>
  <c r="AH153" i="1"/>
  <c r="AH165" i="1"/>
  <c r="AH177" i="1"/>
  <c r="AH189" i="1"/>
  <c r="AH201" i="1"/>
  <c r="AH213" i="1"/>
  <c r="AH225" i="1"/>
  <c r="AH237" i="1"/>
  <c r="AH249" i="1"/>
  <c r="AH261" i="1"/>
  <c r="AH273" i="1"/>
  <c r="AH285" i="1"/>
  <c r="AH297" i="1"/>
  <c r="AH309" i="1"/>
  <c r="AH321" i="1"/>
  <c r="AH333" i="1"/>
  <c r="AH345" i="1"/>
  <c r="AH357" i="1"/>
  <c r="AH369" i="1"/>
  <c r="AH381" i="1"/>
  <c r="AH393" i="1"/>
  <c r="AH405" i="1"/>
  <c r="AH417" i="1"/>
  <c r="AH429" i="1"/>
  <c r="AH441" i="1"/>
  <c r="AH453" i="1"/>
  <c r="AH465" i="1"/>
  <c r="AH477" i="1"/>
  <c r="AH489" i="1"/>
  <c r="AH501" i="1"/>
  <c r="AH513" i="1"/>
  <c r="AH525" i="1"/>
  <c r="AH537" i="1"/>
  <c r="AH549" i="1"/>
  <c r="AH561" i="1"/>
  <c r="AH573" i="1"/>
  <c r="AH585" i="1"/>
  <c r="AJ143" i="1"/>
  <c r="AJ255" i="1"/>
  <c r="AJ363" i="1"/>
  <c r="AJ471" i="1"/>
  <c r="AJ572" i="1"/>
  <c r="AJ662" i="1"/>
  <c r="AJ747" i="1"/>
  <c r="AJ832" i="1"/>
  <c r="AI31" i="1"/>
  <c r="AI112" i="1"/>
  <c r="AI177" i="1"/>
  <c r="AI225" i="1"/>
  <c r="AI271" i="1"/>
  <c r="AI308" i="1"/>
  <c r="AI344" i="1"/>
  <c r="AI380" i="1"/>
  <c r="AI416" i="1"/>
  <c r="AI452" i="1"/>
  <c r="AI488" i="1"/>
  <c r="AI524" i="1"/>
  <c r="AI560" i="1"/>
  <c r="AI596" i="1"/>
  <c r="AI632" i="1"/>
  <c r="AI668" i="1"/>
  <c r="AI704" i="1"/>
  <c r="AI734" i="1"/>
  <c r="AI758" i="1"/>
  <c r="AI778" i="1"/>
  <c r="AI800" i="1"/>
  <c r="AI822" i="1"/>
  <c r="AI838" i="1"/>
  <c r="AI858" i="1"/>
  <c r="AI872" i="1"/>
  <c r="AI886" i="1"/>
  <c r="AH15" i="1"/>
  <c r="AH30" i="1"/>
  <c r="AH43" i="1"/>
  <c r="AH56" i="1"/>
  <c r="AH69" i="1"/>
  <c r="AH82" i="1"/>
  <c r="AH94" i="1"/>
  <c r="AH106" i="1"/>
  <c r="AH118" i="1"/>
  <c r="AH130" i="1"/>
  <c r="AH142" i="1"/>
  <c r="AH154" i="1"/>
  <c r="AH166" i="1"/>
  <c r="AH178" i="1"/>
  <c r="AH190" i="1"/>
  <c r="AH202" i="1"/>
  <c r="AH214" i="1"/>
  <c r="AH226" i="1"/>
  <c r="AH238" i="1"/>
  <c r="AH250" i="1"/>
  <c r="AH262" i="1"/>
  <c r="AH274" i="1"/>
  <c r="AH286" i="1"/>
  <c r="AH298" i="1"/>
  <c r="AH310" i="1"/>
  <c r="AH322" i="1"/>
  <c r="AH334" i="1"/>
  <c r="AH346" i="1"/>
  <c r="AH358" i="1"/>
  <c r="AH370" i="1"/>
  <c r="AH382" i="1"/>
  <c r="AH394" i="1"/>
  <c r="AH406" i="1"/>
  <c r="AH418" i="1"/>
  <c r="AH430" i="1"/>
  <c r="AH442" i="1"/>
  <c r="AH454" i="1"/>
  <c r="AH466" i="1"/>
  <c r="AH478" i="1"/>
  <c r="AH490" i="1"/>
  <c r="AH502" i="1"/>
  <c r="AH514" i="1"/>
  <c r="AH526" i="1"/>
  <c r="AH538" i="1"/>
  <c r="AH550" i="1"/>
  <c r="AH562" i="1"/>
  <c r="AH574" i="1"/>
  <c r="AH586" i="1"/>
  <c r="AH598" i="1"/>
  <c r="AH610" i="1"/>
  <c r="AH622" i="1"/>
  <c r="AJ23" i="1"/>
  <c r="AJ155" i="1"/>
  <c r="AJ266" i="1"/>
  <c r="AJ374" i="1"/>
  <c r="AJ482" i="1"/>
  <c r="AJ580" i="1"/>
  <c r="AJ665" i="1"/>
  <c r="AJ752" i="1"/>
  <c r="AJ842" i="1"/>
  <c r="AI41" i="1"/>
  <c r="AI115" i="1"/>
  <c r="AI183" i="1"/>
  <c r="AI231" i="1"/>
  <c r="AI274" i="1"/>
  <c r="AI311" i="1"/>
  <c r="AI347" i="1"/>
  <c r="AI383" i="1"/>
  <c r="AI419" i="1"/>
  <c r="AI455" i="1"/>
  <c r="AI491" i="1"/>
  <c r="AI527" i="1"/>
  <c r="AI563" i="1"/>
  <c r="AI599" i="1"/>
  <c r="AI635" i="1"/>
  <c r="AI671" i="1"/>
  <c r="AI707" i="1"/>
  <c r="AI738" i="1"/>
  <c r="AI762" i="1"/>
  <c r="AI779" i="1"/>
  <c r="AI801" i="1"/>
  <c r="AI823" i="1"/>
  <c r="AI839" i="1"/>
  <c r="AI859" i="1"/>
  <c r="AI873" i="1"/>
  <c r="AI887" i="1"/>
  <c r="AH16" i="1"/>
  <c r="AH31" i="1"/>
  <c r="AH44" i="1"/>
  <c r="AH57" i="1"/>
  <c r="AH70" i="1"/>
  <c r="AH83" i="1"/>
  <c r="AH95" i="1"/>
  <c r="AH107" i="1"/>
  <c r="AH119" i="1"/>
  <c r="AH131" i="1"/>
  <c r="AH143" i="1"/>
  <c r="AH155" i="1"/>
  <c r="AH167" i="1"/>
  <c r="AH179" i="1"/>
  <c r="AH191" i="1"/>
  <c r="AH203" i="1"/>
  <c r="AH215" i="1"/>
  <c r="AH227" i="1"/>
  <c r="AH239" i="1"/>
  <c r="AH251" i="1"/>
  <c r="AH263" i="1"/>
  <c r="AH275" i="1"/>
  <c r="AH287" i="1"/>
  <c r="AH299" i="1"/>
  <c r="AH311" i="1"/>
  <c r="AH323" i="1"/>
  <c r="AH335" i="1"/>
  <c r="AH347" i="1"/>
  <c r="AH359" i="1"/>
  <c r="AH371" i="1"/>
  <c r="AH383" i="1"/>
  <c r="AH395" i="1"/>
  <c r="AH407" i="1"/>
  <c r="AH419" i="1"/>
  <c r="AH431" i="1"/>
  <c r="AH443" i="1"/>
  <c r="AH455" i="1"/>
  <c r="AH467" i="1"/>
  <c r="AH479" i="1"/>
  <c r="AH491" i="1"/>
  <c r="AH503" i="1"/>
  <c r="AH515" i="1"/>
  <c r="AH527" i="1"/>
  <c r="AH539" i="1"/>
  <c r="AH551" i="1"/>
  <c r="AH563" i="1"/>
  <c r="AH575" i="1"/>
  <c r="AH587" i="1"/>
  <c r="AH599" i="1"/>
  <c r="AH611" i="1"/>
  <c r="AJ103" i="1"/>
  <c r="AJ435" i="1"/>
  <c r="AJ716" i="1"/>
  <c r="AI88" i="1"/>
  <c r="AI257" i="1"/>
  <c r="AI368" i="1"/>
  <c r="AI476" i="1"/>
  <c r="AI584" i="1"/>
  <c r="AI692" i="1"/>
  <c r="AI774" i="1"/>
  <c r="AI834" i="1"/>
  <c r="AI882" i="1"/>
  <c r="AH39" i="1"/>
  <c r="AH78" i="1"/>
  <c r="AH114" i="1"/>
  <c r="AH150" i="1"/>
  <c r="AH186" i="1"/>
  <c r="AH222" i="1"/>
  <c r="AH258" i="1"/>
  <c r="AH294" i="1"/>
  <c r="AH330" i="1"/>
  <c r="AH366" i="1"/>
  <c r="AH402" i="1"/>
  <c r="AH438" i="1"/>
  <c r="AH474" i="1"/>
  <c r="AH510" i="1"/>
  <c r="AH546" i="1"/>
  <c r="AH582" i="1"/>
  <c r="AH609" i="1"/>
  <c r="AH634" i="1"/>
  <c r="AH656" i="1"/>
  <c r="AH678" i="1"/>
  <c r="AH695" i="1"/>
  <c r="AH717" i="1"/>
  <c r="AH739" i="1"/>
  <c r="AH761" i="1"/>
  <c r="AH778" i="1"/>
  <c r="AH798" i="1"/>
  <c r="AH813" i="1"/>
  <c r="AH830" i="1"/>
  <c r="AH844" i="1"/>
  <c r="AH858" i="1"/>
  <c r="AH871" i="1"/>
  <c r="AH884" i="1"/>
  <c r="AG11" i="1"/>
  <c r="AG24" i="1"/>
  <c r="AG37" i="1"/>
  <c r="AG49" i="1"/>
  <c r="AG61" i="1"/>
  <c r="AG73" i="1"/>
  <c r="AG85" i="1"/>
  <c r="AG97" i="1"/>
  <c r="AG109" i="1"/>
  <c r="AG121" i="1"/>
  <c r="AG133" i="1"/>
  <c r="AG145" i="1"/>
  <c r="AG157" i="1"/>
  <c r="AG169" i="1"/>
  <c r="AG181" i="1"/>
  <c r="AG193" i="1"/>
  <c r="AG205" i="1"/>
  <c r="AG217" i="1"/>
  <c r="AG229" i="1"/>
  <c r="AG241" i="1"/>
  <c r="AG253" i="1"/>
  <c r="AG265" i="1"/>
  <c r="AG277" i="1"/>
  <c r="AG289" i="1"/>
  <c r="AG301" i="1"/>
  <c r="AG313" i="1"/>
  <c r="AG325" i="1"/>
  <c r="AG337" i="1"/>
  <c r="AG349" i="1"/>
  <c r="AG361" i="1"/>
  <c r="AG373" i="1"/>
  <c r="AG385" i="1"/>
  <c r="AG397" i="1"/>
  <c r="AG409" i="1"/>
  <c r="AG421" i="1"/>
  <c r="AG433" i="1"/>
  <c r="AG445" i="1"/>
  <c r="AG457" i="1"/>
  <c r="AG469" i="1"/>
  <c r="AG481" i="1"/>
  <c r="AG493" i="1"/>
  <c r="AG505" i="1"/>
  <c r="AG517" i="1"/>
  <c r="AG529" i="1"/>
  <c r="AG541" i="1"/>
  <c r="AG553" i="1"/>
  <c r="AG565" i="1"/>
  <c r="AG577" i="1"/>
  <c r="AG589" i="1"/>
  <c r="AG601" i="1"/>
  <c r="AG613" i="1"/>
  <c r="AG625" i="1"/>
  <c r="AG637" i="1"/>
  <c r="AG649" i="1"/>
  <c r="AG661" i="1"/>
  <c r="AG673" i="1"/>
  <c r="AG685" i="1"/>
  <c r="AG697" i="1"/>
  <c r="AG709" i="1"/>
  <c r="AG721" i="1"/>
  <c r="AG733" i="1"/>
  <c r="AG745" i="1"/>
  <c r="AG757" i="1"/>
  <c r="AG769" i="1"/>
  <c r="AG781" i="1"/>
  <c r="AG793" i="1"/>
  <c r="AG805" i="1"/>
  <c r="AG817" i="1"/>
  <c r="AG829" i="1"/>
  <c r="AG841" i="1"/>
  <c r="AG853" i="1"/>
  <c r="AG865" i="1"/>
  <c r="AG877" i="1"/>
  <c r="AF3" i="1"/>
  <c r="AF15" i="1"/>
  <c r="AF27" i="1"/>
  <c r="AF39" i="1"/>
  <c r="AF51" i="1"/>
  <c r="AF63" i="1"/>
  <c r="AF75" i="1"/>
  <c r="AF87" i="1"/>
  <c r="AF99" i="1"/>
  <c r="AF111" i="1"/>
  <c r="AF123" i="1"/>
  <c r="AF135" i="1"/>
  <c r="AF147" i="1"/>
  <c r="AF159" i="1"/>
  <c r="AF171" i="1"/>
  <c r="AF183" i="1"/>
  <c r="AF195" i="1"/>
  <c r="AF207" i="1"/>
  <c r="AF219" i="1"/>
  <c r="AF231" i="1"/>
  <c r="AF243" i="1"/>
  <c r="AF255" i="1"/>
  <c r="AF267" i="1"/>
  <c r="AF279" i="1"/>
  <c r="AF291" i="1"/>
  <c r="AF303" i="1"/>
  <c r="AF315" i="1"/>
  <c r="AF327" i="1"/>
  <c r="AF339" i="1"/>
  <c r="AF351" i="1"/>
  <c r="AF363" i="1"/>
  <c r="AF375" i="1"/>
  <c r="AF387" i="1"/>
  <c r="AF399" i="1"/>
  <c r="AF411" i="1"/>
  <c r="AF423" i="1"/>
  <c r="AF435" i="1"/>
  <c r="AF447" i="1"/>
  <c r="AF459" i="1"/>
  <c r="AF471" i="1"/>
  <c r="AF483" i="1"/>
  <c r="AF495" i="1"/>
  <c r="AF507" i="1"/>
  <c r="AF519" i="1"/>
  <c r="AF531" i="1"/>
  <c r="AJ115" i="1"/>
  <c r="AJ446" i="1"/>
  <c r="AJ724" i="1"/>
  <c r="AI91" i="1"/>
  <c r="AI260" i="1"/>
  <c r="AI371" i="1"/>
  <c r="AI479" i="1"/>
  <c r="AI587" i="1"/>
  <c r="AI695" i="1"/>
  <c r="AI775" i="1"/>
  <c r="AI835" i="1"/>
  <c r="AI883" i="1"/>
  <c r="AH40" i="1"/>
  <c r="AH79" i="1"/>
  <c r="AH115" i="1"/>
  <c r="AH151" i="1"/>
  <c r="AH187" i="1"/>
  <c r="AH223" i="1"/>
  <c r="AH259" i="1"/>
  <c r="AH295" i="1"/>
  <c r="AH331" i="1"/>
  <c r="AH367" i="1"/>
  <c r="AH403" i="1"/>
  <c r="AH439" i="1"/>
  <c r="AH475" i="1"/>
  <c r="AH511" i="1"/>
  <c r="AH547" i="1"/>
  <c r="AH583" i="1"/>
  <c r="AH617" i="1"/>
  <c r="AH635" i="1"/>
  <c r="AH657" i="1"/>
  <c r="AH679" i="1"/>
  <c r="AH701" i="1"/>
  <c r="AH718" i="1"/>
  <c r="AH740" i="1"/>
  <c r="AH762" i="1"/>
  <c r="AH779" i="1"/>
  <c r="AH799" i="1"/>
  <c r="AH814" i="1"/>
  <c r="AH831" i="1"/>
  <c r="AH845" i="1"/>
  <c r="AH859" i="1"/>
  <c r="AH872" i="1"/>
  <c r="AH885" i="1"/>
  <c r="AG12" i="1"/>
  <c r="AG25" i="1"/>
  <c r="AG38" i="1"/>
  <c r="AG50" i="1"/>
  <c r="AG62" i="1"/>
  <c r="AG74" i="1"/>
  <c r="AG86" i="1"/>
  <c r="AG98" i="1"/>
  <c r="AG110" i="1"/>
  <c r="AG122" i="1"/>
  <c r="AG134" i="1"/>
  <c r="AG146" i="1"/>
  <c r="AG158" i="1"/>
  <c r="AG170" i="1"/>
  <c r="AG182" i="1"/>
  <c r="AG194" i="1"/>
  <c r="AG206" i="1"/>
  <c r="AG218" i="1"/>
  <c r="AG230" i="1"/>
  <c r="AG242" i="1"/>
  <c r="AG254" i="1"/>
  <c r="AG266" i="1"/>
  <c r="AG278" i="1"/>
  <c r="AG290" i="1"/>
  <c r="AG302" i="1"/>
  <c r="AG314" i="1"/>
  <c r="AG326" i="1"/>
  <c r="AG338" i="1"/>
  <c r="AG350" i="1"/>
  <c r="AG362" i="1"/>
  <c r="AG374" i="1"/>
  <c r="AG386" i="1"/>
  <c r="AG398" i="1"/>
  <c r="AG410" i="1"/>
  <c r="AG422" i="1"/>
  <c r="AG434" i="1"/>
  <c r="AG446" i="1"/>
  <c r="AG458" i="1"/>
  <c r="AG470" i="1"/>
  <c r="AG482" i="1"/>
  <c r="AG494" i="1"/>
  <c r="AG506" i="1"/>
  <c r="AG518" i="1"/>
  <c r="AG530" i="1"/>
  <c r="AG542" i="1"/>
  <c r="AG554" i="1"/>
  <c r="AG566" i="1"/>
  <c r="AG578" i="1"/>
  <c r="AG590" i="1"/>
  <c r="AG602" i="1"/>
  <c r="AG614" i="1"/>
  <c r="AG626" i="1"/>
  <c r="AG638" i="1"/>
  <c r="AG650" i="1"/>
  <c r="AG662" i="1"/>
  <c r="AG674" i="1"/>
  <c r="AG686" i="1"/>
  <c r="AG698" i="1"/>
  <c r="AG710" i="1"/>
  <c r="AG722" i="1"/>
  <c r="AG734" i="1"/>
  <c r="AG746" i="1"/>
  <c r="AG758" i="1"/>
  <c r="AG770" i="1"/>
  <c r="AG782" i="1"/>
  <c r="AG794" i="1"/>
  <c r="AG806" i="1"/>
  <c r="AG818" i="1"/>
  <c r="AG830" i="1"/>
  <c r="AG842" i="1"/>
  <c r="AG854" i="1"/>
  <c r="AG866" i="1"/>
  <c r="AG878" i="1"/>
  <c r="AF4" i="1"/>
  <c r="AF16" i="1"/>
  <c r="AF28" i="1"/>
  <c r="AF40" i="1"/>
  <c r="AF52" i="1"/>
  <c r="AF64" i="1"/>
  <c r="AF76" i="1"/>
  <c r="AF88" i="1"/>
  <c r="AF100" i="1"/>
  <c r="AF112" i="1"/>
  <c r="AF124" i="1"/>
  <c r="AF136" i="1"/>
  <c r="AF148" i="1"/>
  <c r="AF160" i="1"/>
  <c r="AF172" i="1"/>
  <c r="AF184" i="1"/>
  <c r="AF196" i="1"/>
  <c r="AF208" i="1"/>
  <c r="AF220" i="1"/>
  <c r="AF232" i="1"/>
  <c r="AF244" i="1"/>
  <c r="AF256" i="1"/>
  <c r="AF268" i="1"/>
  <c r="AF280" i="1"/>
  <c r="AF292" i="1"/>
  <c r="AF304" i="1"/>
  <c r="AF316" i="1"/>
  <c r="AF328" i="1"/>
  <c r="AF340" i="1"/>
  <c r="AF352" i="1"/>
  <c r="AF364" i="1"/>
  <c r="AF376" i="1"/>
  <c r="AF388" i="1"/>
  <c r="AF400" i="1"/>
  <c r="AF412" i="1"/>
  <c r="AF424" i="1"/>
  <c r="AF436" i="1"/>
  <c r="AF448" i="1"/>
  <c r="AF460" i="1"/>
  <c r="AF472" i="1"/>
  <c r="AF484" i="1"/>
  <c r="AF496" i="1"/>
  <c r="AF508" i="1"/>
  <c r="AF520" i="1"/>
  <c r="AF532" i="1"/>
  <c r="AF544" i="1"/>
  <c r="AF556" i="1"/>
  <c r="AJ132" i="1"/>
  <c r="AJ461" i="1"/>
  <c r="AJ740" i="1"/>
  <c r="AI105" i="1"/>
  <c r="AI269" i="1"/>
  <c r="AI378" i="1"/>
  <c r="AI486" i="1"/>
  <c r="AI594" i="1"/>
  <c r="AI702" i="1"/>
  <c r="AI776" i="1"/>
  <c r="AI836" i="1"/>
  <c r="AI884" i="1"/>
  <c r="AH41" i="1"/>
  <c r="AH80" i="1"/>
  <c r="AH116" i="1"/>
  <c r="AH152" i="1"/>
  <c r="AH188" i="1"/>
  <c r="AH224" i="1"/>
  <c r="AH260" i="1"/>
  <c r="AH296" i="1"/>
  <c r="AH332" i="1"/>
  <c r="AH368" i="1"/>
  <c r="AH404" i="1"/>
  <c r="AH440" i="1"/>
  <c r="AH476" i="1"/>
  <c r="AH512" i="1"/>
  <c r="AH548" i="1"/>
  <c r="AH584" i="1"/>
  <c r="AH618" i="1"/>
  <c r="AH641" i="1"/>
  <c r="AH658" i="1"/>
  <c r="AH680" i="1"/>
  <c r="AH702" i="1"/>
  <c r="AH719" i="1"/>
  <c r="AH741" i="1"/>
  <c r="AH763" i="1"/>
  <c r="AH783" i="1"/>
  <c r="AH800" i="1"/>
  <c r="AH815" i="1"/>
  <c r="AH832" i="1"/>
  <c r="AH846" i="1"/>
  <c r="AH860" i="1"/>
  <c r="AH873" i="1"/>
  <c r="AH886" i="1"/>
  <c r="AG13" i="1"/>
  <c r="AG27" i="1"/>
  <c r="AG39" i="1"/>
  <c r="AG51" i="1"/>
  <c r="AG63" i="1"/>
  <c r="AG75" i="1"/>
  <c r="AG87" i="1"/>
  <c r="AG99" i="1"/>
  <c r="AG111" i="1"/>
  <c r="AG123" i="1"/>
  <c r="AG135" i="1"/>
  <c r="AG147" i="1"/>
  <c r="AG159" i="1"/>
  <c r="AG171" i="1"/>
  <c r="AG183" i="1"/>
  <c r="AG195" i="1"/>
  <c r="AG207" i="1"/>
  <c r="AG219" i="1"/>
  <c r="AG231" i="1"/>
  <c r="AG243" i="1"/>
  <c r="AG255" i="1"/>
  <c r="AG267" i="1"/>
  <c r="AG279" i="1"/>
  <c r="AG291" i="1"/>
  <c r="AG303" i="1"/>
  <c r="AG315" i="1"/>
  <c r="AG327" i="1"/>
  <c r="AG339" i="1"/>
  <c r="AG351" i="1"/>
  <c r="AG363" i="1"/>
  <c r="AG375" i="1"/>
  <c r="AG387" i="1"/>
  <c r="AG399" i="1"/>
  <c r="AG411" i="1"/>
  <c r="AG423" i="1"/>
  <c r="AG435" i="1"/>
  <c r="AG447" i="1"/>
  <c r="AG459" i="1"/>
  <c r="AG471" i="1"/>
  <c r="AG483" i="1"/>
  <c r="AG495" i="1"/>
  <c r="AG507" i="1"/>
  <c r="AG519" i="1"/>
  <c r="AG531" i="1"/>
  <c r="AG543" i="1"/>
  <c r="AG555" i="1"/>
  <c r="AG567" i="1"/>
  <c r="AG579" i="1"/>
  <c r="AG591" i="1"/>
  <c r="AG603" i="1"/>
  <c r="AG615" i="1"/>
  <c r="AG627" i="1"/>
  <c r="AG639" i="1"/>
  <c r="AG651" i="1"/>
  <c r="AG663" i="1"/>
  <c r="AG675" i="1"/>
  <c r="AG687" i="1"/>
  <c r="AG699" i="1"/>
  <c r="AG711" i="1"/>
  <c r="AG723" i="1"/>
  <c r="AG735" i="1"/>
  <c r="AG747" i="1"/>
  <c r="AG759" i="1"/>
  <c r="AG771" i="1"/>
  <c r="AG783" i="1"/>
  <c r="AG795" i="1"/>
  <c r="AG807" i="1"/>
  <c r="AG819" i="1"/>
  <c r="AG831" i="1"/>
  <c r="AG843" i="1"/>
  <c r="AG855" i="1"/>
  <c r="AG867" i="1"/>
  <c r="AG879" i="1"/>
  <c r="AF5" i="1"/>
  <c r="AF17" i="1"/>
  <c r="AF29" i="1"/>
  <c r="AF41" i="1"/>
  <c r="AF53" i="1"/>
  <c r="AF65" i="1"/>
  <c r="AF77" i="1"/>
  <c r="AF89" i="1"/>
  <c r="AF101" i="1"/>
  <c r="AF113" i="1"/>
  <c r="AF125" i="1"/>
  <c r="AF137" i="1"/>
  <c r="AF149" i="1"/>
  <c r="AF161" i="1"/>
  <c r="AF173" i="1"/>
  <c r="AF185" i="1"/>
  <c r="AF197" i="1"/>
  <c r="AF209" i="1"/>
  <c r="AF221" i="1"/>
  <c r="AF233" i="1"/>
  <c r="AF245" i="1"/>
  <c r="AF257" i="1"/>
  <c r="AF269" i="1"/>
  <c r="AF281" i="1"/>
  <c r="AF293" i="1"/>
  <c r="AF305" i="1"/>
  <c r="AF317" i="1"/>
  <c r="AF329" i="1"/>
  <c r="AF341" i="1"/>
  <c r="AF353" i="1"/>
  <c r="AF365" i="1"/>
  <c r="AF377" i="1"/>
  <c r="AF389" i="1"/>
  <c r="AF401" i="1"/>
  <c r="AF413" i="1"/>
  <c r="AF425" i="1"/>
  <c r="AF437" i="1"/>
  <c r="AF449" i="1"/>
  <c r="AF461" i="1"/>
  <c r="AF473" i="1"/>
  <c r="AF485" i="1"/>
  <c r="AF497" i="1"/>
  <c r="AF509" i="1"/>
  <c r="AF521" i="1"/>
  <c r="AF533" i="1"/>
  <c r="AJ218" i="1"/>
  <c r="AJ542" i="1"/>
  <c r="AJ800" i="1"/>
  <c r="AI154" i="1"/>
  <c r="AI295" i="1"/>
  <c r="AI403" i="1"/>
  <c r="AI511" i="1"/>
  <c r="AI619" i="1"/>
  <c r="AI726" i="1"/>
  <c r="AI790" i="1"/>
  <c r="AI849" i="1"/>
  <c r="AH9" i="1"/>
  <c r="AH51" i="1"/>
  <c r="AH89" i="1"/>
  <c r="AH125" i="1"/>
  <c r="AH161" i="1"/>
  <c r="AH197" i="1"/>
  <c r="AH233" i="1"/>
  <c r="AH269" i="1"/>
  <c r="AH305" i="1"/>
  <c r="AH341" i="1"/>
  <c r="AH377" i="1"/>
  <c r="AH413" i="1"/>
  <c r="AH449" i="1"/>
  <c r="AH485" i="1"/>
  <c r="AH521" i="1"/>
  <c r="AH557" i="1"/>
  <c r="AH593" i="1"/>
  <c r="AH619" i="1"/>
  <c r="AH642" i="1"/>
  <c r="AH659" i="1"/>
  <c r="AH681" i="1"/>
  <c r="AH703" i="1"/>
  <c r="AH725" i="1"/>
  <c r="AH742" i="1"/>
  <c r="AH764" i="1"/>
  <c r="AH785" i="1"/>
  <c r="AH801" i="1"/>
  <c r="AH819" i="1"/>
  <c r="AH833" i="1"/>
  <c r="AH847" i="1"/>
  <c r="AH861" i="1"/>
  <c r="AH874" i="1"/>
  <c r="AH887" i="1"/>
  <c r="AG15" i="1"/>
  <c r="AG28" i="1"/>
  <c r="AG40" i="1"/>
  <c r="AG52" i="1"/>
  <c r="AG64" i="1"/>
  <c r="AG76" i="1"/>
  <c r="AG88" i="1"/>
  <c r="AG100" i="1"/>
  <c r="AG112" i="1"/>
  <c r="AG124" i="1"/>
  <c r="AG136" i="1"/>
  <c r="AG148" i="1"/>
  <c r="AG160" i="1"/>
  <c r="AG172" i="1"/>
  <c r="AG184" i="1"/>
  <c r="AG196" i="1"/>
  <c r="AG208" i="1"/>
  <c r="AG220" i="1"/>
  <c r="AG232" i="1"/>
  <c r="AG244" i="1"/>
  <c r="AG256" i="1"/>
  <c r="AG268" i="1"/>
  <c r="AG280" i="1"/>
  <c r="AG292" i="1"/>
  <c r="AG304" i="1"/>
  <c r="AG316" i="1"/>
  <c r="AG328" i="1"/>
  <c r="AG340" i="1"/>
  <c r="AG352" i="1"/>
  <c r="AG364" i="1"/>
  <c r="AG376" i="1"/>
  <c r="AG388" i="1"/>
  <c r="AG400" i="1"/>
  <c r="AG412" i="1"/>
  <c r="AG424" i="1"/>
  <c r="AG436" i="1"/>
  <c r="AG448" i="1"/>
  <c r="AG460" i="1"/>
  <c r="AG472" i="1"/>
  <c r="AG484" i="1"/>
  <c r="AG496" i="1"/>
  <c r="AG508" i="1"/>
  <c r="AG520" i="1"/>
  <c r="AG532" i="1"/>
  <c r="AG544" i="1"/>
  <c r="AG556" i="1"/>
  <c r="AG568" i="1"/>
  <c r="AG580" i="1"/>
  <c r="AG592" i="1"/>
  <c r="AG604" i="1"/>
  <c r="AG616" i="1"/>
  <c r="AG628" i="1"/>
  <c r="AG640" i="1"/>
  <c r="AG652" i="1"/>
  <c r="AG664" i="1"/>
  <c r="AG676" i="1"/>
  <c r="AG688" i="1"/>
  <c r="AG700" i="1"/>
  <c r="AG712" i="1"/>
  <c r="AG724" i="1"/>
  <c r="AG736" i="1"/>
  <c r="AG748" i="1"/>
  <c r="AG760" i="1"/>
  <c r="AG772" i="1"/>
  <c r="AG784" i="1"/>
  <c r="AG796" i="1"/>
  <c r="AG808" i="1"/>
  <c r="AG820" i="1"/>
  <c r="AG832" i="1"/>
  <c r="AG844" i="1"/>
  <c r="AG856" i="1"/>
  <c r="AG868" i="1"/>
  <c r="AG880" i="1"/>
  <c r="AF6" i="1"/>
  <c r="AF18" i="1"/>
  <c r="AF30" i="1"/>
  <c r="AF42" i="1"/>
  <c r="AF54" i="1"/>
  <c r="AF66" i="1"/>
  <c r="AF78" i="1"/>
  <c r="AF90" i="1"/>
  <c r="AF102" i="1"/>
  <c r="AF114" i="1"/>
  <c r="AF126" i="1"/>
  <c r="AF138" i="1"/>
  <c r="AF150" i="1"/>
  <c r="AF162" i="1"/>
  <c r="AF174" i="1"/>
  <c r="AF186" i="1"/>
  <c r="AF198" i="1"/>
  <c r="AF210" i="1"/>
  <c r="AF222" i="1"/>
  <c r="AF234" i="1"/>
  <c r="AF246" i="1"/>
  <c r="AF258" i="1"/>
  <c r="AF270" i="1"/>
  <c r="AF282" i="1"/>
  <c r="AF294" i="1"/>
  <c r="AF306" i="1"/>
  <c r="AF318" i="1"/>
  <c r="AF330" i="1"/>
  <c r="AF342" i="1"/>
  <c r="AF354" i="1"/>
  <c r="AF366" i="1"/>
  <c r="AF378" i="1"/>
  <c r="AF390" i="1"/>
  <c r="AJ219" i="1"/>
  <c r="AJ543" i="1"/>
  <c r="AJ806" i="1"/>
  <c r="AI157" i="1"/>
  <c r="AI296" i="1"/>
  <c r="AI404" i="1"/>
  <c r="AI512" i="1"/>
  <c r="AI620" i="1"/>
  <c r="AI727" i="1"/>
  <c r="AI791" i="1"/>
  <c r="AI850" i="1"/>
  <c r="AH10" i="1"/>
  <c r="AH52" i="1"/>
  <c r="AH90" i="1"/>
  <c r="AH126" i="1"/>
  <c r="AH162" i="1"/>
  <c r="AH198" i="1"/>
  <c r="AH234" i="1"/>
  <c r="AH270" i="1"/>
  <c r="AH306" i="1"/>
  <c r="AH342" i="1"/>
  <c r="AH378" i="1"/>
  <c r="AH414" i="1"/>
  <c r="AH450" i="1"/>
  <c r="AH486" i="1"/>
  <c r="AH522" i="1"/>
  <c r="AH558" i="1"/>
  <c r="AH594" i="1"/>
  <c r="AH620" i="1"/>
  <c r="AH643" i="1"/>
  <c r="AH665" i="1"/>
  <c r="AH682" i="1"/>
  <c r="AH704" i="1"/>
  <c r="AH726" i="1"/>
  <c r="AH743" i="1"/>
  <c r="AH765" i="1"/>
  <c r="AH786" i="1"/>
  <c r="AH802" i="1"/>
  <c r="AH820" i="1"/>
  <c r="AH834" i="1"/>
  <c r="AH848" i="1"/>
  <c r="AH862" i="1"/>
  <c r="AH875" i="1"/>
  <c r="AG3" i="1"/>
  <c r="AG16" i="1"/>
  <c r="AG29" i="1"/>
  <c r="AG41" i="1"/>
  <c r="AG53" i="1"/>
  <c r="AG65" i="1"/>
  <c r="AG77" i="1"/>
  <c r="AG89" i="1"/>
  <c r="AG101" i="1"/>
  <c r="AG113" i="1"/>
  <c r="AG125" i="1"/>
  <c r="AG137" i="1"/>
  <c r="AG149" i="1"/>
  <c r="AG161" i="1"/>
  <c r="AG173" i="1"/>
  <c r="AG185" i="1"/>
  <c r="AG197" i="1"/>
  <c r="AG209" i="1"/>
  <c r="AG221" i="1"/>
  <c r="AG233" i="1"/>
  <c r="AG245" i="1"/>
  <c r="AG257" i="1"/>
  <c r="AG269" i="1"/>
  <c r="AG281" i="1"/>
  <c r="AG293" i="1"/>
  <c r="AG305" i="1"/>
  <c r="AG317" i="1"/>
  <c r="AG329" i="1"/>
  <c r="AG341" i="1"/>
  <c r="AG353" i="1"/>
  <c r="AG365" i="1"/>
  <c r="AG377" i="1"/>
  <c r="AG389" i="1"/>
  <c r="AG401" i="1"/>
  <c r="AG413" i="1"/>
  <c r="AG425" i="1"/>
  <c r="AG437" i="1"/>
  <c r="AG449" i="1"/>
  <c r="AG461" i="1"/>
  <c r="AG473" i="1"/>
  <c r="AG485" i="1"/>
  <c r="AG497" i="1"/>
  <c r="AG509" i="1"/>
  <c r="AG521" i="1"/>
  <c r="AG533" i="1"/>
  <c r="AG545" i="1"/>
  <c r="AG557" i="1"/>
  <c r="AG569" i="1"/>
  <c r="AG581" i="1"/>
  <c r="AG593" i="1"/>
  <c r="AG605" i="1"/>
  <c r="AG617" i="1"/>
  <c r="AG629" i="1"/>
  <c r="AG641" i="1"/>
  <c r="AG653" i="1"/>
  <c r="AG665" i="1"/>
  <c r="AG677" i="1"/>
  <c r="AG689" i="1"/>
  <c r="AG701" i="1"/>
  <c r="AG713" i="1"/>
  <c r="AG725" i="1"/>
  <c r="AG737" i="1"/>
  <c r="AG749" i="1"/>
  <c r="AG761" i="1"/>
  <c r="AG773" i="1"/>
  <c r="AG785" i="1"/>
  <c r="AG797" i="1"/>
  <c r="AG809" i="1"/>
  <c r="AG821" i="1"/>
  <c r="AG833" i="1"/>
  <c r="AG845" i="1"/>
  <c r="AG857" i="1"/>
  <c r="AG869" i="1"/>
  <c r="AG881" i="1"/>
  <c r="AF7" i="1"/>
  <c r="AF19" i="1"/>
  <c r="AF31" i="1"/>
  <c r="AF43" i="1"/>
  <c r="AF55" i="1"/>
  <c r="AF67" i="1"/>
  <c r="AF79" i="1"/>
  <c r="AF91" i="1"/>
  <c r="AF103" i="1"/>
  <c r="AF115" i="1"/>
  <c r="AF127" i="1"/>
  <c r="AF139" i="1"/>
  <c r="AF151" i="1"/>
  <c r="AF163" i="1"/>
  <c r="AF175" i="1"/>
  <c r="AF187" i="1"/>
  <c r="AF199" i="1"/>
  <c r="AF211" i="1"/>
  <c r="AF223" i="1"/>
  <c r="AF235" i="1"/>
  <c r="AF247" i="1"/>
  <c r="AF259" i="1"/>
  <c r="AF271" i="1"/>
  <c r="AF283" i="1"/>
  <c r="AF295" i="1"/>
  <c r="AF307" i="1"/>
  <c r="AF319" i="1"/>
  <c r="AF331" i="1"/>
  <c r="AF343" i="1"/>
  <c r="AF355" i="1"/>
  <c r="AF367" i="1"/>
  <c r="AF379" i="1"/>
  <c r="AF391" i="1"/>
  <c r="AF403" i="1"/>
  <c r="AF415" i="1"/>
  <c r="AF427" i="1"/>
  <c r="AF439" i="1"/>
  <c r="AF451" i="1"/>
  <c r="AF463" i="1"/>
  <c r="AF475" i="1"/>
  <c r="AF487" i="1"/>
  <c r="AF499" i="1"/>
  <c r="AF511" i="1"/>
  <c r="AF523" i="1"/>
  <c r="AF535" i="1"/>
  <c r="AF547" i="1"/>
  <c r="AF559" i="1"/>
  <c r="AF571" i="1"/>
  <c r="AF583" i="1"/>
  <c r="AF595" i="1"/>
  <c r="AF607" i="1"/>
  <c r="AF619" i="1"/>
  <c r="AF631" i="1"/>
  <c r="AJ338" i="1"/>
  <c r="AJ639" i="1"/>
  <c r="AI10" i="1"/>
  <c r="AI213" i="1"/>
  <c r="AI335" i="1"/>
  <c r="AI443" i="1"/>
  <c r="AI551" i="1"/>
  <c r="AI659" i="1"/>
  <c r="AI752" i="1"/>
  <c r="AI814" i="1"/>
  <c r="AI869" i="1"/>
  <c r="AH25" i="1"/>
  <c r="AH66" i="1"/>
  <c r="AH103" i="1"/>
  <c r="AH139" i="1"/>
  <c r="AH175" i="1"/>
  <c r="AH211" i="1"/>
  <c r="AH247" i="1"/>
  <c r="AH283" i="1"/>
  <c r="AH319" i="1"/>
  <c r="AH355" i="1"/>
  <c r="AH391" i="1"/>
  <c r="AH427" i="1"/>
  <c r="AH463" i="1"/>
  <c r="AH499" i="1"/>
  <c r="AH535" i="1"/>
  <c r="AH571" i="1"/>
  <c r="AH606" i="1"/>
  <c r="AH631" i="1"/>
  <c r="AH653" i="1"/>
  <c r="AH670" i="1"/>
  <c r="AH692" i="1"/>
  <c r="AH714" i="1"/>
  <c r="AH731" i="1"/>
  <c r="AH753" i="1"/>
  <c r="AH775" i="1"/>
  <c r="AH791" i="1"/>
  <c r="AH810" i="1"/>
  <c r="AH825" i="1"/>
  <c r="AH839" i="1"/>
  <c r="AH855" i="1"/>
  <c r="AH868" i="1"/>
  <c r="AH881" i="1"/>
  <c r="AG8" i="1"/>
  <c r="AG21" i="1"/>
  <c r="AG46" i="1"/>
  <c r="AG58" i="1"/>
  <c r="AG70" i="1"/>
  <c r="AG82" i="1"/>
  <c r="AG94" i="1"/>
  <c r="AG106" i="1"/>
  <c r="AG118" i="1"/>
  <c r="AG130" i="1"/>
  <c r="AG142" i="1"/>
  <c r="AG154" i="1"/>
  <c r="AG166" i="1"/>
  <c r="AG178" i="1"/>
  <c r="AG190" i="1"/>
  <c r="AG202" i="1"/>
  <c r="AG214" i="1"/>
  <c r="AG226" i="1"/>
  <c r="AG238" i="1"/>
  <c r="AG250" i="1"/>
  <c r="AG262" i="1"/>
  <c r="AG274" i="1"/>
  <c r="AG286" i="1"/>
  <c r="AG298" i="1"/>
  <c r="AG310" i="1"/>
  <c r="AG322" i="1"/>
  <c r="AG334" i="1"/>
  <c r="AG346" i="1"/>
  <c r="AG358" i="1"/>
  <c r="AG370" i="1"/>
  <c r="AG382" i="1"/>
  <c r="AG394" i="1"/>
  <c r="AG406" i="1"/>
  <c r="AG418" i="1"/>
  <c r="AG430" i="1"/>
  <c r="AG442" i="1"/>
  <c r="AG454" i="1"/>
  <c r="AG466" i="1"/>
  <c r="AG478" i="1"/>
  <c r="AG490" i="1"/>
  <c r="AG502" i="1"/>
  <c r="AG514" i="1"/>
  <c r="AG526" i="1"/>
  <c r="AG538" i="1"/>
  <c r="AG550" i="1"/>
  <c r="AG562" i="1"/>
  <c r="AG574" i="1"/>
  <c r="AG586" i="1"/>
  <c r="AG598" i="1"/>
  <c r="AG610" i="1"/>
  <c r="AG622" i="1"/>
  <c r="AG634" i="1"/>
  <c r="AG646" i="1"/>
  <c r="AG658" i="1"/>
  <c r="AG670" i="1"/>
  <c r="AG682" i="1"/>
  <c r="AG694" i="1"/>
  <c r="AG706" i="1"/>
  <c r="AG718" i="1"/>
  <c r="AG730" i="1"/>
  <c r="AG742" i="1"/>
  <c r="AG754" i="1"/>
  <c r="AG766" i="1"/>
  <c r="AG778" i="1"/>
  <c r="AG790" i="1"/>
  <c r="AG802" i="1"/>
  <c r="AG814" i="1"/>
  <c r="AG826" i="1"/>
  <c r="AG838" i="1"/>
  <c r="AG850" i="1"/>
  <c r="AG862" i="1"/>
  <c r="AG874" i="1"/>
  <c r="AG886" i="1"/>
  <c r="AF12" i="1"/>
  <c r="AF24" i="1"/>
  <c r="AF36" i="1"/>
  <c r="AF48" i="1"/>
  <c r="AF60" i="1"/>
  <c r="AF72" i="1"/>
  <c r="AF84" i="1"/>
  <c r="AF96" i="1"/>
  <c r="AF108" i="1"/>
  <c r="AF120" i="1"/>
  <c r="AF132" i="1"/>
  <c r="AF144" i="1"/>
  <c r="AF156" i="1"/>
  <c r="AF168" i="1"/>
  <c r="AJ353" i="1"/>
  <c r="AJ653" i="1"/>
  <c r="AI29" i="1"/>
  <c r="AI223" i="1"/>
  <c r="AI342" i="1"/>
  <c r="AI450" i="1"/>
  <c r="AI558" i="1"/>
  <c r="AI666" i="1"/>
  <c r="AI753" i="1"/>
  <c r="AI815" i="1"/>
  <c r="AI870" i="1"/>
  <c r="AH27" i="1"/>
  <c r="AH67" i="1"/>
  <c r="AH104" i="1"/>
  <c r="AH140" i="1"/>
  <c r="AH176" i="1"/>
  <c r="AH212" i="1"/>
  <c r="AH248" i="1"/>
  <c r="AH284" i="1"/>
  <c r="AH320" i="1"/>
  <c r="AH356" i="1"/>
  <c r="AH392" i="1"/>
  <c r="AH428" i="1"/>
  <c r="AH464" i="1"/>
  <c r="AH500" i="1"/>
  <c r="AH536" i="1"/>
  <c r="AH572" i="1"/>
  <c r="AH607" i="1"/>
  <c r="AH632" i="1"/>
  <c r="AH654" i="1"/>
  <c r="AH671" i="1"/>
  <c r="AH693" i="1"/>
  <c r="AH715" i="1"/>
  <c r="AH737" i="1"/>
  <c r="AH754" i="1"/>
  <c r="AH776" i="1"/>
  <c r="AH795" i="1"/>
  <c r="AH811" i="1"/>
  <c r="AH826" i="1"/>
  <c r="AH842" i="1"/>
  <c r="AH856" i="1"/>
  <c r="AH869" i="1"/>
  <c r="AH882" i="1"/>
  <c r="AG9" i="1"/>
  <c r="AG22" i="1"/>
  <c r="AG35" i="1"/>
  <c r="AG47" i="1"/>
  <c r="AG59" i="1"/>
  <c r="AG71" i="1"/>
  <c r="AG83" i="1"/>
  <c r="AG95" i="1"/>
  <c r="AG107" i="1"/>
  <c r="AG119" i="1"/>
  <c r="AG131" i="1"/>
  <c r="AG143" i="1"/>
  <c r="AG155" i="1"/>
  <c r="AG167" i="1"/>
  <c r="AG179" i="1"/>
  <c r="AG191" i="1"/>
  <c r="AG203" i="1"/>
  <c r="AG215" i="1"/>
  <c r="AG227" i="1"/>
  <c r="AG239" i="1"/>
  <c r="AG251" i="1"/>
  <c r="AG263" i="1"/>
  <c r="AG275" i="1"/>
  <c r="AG287" i="1"/>
  <c r="AG299" i="1"/>
  <c r="AG311" i="1"/>
  <c r="AG323" i="1"/>
  <c r="AG335" i="1"/>
  <c r="AG347" i="1"/>
  <c r="AG359" i="1"/>
  <c r="AG371" i="1"/>
  <c r="AG383" i="1"/>
  <c r="AG395" i="1"/>
  <c r="AG407" i="1"/>
  <c r="AG419" i="1"/>
  <c r="AG431" i="1"/>
  <c r="AG443" i="1"/>
  <c r="AG455" i="1"/>
  <c r="AG467" i="1"/>
  <c r="AG479" i="1"/>
  <c r="AG491" i="1"/>
  <c r="AG503" i="1"/>
  <c r="AG515" i="1"/>
  <c r="AG527" i="1"/>
  <c r="AG539" i="1"/>
  <c r="AG551" i="1"/>
  <c r="AG563" i="1"/>
  <c r="AG575" i="1"/>
  <c r="AG587" i="1"/>
  <c r="AG599" i="1"/>
  <c r="AG611" i="1"/>
  <c r="AG623" i="1"/>
  <c r="AG635" i="1"/>
  <c r="AG647" i="1"/>
  <c r="AG659" i="1"/>
  <c r="AG671" i="1"/>
  <c r="AG683" i="1"/>
  <c r="AG695" i="1"/>
  <c r="AG707" i="1"/>
  <c r="AG719" i="1"/>
  <c r="AG731" i="1"/>
  <c r="AG743" i="1"/>
  <c r="AG755" i="1"/>
  <c r="AG767" i="1"/>
  <c r="AG779" i="1"/>
  <c r="AG791" i="1"/>
  <c r="AG803" i="1"/>
  <c r="AG815" i="1"/>
  <c r="AG827" i="1"/>
  <c r="AG839" i="1"/>
  <c r="AG851" i="1"/>
  <c r="AG863" i="1"/>
  <c r="AG875" i="1"/>
  <c r="AG887" i="1"/>
  <c r="AF13" i="1"/>
  <c r="AF25" i="1"/>
  <c r="AF37" i="1"/>
  <c r="AF49" i="1"/>
  <c r="AF61" i="1"/>
  <c r="AF73" i="1"/>
  <c r="AF85" i="1"/>
  <c r="AF97" i="1"/>
  <c r="AF109" i="1"/>
  <c r="AF121" i="1"/>
  <c r="AF133" i="1"/>
  <c r="AF145" i="1"/>
  <c r="AF157" i="1"/>
  <c r="AF169" i="1"/>
  <c r="AJ102" i="1"/>
  <c r="AJ434" i="1"/>
  <c r="AJ713" i="1"/>
  <c r="AI82" i="1"/>
  <c r="AI256" i="1"/>
  <c r="AI367" i="1"/>
  <c r="AI475" i="1"/>
  <c r="AI583" i="1"/>
  <c r="AI691" i="1"/>
  <c r="AI770" i="1"/>
  <c r="AI833" i="1"/>
  <c r="AI881" i="1"/>
  <c r="AH37" i="1"/>
  <c r="AH77" i="1"/>
  <c r="AH113" i="1"/>
  <c r="AH149" i="1"/>
  <c r="AH185" i="1"/>
  <c r="AH221" i="1"/>
  <c r="AH257" i="1"/>
  <c r="AH293" i="1"/>
  <c r="AH329" i="1"/>
  <c r="AH365" i="1"/>
  <c r="AH401" i="1"/>
  <c r="AH437" i="1"/>
  <c r="AH473" i="1"/>
  <c r="AH509" i="1"/>
  <c r="AH545" i="1"/>
  <c r="AH581" i="1"/>
  <c r="AH608" i="1"/>
  <c r="AH633" i="1"/>
  <c r="AH655" i="1"/>
  <c r="AH677" i="1"/>
  <c r="AH694" i="1"/>
  <c r="AH716" i="1"/>
  <c r="AH738" i="1"/>
  <c r="AH755" i="1"/>
  <c r="AH777" i="1"/>
  <c r="AH797" i="1"/>
  <c r="AH812" i="1"/>
  <c r="AH827" i="1"/>
  <c r="AH843" i="1"/>
  <c r="AH857" i="1"/>
  <c r="AH870" i="1"/>
  <c r="AH883" i="1"/>
  <c r="AG10" i="1"/>
  <c r="AG23" i="1"/>
  <c r="AG36" i="1"/>
  <c r="AG48" i="1"/>
  <c r="AG60" i="1"/>
  <c r="AG72" i="1"/>
  <c r="AG84" i="1"/>
  <c r="AG96" i="1"/>
  <c r="AG108" i="1"/>
  <c r="AG120" i="1"/>
  <c r="AG132" i="1"/>
  <c r="AG144" i="1"/>
  <c r="AG156" i="1"/>
  <c r="AG168" i="1"/>
  <c r="AG180" i="1"/>
  <c r="AG192" i="1"/>
  <c r="AG204" i="1"/>
  <c r="AG216" i="1"/>
  <c r="AG228" i="1"/>
  <c r="AG240" i="1"/>
  <c r="AG252" i="1"/>
  <c r="AG264" i="1"/>
  <c r="AG276" i="1"/>
  <c r="AG288" i="1"/>
  <c r="AG300" i="1"/>
  <c r="AG312" i="1"/>
  <c r="AG324" i="1"/>
  <c r="AG336" i="1"/>
  <c r="AG348" i="1"/>
  <c r="AG360" i="1"/>
  <c r="AG372" i="1"/>
  <c r="AG384" i="1"/>
  <c r="AG396" i="1"/>
  <c r="AG408" i="1"/>
  <c r="AG420" i="1"/>
  <c r="AG432" i="1"/>
  <c r="AG444" i="1"/>
  <c r="AG456" i="1"/>
  <c r="AG468" i="1"/>
  <c r="AG480" i="1"/>
  <c r="AG492" i="1"/>
  <c r="AG504" i="1"/>
  <c r="AG516" i="1"/>
  <c r="AG528" i="1"/>
  <c r="AG540" i="1"/>
  <c r="AG552" i="1"/>
  <c r="AG564" i="1"/>
  <c r="AG576" i="1"/>
  <c r="AG588" i="1"/>
  <c r="AG600" i="1"/>
  <c r="AG612" i="1"/>
  <c r="AG624" i="1"/>
  <c r="AG636" i="1"/>
  <c r="AG648" i="1"/>
  <c r="AG660" i="1"/>
  <c r="AG672" i="1"/>
  <c r="AG684" i="1"/>
  <c r="AG696" i="1"/>
  <c r="AG708" i="1"/>
  <c r="AG720" i="1"/>
  <c r="AG732" i="1"/>
  <c r="AG744" i="1"/>
  <c r="AG756" i="1"/>
  <c r="AG768" i="1"/>
  <c r="AG780" i="1"/>
  <c r="AG792" i="1"/>
  <c r="AG804" i="1"/>
  <c r="AG816" i="1"/>
  <c r="AG828" i="1"/>
  <c r="AG840" i="1"/>
  <c r="AG852" i="1"/>
  <c r="AG864" i="1"/>
  <c r="AG876" i="1"/>
  <c r="AG888" i="1"/>
  <c r="AF14" i="1"/>
  <c r="AF26" i="1"/>
  <c r="AF38" i="1"/>
  <c r="AF50" i="1"/>
  <c r="AF62" i="1"/>
  <c r="AF74" i="1"/>
  <c r="AF86" i="1"/>
  <c r="AF98" i="1"/>
  <c r="AF110" i="1"/>
  <c r="AF122" i="1"/>
  <c r="AF134" i="1"/>
  <c r="AF146" i="1"/>
  <c r="AF158" i="1"/>
  <c r="AF170" i="1"/>
  <c r="AJ245" i="1"/>
  <c r="AI174" i="1"/>
  <c r="AI522" i="1"/>
  <c r="AI798" i="1"/>
  <c r="AH54" i="1"/>
  <c r="AH164" i="1"/>
  <c r="AH272" i="1"/>
  <c r="AH380" i="1"/>
  <c r="AH488" i="1"/>
  <c r="AH596" i="1"/>
  <c r="AH667" i="1"/>
  <c r="AH728" i="1"/>
  <c r="AH788" i="1"/>
  <c r="AH836" i="1"/>
  <c r="AH878" i="1"/>
  <c r="AG31" i="1"/>
  <c r="AG67" i="1"/>
  <c r="AG103" i="1"/>
  <c r="AG139" i="1"/>
  <c r="AG175" i="1"/>
  <c r="AG211" i="1"/>
  <c r="AG247" i="1"/>
  <c r="AG283" i="1"/>
  <c r="AG319" i="1"/>
  <c r="AG355" i="1"/>
  <c r="AG391" i="1"/>
  <c r="AG427" i="1"/>
  <c r="AG463" i="1"/>
  <c r="AG499" i="1"/>
  <c r="AG535" i="1"/>
  <c r="AG571" i="1"/>
  <c r="AG607" i="1"/>
  <c r="AG643" i="1"/>
  <c r="AG679" i="1"/>
  <c r="AG715" i="1"/>
  <c r="AG751" i="1"/>
  <c r="AG787" i="1"/>
  <c r="AG823" i="1"/>
  <c r="AG859" i="1"/>
  <c r="AF9" i="1"/>
  <c r="AF45" i="1"/>
  <c r="AF81" i="1"/>
  <c r="AF117" i="1"/>
  <c r="AF153" i="1"/>
  <c r="AF181" i="1"/>
  <c r="AF203" i="1"/>
  <c r="AF225" i="1"/>
  <c r="AF242" i="1"/>
  <c r="AF264" i="1"/>
  <c r="AF286" i="1"/>
  <c r="AF308" i="1"/>
  <c r="AF325" i="1"/>
  <c r="AF347" i="1"/>
  <c r="AF369" i="1"/>
  <c r="AF386" i="1"/>
  <c r="AF407" i="1"/>
  <c r="AF426" i="1"/>
  <c r="AF443" i="1"/>
  <c r="AF462" i="1"/>
  <c r="AF479" i="1"/>
  <c r="AF498" i="1"/>
  <c r="AF515" i="1"/>
  <c r="AF534" i="1"/>
  <c r="AF549" i="1"/>
  <c r="AF563" i="1"/>
  <c r="AF576" i="1"/>
  <c r="AF589" i="1"/>
  <c r="AF602" i="1"/>
  <c r="AF615" i="1"/>
  <c r="AF628" i="1"/>
  <c r="AF641" i="1"/>
  <c r="AF653" i="1"/>
  <c r="AF665" i="1"/>
  <c r="AF677" i="1"/>
  <c r="AF689" i="1"/>
  <c r="AF701" i="1"/>
  <c r="AF713" i="1"/>
  <c r="AF725" i="1"/>
  <c r="AF737" i="1"/>
  <c r="AF749" i="1"/>
  <c r="AF761" i="1"/>
  <c r="AF773" i="1"/>
  <c r="AF785" i="1"/>
  <c r="AF797" i="1"/>
  <c r="AF809" i="1"/>
  <c r="AF821" i="1"/>
  <c r="AF833" i="1"/>
  <c r="AF845" i="1"/>
  <c r="AF857" i="1"/>
  <c r="AF869" i="1"/>
  <c r="AF881" i="1"/>
  <c r="AE7" i="1"/>
  <c r="AE19" i="1"/>
  <c r="AE31" i="1"/>
  <c r="AE43" i="1"/>
  <c r="AE55" i="1"/>
  <c r="AE67" i="1"/>
  <c r="AE79" i="1"/>
  <c r="AE91" i="1"/>
  <c r="AE103" i="1"/>
  <c r="AE115" i="1"/>
  <c r="AE127" i="1"/>
  <c r="AE139" i="1"/>
  <c r="AE151" i="1"/>
  <c r="AE163" i="1"/>
  <c r="AE175" i="1"/>
  <c r="AE187" i="1"/>
  <c r="AE199" i="1"/>
  <c r="AE211" i="1"/>
  <c r="AE223" i="1"/>
  <c r="AE235" i="1"/>
  <c r="AE247" i="1"/>
  <c r="AE259" i="1"/>
  <c r="AE271" i="1"/>
  <c r="AE283" i="1"/>
  <c r="AE295" i="1"/>
  <c r="AE307" i="1"/>
  <c r="AE319" i="1"/>
  <c r="AE331" i="1"/>
  <c r="AE343" i="1"/>
  <c r="AE355" i="1"/>
  <c r="AE367" i="1"/>
  <c r="AE379" i="1"/>
  <c r="AE391" i="1"/>
  <c r="AE403" i="1"/>
  <c r="AE415" i="1"/>
  <c r="AE427" i="1"/>
  <c r="AE439" i="1"/>
  <c r="AE451" i="1"/>
  <c r="AE463" i="1"/>
  <c r="AE475" i="1"/>
  <c r="AE487" i="1"/>
  <c r="AE499" i="1"/>
  <c r="AE511" i="1"/>
  <c r="AE523" i="1"/>
  <c r="AE535" i="1"/>
  <c r="AE547" i="1"/>
  <c r="AE559" i="1"/>
  <c r="AE571" i="1"/>
  <c r="AE583" i="1"/>
  <c r="AE595" i="1"/>
  <c r="AE607" i="1"/>
  <c r="AE619" i="1"/>
  <c r="AE631" i="1"/>
  <c r="AE643" i="1"/>
  <c r="AE655" i="1"/>
  <c r="AE667" i="1"/>
  <c r="AE679" i="1"/>
  <c r="AE691" i="1"/>
  <c r="AE703" i="1"/>
  <c r="AE715" i="1"/>
  <c r="AE727" i="1"/>
  <c r="AE739" i="1"/>
  <c r="AE751" i="1"/>
  <c r="AE763" i="1"/>
  <c r="AE775" i="1"/>
  <c r="AE787" i="1"/>
  <c r="AE799" i="1"/>
  <c r="AE811" i="1"/>
  <c r="AE823" i="1"/>
  <c r="AE835" i="1"/>
  <c r="AJ326" i="1"/>
  <c r="AI209" i="1"/>
  <c r="AI547" i="1"/>
  <c r="AI812" i="1"/>
  <c r="AH64" i="1"/>
  <c r="AH173" i="1"/>
  <c r="AH281" i="1"/>
  <c r="AH389" i="1"/>
  <c r="AH497" i="1"/>
  <c r="AH597" i="1"/>
  <c r="AH668" i="1"/>
  <c r="AH729" i="1"/>
  <c r="AH789" i="1"/>
  <c r="AH837" i="1"/>
  <c r="AH879" i="1"/>
  <c r="AG32" i="1"/>
  <c r="AG68" i="1"/>
  <c r="AG104" i="1"/>
  <c r="AG140" i="1"/>
  <c r="AG176" i="1"/>
  <c r="AG212" i="1"/>
  <c r="AG248" i="1"/>
  <c r="AG284" i="1"/>
  <c r="AG320" i="1"/>
  <c r="AG356" i="1"/>
  <c r="AG392" i="1"/>
  <c r="AG428" i="1"/>
  <c r="AG464" i="1"/>
  <c r="AG500" i="1"/>
  <c r="AG536" i="1"/>
  <c r="AG572" i="1"/>
  <c r="AG608" i="1"/>
  <c r="AG644" i="1"/>
  <c r="AG680" i="1"/>
  <c r="AG716" i="1"/>
  <c r="AG752" i="1"/>
  <c r="AG788" i="1"/>
  <c r="AG824" i="1"/>
  <c r="AG860" i="1"/>
  <c r="AF10" i="1"/>
  <c r="AF46" i="1"/>
  <c r="AF82" i="1"/>
  <c r="AF118" i="1"/>
  <c r="AF154" i="1"/>
  <c r="AF182" i="1"/>
  <c r="AF204" i="1"/>
  <c r="AF226" i="1"/>
  <c r="AF248" i="1"/>
  <c r="AF265" i="1"/>
  <c r="AF287" i="1"/>
  <c r="AF309" i="1"/>
  <c r="AF326" i="1"/>
  <c r="AF348" i="1"/>
  <c r="AF370" i="1"/>
  <c r="AF392" i="1"/>
  <c r="AF408" i="1"/>
  <c r="AF428" i="1"/>
  <c r="AF444" i="1"/>
  <c r="AF464" i="1"/>
  <c r="AF480" i="1"/>
  <c r="AF500" i="1"/>
  <c r="AF516" i="1"/>
  <c r="AF536" i="1"/>
  <c r="AF550" i="1"/>
  <c r="AF564" i="1"/>
  <c r="AF577" i="1"/>
  <c r="AF590" i="1"/>
  <c r="AF603" i="1"/>
  <c r="AF616" i="1"/>
  <c r="AF629" i="1"/>
  <c r="AF642" i="1"/>
  <c r="AF654" i="1"/>
  <c r="AF666" i="1"/>
  <c r="AF678" i="1"/>
  <c r="AF690" i="1"/>
  <c r="AF702" i="1"/>
  <c r="AF714" i="1"/>
  <c r="AF726" i="1"/>
  <c r="AF738" i="1"/>
  <c r="AF750" i="1"/>
  <c r="AF762" i="1"/>
  <c r="AF774" i="1"/>
  <c r="AF786" i="1"/>
  <c r="AF798" i="1"/>
  <c r="AF810" i="1"/>
  <c r="AF822" i="1"/>
  <c r="AF834" i="1"/>
  <c r="AF846" i="1"/>
  <c r="AF858" i="1"/>
  <c r="AF870" i="1"/>
  <c r="AF882" i="1"/>
  <c r="AE8" i="1"/>
  <c r="AE20" i="1"/>
  <c r="AE32" i="1"/>
  <c r="AE44" i="1"/>
  <c r="AE56" i="1"/>
  <c r="AE68" i="1"/>
  <c r="AE80" i="1"/>
  <c r="AE92" i="1"/>
  <c r="AE104" i="1"/>
  <c r="AE116" i="1"/>
  <c r="AE128" i="1"/>
  <c r="AE140" i="1"/>
  <c r="AE152" i="1"/>
  <c r="AE164" i="1"/>
  <c r="AE176" i="1"/>
  <c r="AE188" i="1"/>
  <c r="AE200" i="1"/>
  <c r="AE212" i="1"/>
  <c r="AE224" i="1"/>
  <c r="AE236" i="1"/>
  <c r="AE248" i="1"/>
  <c r="AE260" i="1"/>
  <c r="AE272" i="1"/>
  <c r="AE284" i="1"/>
  <c r="AE296" i="1"/>
  <c r="AE308" i="1"/>
  <c r="AE320" i="1"/>
  <c r="AE332" i="1"/>
  <c r="AE344" i="1"/>
  <c r="AE356" i="1"/>
  <c r="AE368" i="1"/>
  <c r="AE380" i="1"/>
  <c r="AE392" i="1"/>
  <c r="AE404" i="1"/>
  <c r="AE416" i="1"/>
  <c r="AE428" i="1"/>
  <c r="AE440" i="1"/>
  <c r="AE452" i="1"/>
  <c r="AE464" i="1"/>
  <c r="AE476" i="1"/>
  <c r="AE488" i="1"/>
  <c r="AE500" i="1"/>
  <c r="AE512" i="1"/>
  <c r="AE524" i="1"/>
  <c r="AE536" i="1"/>
  <c r="AE548" i="1"/>
  <c r="AE560" i="1"/>
  <c r="AE572" i="1"/>
  <c r="AE584" i="1"/>
  <c r="AE596" i="1"/>
  <c r="AE608" i="1"/>
  <c r="AE620" i="1"/>
  <c r="AE632" i="1"/>
  <c r="AE644" i="1"/>
  <c r="AE656" i="1"/>
  <c r="AE668" i="1"/>
  <c r="AE680" i="1"/>
  <c r="AE692" i="1"/>
  <c r="AE704" i="1"/>
  <c r="AE716" i="1"/>
  <c r="AE728" i="1"/>
  <c r="AE740" i="1"/>
  <c r="AE752" i="1"/>
  <c r="AE764" i="1"/>
  <c r="AE776" i="1"/>
  <c r="AE788" i="1"/>
  <c r="AE800" i="1"/>
  <c r="AE812" i="1"/>
  <c r="AE824" i="1"/>
  <c r="AE836" i="1"/>
  <c r="AE848" i="1"/>
  <c r="AE860" i="1"/>
  <c r="AE872" i="1"/>
  <c r="AE884" i="1"/>
  <c r="AD10" i="1"/>
  <c r="AD22" i="1"/>
  <c r="AD46" i="1"/>
  <c r="AD58" i="1"/>
  <c r="AJ327" i="1"/>
  <c r="AI210" i="1"/>
  <c r="AI548" i="1"/>
  <c r="AI813" i="1"/>
  <c r="AH65" i="1"/>
  <c r="AH174" i="1"/>
  <c r="AH282" i="1"/>
  <c r="AH390" i="1"/>
  <c r="AH498" i="1"/>
  <c r="AH605" i="1"/>
  <c r="AH669" i="1"/>
  <c r="AH730" i="1"/>
  <c r="AH790" i="1"/>
  <c r="AH838" i="1"/>
  <c r="AH880" i="1"/>
  <c r="AG33" i="1"/>
  <c r="AG69" i="1"/>
  <c r="AG105" i="1"/>
  <c r="AG141" i="1"/>
  <c r="AG177" i="1"/>
  <c r="AG213" i="1"/>
  <c r="AG249" i="1"/>
  <c r="AG285" i="1"/>
  <c r="AG321" i="1"/>
  <c r="AG357" i="1"/>
  <c r="AG393" i="1"/>
  <c r="AG429" i="1"/>
  <c r="AG465" i="1"/>
  <c r="AG501" i="1"/>
  <c r="AG537" i="1"/>
  <c r="AG573" i="1"/>
  <c r="AG609" i="1"/>
  <c r="AG645" i="1"/>
  <c r="AG681" i="1"/>
  <c r="AG717" i="1"/>
  <c r="AG753" i="1"/>
  <c r="AG789" i="1"/>
  <c r="AG825" i="1"/>
  <c r="AG861" i="1"/>
  <c r="AF11" i="1"/>
  <c r="AF47" i="1"/>
  <c r="AF83" i="1"/>
  <c r="AF119" i="1"/>
  <c r="AF155" i="1"/>
  <c r="AF188" i="1"/>
  <c r="AF205" i="1"/>
  <c r="AF227" i="1"/>
  <c r="AF249" i="1"/>
  <c r="AF266" i="1"/>
  <c r="AF288" i="1"/>
  <c r="AF310" i="1"/>
  <c r="AF332" i="1"/>
  <c r="AF349" i="1"/>
  <c r="AF371" i="1"/>
  <c r="AF393" i="1"/>
  <c r="AF409" i="1"/>
  <c r="AF429" i="1"/>
  <c r="AF445" i="1"/>
  <c r="AF465" i="1"/>
  <c r="AF481" i="1"/>
  <c r="AF501" i="1"/>
  <c r="AF517" i="1"/>
  <c r="AF537" i="1"/>
  <c r="AF551" i="1"/>
  <c r="AF565" i="1"/>
  <c r="AF578" i="1"/>
  <c r="AF591" i="1"/>
  <c r="AF604" i="1"/>
  <c r="AF617" i="1"/>
  <c r="AF630" i="1"/>
  <c r="AF643" i="1"/>
  <c r="AF655" i="1"/>
  <c r="AF667" i="1"/>
  <c r="AF679" i="1"/>
  <c r="AF691" i="1"/>
  <c r="AF703" i="1"/>
  <c r="AF715" i="1"/>
  <c r="AF727" i="1"/>
  <c r="AF739" i="1"/>
  <c r="AF751" i="1"/>
  <c r="AF763" i="1"/>
  <c r="AF775" i="1"/>
  <c r="AF787" i="1"/>
  <c r="AF799" i="1"/>
  <c r="AF811" i="1"/>
  <c r="AF823" i="1"/>
  <c r="AF835" i="1"/>
  <c r="AF847" i="1"/>
  <c r="AF859" i="1"/>
  <c r="AF871" i="1"/>
  <c r="AF883" i="1"/>
  <c r="AE9" i="1"/>
  <c r="AE21" i="1"/>
  <c r="AE33" i="1"/>
  <c r="AE45" i="1"/>
  <c r="AE57" i="1"/>
  <c r="AE69" i="1"/>
  <c r="AE81" i="1"/>
  <c r="AE93" i="1"/>
  <c r="AE105" i="1"/>
  <c r="AE117" i="1"/>
  <c r="AE129" i="1"/>
  <c r="AE141" i="1"/>
  <c r="AE153" i="1"/>
  <c r="AE165" i="1"/>
  <c r="AE177" i="1"/>
  <c r="AE189" i="1"/>
  <c r="AE201" i="1"/>
  <c r="AE213" i="1"/>
  <c r="AE225" i="1"/>
  <c r="AE237" i="1"/>
  <c r="AE249" i="1"/>
  <c r="AE261" i="1"/>
  <c r="AE273" i="1"/>
  <c r="AE285" i="1"/>
  <c r="AE297" i="1"/>
  <c r="AE309" i="1"/>
  <c r="AE321" i="1"/>
  <c r="AE333" i="1"/>
  <c r="AE345" i="1"/>
  <c r="AE357" i="1"/>
  <c r="AE369" i="1"/>
  <c r="AE381" i="1"/>
  <c r="AE393" i="1"/>
  <c r="AE405" i="1"/>
  <c r="AE417" i="1"/>
  <c r="AE429" i="1"/>
  <c r="AE441" i="1"/>
  <c r="AE453" i="1"/>
  <c r="AE465" i="1"/>
  <c r="AE477" i="1"/>
  <c r="AE489" i="1"/>
  <c r="AE501" i="1"/>
  <c r="AE513" i="1"/>
  <c r="AE525" i="1"/>
  <c r="AE537" i="1"/>
  <c r="AE549" i="1"/>
  <c r="AE561" i="1"/>
  <c r="AE573" i="1"/>
  <c r="AE585" i="1"/>
  <c r="AE597" i="1"/>
  <c r="AE609" i="1"/>
  <c r="AE621" i="1"/>
  <c r="AE633" i="1"/>
  <c r="AE645" i="1"/>
  <c r="AE657" i="1"/>
  <c r="AE669" i="1"/>
  <c r="AE681" i="1"/>
  <c r="AE693" i="1"/>
  <c r="AE705" i="1"/>
  <c r="AE717" i="1"/>
  <c r="AE729" i="1"/>
  <c r="AE741" i="1"/>
  <c r="AE753" i="1"/>
  <c r="AE765" i="1"/>
  <c r="AE777" i="1"/>
  <c r="AE789" i="1"/>
  <c r="AE801" i="1"/>
  <c r="AE813" i="1"/>
  <c r="AE825" i="1"/>
  <c r="AE837" i="1"/>
  <c r="AJ554" i="1"/>
  <c r="AI299" i="1"/>
  <c r="AI623" i="1"/>
  <c r="AI851" i="1"/>
  <c r="AH91" i="1"/>
  <c r="AH199" i="1"/>
  <c r="AH307" i="1"/>
  <c r="AH415" i="1"/>
  <c r="AH523" i="1"/>
  <c r="AH621" i="1"/>
  <c r="AH683" i="1"/>
  <c r="AH749" i="1"/>
  <c r="AH803" i="1"/>
  <c r="AH849" i="1"/>
  <c r="AG4" i="1"/>
  <c r="AG42" i="1"/>
  <c r="AG78" i="1"/>
  <c r="AG114" i="1"/>
  <c r="AG150" i="1"/>
  <c r="AG186" i="1"/>
  <c r="AG222" i="1"/>
  <c r="AG258" i="1"/>
  <c r="AG294" i="1"/>
  <c r="AG330" i="1"/>
  <c r="AG366" i="1"/>
  <c r="AG402" i="1"/>
  <c r="AG438" i="1"/>
  <c r="AG474" i="1"/>
  <c r="AG510" i="1"/>
  <c r="AG546" i="1"/>
  <c r="AG582" i="1"/>
  <c r="AG618" i="1"/>
  <c r="AG654" i="1"/>
  <c r="AG690" i="1"/>
  <c r="AG726" i="1"/>
  <c r="AG762" i="1"/>
  <c r="AG798" i="1"/>
  <c r="AG834" i="1"/>
  <c r="AG870" i="1"/>
  <c r="AF20" i="1"/>
  <c r="AF56" i="1"/>
  <c r="AF92" i="1"/>
  <c r="AF128" i="1"/>
  <c r="AF164" i="1"/>
  <c r="AF189" i="1"/>
  <c r="AF206" i="1"/>
  <c r="AF228" i="1"/>
  <c r="AF250" i="1"/>
  <c r="AF272" i="1"/>
  <c r="AF289" i="1"/>
  <c r="AF311" i="1"/>
  <c r="AF333" i="1"/>
  <c r="AF350" i="1"/>
  <c r="AF372" i="1"/>
  <c r="AF394" i="1"/>
  <c r="AF410" i="1"/>
  <c r="AF430" i="1"/>
  <c r="AF446" i="1"/>
  <c r="AF466" i="1"/>
  <c r="AF482" i="1"/>
  <c r="AF502" i="1"/>
  <c r="AF518" i="1"/>
  <c r="AF538" i="1"/>
  <c r="AF552" i="1"/>
  <c r="AF566" i="1"/>
  <c r="AF579" i="1"/>
  <c r="AF592" i="1"/>
  <c r="AF605" i="1"/>
  <c r="AF618" i="1"/>
  <c r="AF632" i="1"/>
  <c r="AF644" i="1"/>
  <c r="AF656" i="1"/>
  <c r="AF668" i="1"/>
  <c r="AF680" i="1"/>
  <c r="AF692" i="1"/>
  <c r="AF704" i="1"/>
  <c r="AF716" i="1"/>
  <c r="AF728" i="1"/>
  <c r="AF740" i="1"/>
  <c r="AF752" i="1"/>
  <c r="AF764" i="1"/>
  <c r="AF776" i="1"/>
  <c r="AF788" i="1"/>
  <c r="AF800" i="1"/>
  <c r="AF812" i="1"/>
  <c r="AF824" i="1"/>
  <c r="AF836" i="1"/>
  <c r="AF848" i="1"/>
  <c r="AF860" i="1"/>
  <c r="AF872" i="1"/>
  <c r="AF884" i="1"/>
  <c r="AE10" i="1"/>
  <c r="AE22" i="1"/>
  <c r="AE46" i="1"/>
  <c r="AE58" i="1"/>
  <c r="AE70" i="1"/>
  <c r="AE82" i="1"/>
  <c r="AE94" i="1"/>
  <c r="AE106" i="1"/>
  <c r="AE118" i="1"/>
  <c r="AE130" i="1"/>
  <c r="AE142" i="1"/>
  <c r="AE154" i="1"/>
  <c r="AE166" i="1"/>
  <c r="AE178" i="1"/>
  <c r="AE190" i="1"/>
  <c r="AE202" i="1"/>
  <c r="AE214" i="1"/>
  <c r="AE226" i="1"/>
  <c r="AE238" i="1"/>
  <c r="AE250" i="1"/>
  <c r="AE262" i="1"/>
  <c r="AE274" i="1"/>
  <c r="AE286" i="1"/>
  <c r="AE298" i="1"/>
  <c r="AE310" i="1"/>
  <c r="AE322" i="1"/>
  <c r="AE334" i="1"/>
  <c r="AE346" i="1"/>
  <c r="AE358" i="1"/>
  <c r="AE370" i="1"/>
  <c r="AE382" i="1"/>
  <c r="AE394" i="1"/>
  <c r="AE406" i="1"/>
  <c r="AE418" i="1"/>
  <c r="AE430" i="1"/>
  <c r="AE442" i="1"/>
  <c r="AJ568" i="1"/>
  <c r="AI306" i="1"/>
  <c r="AI630" i="1"/>
  <c r="AI854" i="1"/>
  <c r="AH92" i="1"/>
  <c r="AH200" i="1"/>
  <c r="AH308" i="1"/>
  <c r="AH416" i="1"/>
  <c r="AH524" i="1"/>
  <c r="AH623" i="1"/>
  <c r="AH689" i="1"/>
  <c r="AH750" i="1"/>
  <c r="AH807" i="1"/>
  <c r="AH850" i="1"/>
  <c r="AG5" i="1"/>
  <c r="AG43" i="1"/>
  <c r="AG79" i="1"/>
  <c r="AG115" i="1"/>
  <c r="AG151" i="1"/>
  <c r="AG187" i="1"/>
  <c r="AG223" i="1"/>
  <c r="AG259" i="1"/>
  <c r="AG295" i="1"/>
  <c r="AG331" i="1"/>
  <c r="AG367" i="1"/>
  <c r="AG403" i="1"/>
  <c r="AG439" i="1"/>
  <c r="AG475" i="1"/>
  <c r="AG511" i="1"/>
  <c r="AG547" i="1"/>
  <c r="AG583" i="1"/>
  <c r="AG619" i="1"/>
  <c r="AG655" i="1"/>
  <c r="AG691" i="1"/>
  <c r="AG727" i="1"/>
  <c r="AG763" i="1"/>
  <c r="AG799" i="1"/>
  <c r="AG835" i="1"/>
  <c r="AG871" i="1"/>
  <c r="AF21" i="1"/>
  <c r="AF57" i="1"/>
  <c r="AF93" i="1"/>
  <c r="AF129" i="1"/>
  <c r="AF165" i="1"/>
  <c r="AF190" i="1"/>
  <c r="AF212" i="1"/>
  <c r="AF229" i="1"/>
  <c r="AF251" i="1"/>
  <c r="AF273" i="1"/>
  <c r="AF290" i="1"/>
  <c r="AF312" i="1"/>
  <c r="AF334" i="1"/>
  <c r="AF356" i="1"/>
  <c r="AF373" i="1"/>
  <c r="AF395" i="1"/>
  <c r="AF414" i="1"/>
  <c r="AF431" i="1"/>
  <c r="AF450" i="1"/>
  <c r="AF467" i="1"/>
  <c r="AF486" i="1"/>
  <c r="AF503" i="1"/>
  <c r="AF522" i="1"/>
  <c r="AF539" i="1"/>
  <c r="AF553" i="1"/>
  <c r="AF567" i="1"/>
  <c r="AF580" i="1"/>
  <c r="AF593" i="1"/>
  <c r="AF606" i="1"/>
  <c r="AF620" i="1"/>
  <c r="AF633" i="1"/>
  <c r="AF645" i="1"/>
  <c r="AF657" i="1"/>
  <c r="AF669" i="1"/>
  <c r="AF681" i="1"/>
  <c r="AF693" i="1"/>
  <c r="AF705" i="1"/>
  <c r="AF717" i="1"/>
  <c r="AF729" i="1"/>
  <c r="AF741" i="1"/>
  <c r="AF753" i="1"/>
  <c r="AF765" i="1"/>
  <c r="AF777" i="1"/>
  <c r="AF789" i="1"/>
  <c r="AF801" i="1"/>
  <c r="AF813" i="1"/>
  <c r="AF825" i="1"/>
  <c r="AF837" i="1"/>
  <c r="AF849" i="1"/>
  <c r="AF861" i="1"/>
  <c r="AF873" i="1"/>
  <c r="AF885" i="1"/>
  <c r="AE11" i="1"/>
  <c r="AE23" i="1"/>
  <c r="AE35" i="1"/>
  <c r="AE47" i="1"/>
  <c r="AE59" i="1"/>
  <c r="AE71" i="1"/>
  <c r="AE83" i="1"/>
  <c r="AE95" i="1"/>
  <c r="AE107" i="1"/>
  <c r="AE119" i="1"/>
  <c r="AE131" i="1"/>
  <c r="AE143" i="1"/>
  <c r="AE155" i="1"/>
  <c r="AE167" i="1"/>
  <c r="AE179" i="1"/>
  <c r="AE191" i="1"/>
  <c r="AE203" i="1"/>
  <c r="AE215" i="1"/>
  <c r="AE227" i="1"/>
  <c r="AE239" i="1"/>
  <c r="AE251" i="1"/>
  <c r="AE263" i="1"/>
  <c r="AE275" i="1"/>
  <c r="AE287" i="1"/>
  <c r="AE299" i="1"/>
  <c r="AE311" i="1"/>
  <c r="AE323" i="1"/>
  <c r="AE335" i="1"/>
  <c r="AE347" i="1"/>
  <c r="AE359" i="1"/>
  <c r="AE371" i="1"/>
  <c r="AE383" i="1"/>
  <c r="AE395" i="1"/>
  <c r="AE407" i="1"/>
  <c r="AE419" i="1"/>
  <c r="AE431" i="1"/>
  <c r="AE443" i="1"/>
  <c r="AE455" i="1"/>
  <c r="AE467" i="1"/>
  <c r="AE479" i="1"/>
  <c r="AE491" i="1"/>
  <c r="AE503" i="1"/>
  <c r="AE515" i="1"/>
  <c r="AE527" i="1"/>
  <c r="AE539" i="1"/>
  <c r="AE551" i="1"/>
  <c r="AE563" i="1"/>
  <c r="AE575" i="1"/>
  <c r="AE587" i="1"/>
  <c r="AE599" i="1"/>
  <c r="AE611" i="1"/>
  <c r="AE623" i="1"/>
  <c r="AE635" i="1"/>
  <c r="AE647" i="1"/>
  <c r="AE659" i="1"/>
  <c r="AE671" i="1"/>
  <c r="AE683" i="1"/>
  <c r="AE695" i="1"/>
  <c r="AE707" i="1"/>
  <c r="AE719" i="1"/>
  <c r="AE731" i="1"/>
  <c r="AE743" i="1"/>
  <c r="AE755" i="1"/>
  <c r="AE767" i="1"/>
  <c r="AE779" i="1"/>
  <c r="AE791" i="1"/>
  <c r="AE803" i="1"/>
  <c r="AE815" i="1"/>
  <c r="AJ628" i="1"/>
  <c r="AI4" i="1"/>
  <c r="AI439" i="1"/>
  <c r="AI750" i="1"/>
  <c r="AH23" i="1"/>
  <c r="AH137" i="1"/>
  <c r="AH245" i="1"/>
  <c r="AH353" i="1"/>
  <c r="AH461" i="1"/>
  <c r="AH569" i="1"/>
  <c r="AH646" i="1"/>
  <c r="AH707" i="1"/>
  <c r="AH773" i="1"/>
  <c r="AH823" i="1"/>
  <c r="AH866" i="1"/>
  <c r="AG19" i="1"/>
  <c r="AG56" i="1"/>
  <c r="AG92" i="1"/>
  <c r="AG128" i="1"/>
  <c r="AG164" i="1"/>
  <c r="AG200" i="1"/>
  <c r="AG236" i="1"/>
  <c r="AG272" i="1"/>
  <c r="AG308" i="1"/>
  <c r="AG344" i="1"/>
  <c r="AG380" i="1"/>
  <c r="AG416" i="1"/>
  <c r="AG452" i="1"/>
  <c r="AG488" i="1"/>
  <c r="AG524" i="1"/>
  <c r="AG560" i="1"/>
  <c r="AG596" i="1"/>
  <c r="AG632" i="1"/>
  <c r="AG668" i="1"/>
  <c r="AG704" i="1"/>
  <c r="AG740" i="1"/>
  <c r="AG776" i="1"/>
  <c r="AG812" i="1"/>
  <c r="AG848" i="1"/>
  <c r="AG884" i="1"/>
  <c r="AF70" i="1"/>
  <c r="AF106" i="1"/>
  <c r="AF142" i="1"/>
  <c r="AF178" i="1"/>
  <c r="AF200" i="1"/>
  <c r="AF217" i="1"/>
  <c r="AF239" i="1"/>
  <c r="AF261" i="1"/>
  <c r="AF278" i="1"/>
  <c r="AF300" i="1"/>
  <c r="AF322" i="1"/>
  <c r="AF344" i="1"/>
  <c r="AF361" i="1"/>
  <c r="AF383" i="1"/>
  <c r="AF404" i="1"/>
  <c r="AF420" i="1"/>
  <c r="AF440" i="1"/>
  <c r="AF456" i="1"/>
  <c r="AF476" i="1"/>
  <c r="AF492" i="1"/>
  <c r="AF512" i="1"/>
  <c r="AF528" i="1"/>
  <c r="AF545" i="1"/>
  <c r="AF560" i="1"/>
  <c r="AF573" i="1"/>
  <c r="AF586" i="1"/>
  <c r="AF599" i="1"/>
  <c r="AF612" i="1"/>
  <c r="AF625" i="1"/>
  <c r="AF638" i="1"/>
  <c r="AF650" i="1"/>
  <c r="AF662" i="1"/>
  <c r="AF674" i="1"/>
  <c r="AF686" i="1"/>
  <c r="AF698" i="1"/>
  <c r="AF710" i="1"/>
  <c r="AF722" i="1"/>
  <c r="AF734" i="1"/>
  <c r="AF746" i="1"/>
  <c r="AF758" i="1"/>
  <c r="AF770" i="1"/>
  <c r="AF782" i="1"/>
  <c r="AF794" i="1"/>
  <c r="AF806" i="1"/>
  <c r="AF818" i="1"/>
  <c r="AF830" i="1"/>
  <c r="AF842" i="1"/>
  <c r="AF854" i="1"/>
  <c r="AF866" i="1"/>
  <c r="AF878" i="1"/>
  <c r="AE4" i="1"/>
  <c r="AE16" i="1"/>
  <c r="AE28" i="1"/>
  <c r="AE40" i="1"/>
  <c r="AE52" i="1"/>
  <c r="AE64" i="1"/>
  <c r="AE76" i="1"/>
  <c r="AE88" i="1"/>
  <c r="AE100" i="1"/>
  <c r="AE112" i="1"/>
  <c r="AE124" i="1"/>
  <c r="AE136" i="1"/>
  <c r="AE148" i="1"/>
  <c r="AE160" i="1"/>
  <c r="AE172" i="1"/>
  <c r="AE184" i="1"/>
  <c r="AE196" i="1"/>
  <c r="AE208" i="1"/>
  <c r="AE220" i="1"/>
  <c r="AE232" i="1"/>
  <c r="AE244" i="1"/>
  <c r="AE256" i="1"/>
  <c r="AE268" i="1"/>
  <c r="AE280" i="1"/>
  <c r="AE292" i="1"/>
  <c r="AE304" i="1"/>
  <c r="AE316" i="1"/>
  <c r="AE328" i="1"/>
  <c r="AE340" i="1"/>
  <c r="AE352" i="1"/>
  <c r="AE364" i="1"/>
  <c r="AE376" i="1"/>
  <c r="AE388" i="1"/>
  <c r="AE400" i="1"/>
  <c r="AE412" i="1"/>
  <c r="AE424" i="1"/>
  <c r="AE436" i="1"/>
  <c r="AE448" i="1"/>
  <c r="AE460" i="1"/>
  <c r="AE472" i="1"/>
  <c r="AE484" i="1"/>
  <c r="AE496" i="1"/>
  <c r="AE508" i="1"/>
  <c r="AE520" i="1"/>
  <c r="AI5" i="1"/>
  <c r="AI440" i="1"/>
  <c r="AI751" i="1"/>
  <c r="AH24" i="1"/>
  <c r="AH138" i="1"/>
  <c r="AH246" i="1"/>
  <c r="AH354" i="1"/>
  <c r="AH462" i="1"/>
  <c r="AH570" i="1"/>
  <c r="AH647" i="1"/>
  <c r="AH713" i="1"/>
  <c r="AH774" i="1"/>
  <c r="AH824" i="1"/>
  <c r="AH867" i="1"/>
  <c r="AG20" i="1"/>
  <c r="AG57" i="1"/>
  <c r="AG93" i="1"/>
  <c r="AG129" i="1"/>
  <c r="AG165" i="1"/>
  <c r="AG201" i="1"/>
  <c r="AG237" i="1"/>
  <c r="AG273" i="1"/>
  <c r="AG309" i="1"/>
  <c r="AG345" i="1"/>
  <c r="AG381" i="1"/>
  <c r="AG417" i="1"/>
  <c r="AG453" i="1"/>
  <c r="AG489" i="1"/>
  <c r="AG525" i="1"/>
  <c r="AG561" i="1"/>
  <c r="AG597" i="1"/>
  <c r="AG633" i="1"/>
  <c r="AG669" i="1"/>
  <c r="AG705" i="1"/>
  <c r="AG741" i="1"/>
  <c r="AG777" i="1"/>
  <c r="AG813" i="1"/>
  <c r="AG849" i="1"/>
  <c r="AG885" i="1"/>
  <c r="AF35" i="1"/>
  <c r="AF71" i="1"/>
  <c r="AF107" i="1"/>
  <c r="AF143" i="1"/>
  <c r="AF179" i="1"/>
  <c r="AF201" i="1"/>
  <c r="AF218" i="1"/>
  <c r="AF240" i="1"/>
  <c r="AF262" i="1"/>
  <c r="AF284" i="1"/>
  <c r="AF301" i="1"/>
  <c r="AF323" i="1"/>
  <c r="AF345" i="1"/>
  <c r="AF362" i="1"/>
  <c r="AF384" i="1"/>
  <c r="AF405" i="1"/>
  <c r="AF421" i="1"/>
  <c r="AF441" i="1"/>
  <c r="AF457" i="1"/>
  <c r="AF477" i="1"/>
  <c r="AF493" i="1"/>
  <c r="AF513" i="1"/>
  <c r="AF529" i="1"/>
  <c r="AF546" i="1"/>
  <c r="AF561" i="1"/>
  <c r="AF574" i="1"/>
  <c r="AF587" i="1"/>
  <c r="AF600" i="1"/>
  <c r="AF613" i="1"/>
  <c r="AF626" i="1"/>
  <c r="AF639" i="1"/>
  <c r="AF651" i="1"/>
  <c r="AF663" i="1"/>
  <c r="AF675" i="1"/>
  <c r="AF687" i="1"/>
  <c r="AF699" i="1"/>
  <c r="AF711" i="1"/>
  <c r="AF723" i="1"/>
  <c r="AF735" i="1"/>
  <c r="AF747" i="1"/>
  <c r="AF759" i="1"/>
  <c r="AF771" i="1"/>
  <c r="AF783" i="1"/>
  <c r="AF795" i="1"/>
  <c r="AF807" i="1"/>
  <c r="AF819" i="1"/>
  <c r="AF831" i="1"/>
  <c r="AF843" i="1"/>
  <c r="AF855" i="1"/>
  <c r="AF867" i="1"/>
  <c r="AF879" i="1"/>
  <c r="AE5" i="1"/>
  <c r="AE17" i="1"/>
  <c r="AE29" i="1"/>
  <c r="AE41" i="1"/>
  <c r="AE53" i="1"/>
  <c r="AE65" i="1"/>
  <c r="AE77" i="1"/>
  <c r="AE89" i="1"/>
  <c r="AE101" i="1"/>
  <c r="AE113" i="1"/>
  <c r="AE125" i="1"/>
  <c r="AE137" i="1"/>
  <c r="AE149" i="1"/>
  <c r="AE161" i="1"/>
  <c r="AE173" i="1"/>
  <c r="AE185" i="1"/>
  <c r="AE197" i="1"/>
  <c r="AE209" i="1"/>
  <c r="AE221" i="1"/>
  <c r="AE233" i="1"/>
  <c r="AE245" i="1"/>
  <c r="AE257" i="1"/>
  <c r="AE269" i="1"/>
  <c r="AE281" i="1"/>
  <c r="AE293" i="1"/>
  <c r="AE305" i="1"/>
  <c r="AE317" i="1"/>
  <c r="AE329" i="1"/>
  <c r="AE341" i="1"/>
  <c r="AE353" i="1"/>
  <c r="AE365" i="1"/>
  <c r="AE377" i="1"/>
  <c r="AE389" i="1"/>
  <c r="AE401" i="1"/>
  <c r="AE413" i="1"/>
  <c r="AE425" i="1"/>
  <c r="AE437" i="1"/>
  <c r="AE449" i="1"/>
  <c r="AE461" i="1"/>
  <c r="AE473" i="1"/>
  <c r="AE485" i="1"/>
  <c r="AE497" i="1"/>
  <c r="AE509" i="1"/>
  <c r="AE521" i="1"/>
  <c r="AE533" i="1"/>
  <c r="AE545" i="1"/>
  <c r="AE557" i="1"/>
  <c r="AE569" i="1"/>
  <c r="AE581" i="1"/>
  <c r="AE593" i="1"/>
  <c r="AE605" i="1"/>
  <c r="AE617" i="1"/>
  <c r="AE629" i="1"/>
  <c r="AE641" i="1"/>
  <c r="AE653" i="1"/>
  <c r="AE665" i="1"/>
  <c r="AE677" i="1"/>
  <c r="AE689" i="1"/>
  <c r="AE701" i="1"/>
  <c r="AE713" i="1"/>
  <c r="AE725" i="1"/>
  <c r="AE737" i="1"/>
  <c r="AE749" i="1"/>
  <c r="AE761" i="1"/>
  <c r="AE773" i="1"/>
  <c r="AE785" i="1"/>
  <c r="AE797" i="1"/>
  <c r="AE809" i="1"/>
  <c r="AE821" i="1"/>
  <c r="AE833" i="1"/>
  <c r="AJ230" i="1"/>
  <c r="AI162" i="1"/>
  <c r="AI515" i="1"/>
  <c r="AI794" i="1"/>
  <c r="AH53" i="1"/>
  <c r="AH163" i="1"/>
  <c r="AH271" i="1"/>
  <c r="AH379" i="1"/>
  <c r="AH487" i="1"/>
  <c r="AH595" i="1"/>
  <c r="AH666" i="1"/>
  <c r="AH727" i="1"/>
  <c r="AH787" i="1"/>
  <c r="AH835" i="1"/>
  <c r="AH877" i="1"/>
  <c r="AG30" i="1"/>
  <c r="AG66" i="1"/>
  <c r="AG102" i="1"/>
  <c r="AG138" i="1"/>
  <c r="AG174" i="1"/>
  <c r="AG210" i="1"/>
  <c r="AG246" i="1"/>
  <c r="AG282" i="1"/>
  <c r="AG318" i="1"/>
  <c r="AG354" i="1"/>
  <c r="AG390" i="1"/>
  <c r="AG426" i="1"/>
  <c r="AG462" i="1"/>
  <c r="AG498" i="1"/>
  <c r="AG534" i="1"/>
  <c r="AG570" i="1"/>
  <c r="AG606" i="1"/>
  <c r="AG642" i="1"/>
  <c r="AG678" i="1"/>
  <c r="AG714" i="1"/>
  <c r="AG750" i="1"/>
  <c r="AG786" i="1"/>
  <c r="AG822" i="1"/>
  <c r="AG858" i="1"/>
  <c r="AF8" i="1"/>
  <c r="AF44" i="1"/>
  <c r="AF80" i="1"/>
  <c r="AF116" i="1"/>
  <c r="AF152" i="1"/>
  <c r="AF180" i="1"/>
  <c r="AF202" i="1"/>
  <c r="AF224" i="1"/>
  <c r="AF241" i="1"/>
  <c r="AF263" i="1"/>
  <c r="AF285" i="1"/>
  <c r="AF302" i="1"/>
  <c r="AF324" i="1"/>
  <c r="AF346" i="1"/>
  <c r="AF368" i="1"/>
  <c r="AF385" i="1"/>
  <c r="AF406" i="1"/>
  <c r="AF422" i="1"/>
  <c r="AF442" i="1"/>
  <c r="AF458" i="1"/>
  <c r="AF478" i="1"/>
  <c r="AF494" i="1"/>
  <c r="AF514" i="1"/>
  <c r="AF530" i="1"/>
  <c r="AF548" i="1"/>
  <c r="AF562" i="1"/>
  <c r="AF575" i="1"/>
  <c r="AF588" i="1"/>
  <c r="AF601" i="1"/>
  <c r="AF614" i="1"/>
  <c r="AF627" i="1"/>
  <c r="AF640" i="1"/>
  <c r="AF652" i="1"/>
  <c r="AF664" i="1"/>
  <c r="AF676" i="1"/>
  <c r="AF688" i="1"/>
  <c r="AF700" i="1"/>
  <c r="AF712" i="1"/>
  <c r="AF724" i="1"/>
  <c r="AF736" i="1"/>
  <c r="AF748" i="1"/>
  <c r="AF760" i="1"/>
  <c r="AF772" i="1"/>
  <c r="AF784" i="1"/>
  <c r="AF796" i="1"/>
  <c r="AF808" i="1"/>
  <c r="AF820" i="1"/>
  <c r="AF832" i="1"/>
  <c r="AF844" i="1"/>
  <c r="AF856" i="1"/>
  <c r="AF868" i="1"/>
  <c r="AF880" i="1"/>
  <c r="AE6" i="1"/>
  <c r="AE18" i="1"/>
  <c r="AE30" i="1"/>
  <c r="AE42" i="1"/>
  <c r="AE54" i="1"/>
  <c r="AE66" i="1"/>
  <c r="AE78" i="1"/>
  <c r="AE90" i="1"/>
  <c r="AE102" i="1"/>
  <c r="AE114" i="1"/>
  <c r="AE126" i="1"/>
  <c r="AE138" i="1"/>
  <c r="AE150" i="1"/>
  <c r="AE162" i="1"/>
  <c r="AE174" i="1"/>
  <c r="AE186" i="1"/>
  <c r="AE198" i="1"/>
  <c r="AE210" i="1"/>
  <c r="AE222" i="1"/>
  <c r="AE234" i="1"/>
  <c r="AE246" i="1"/>
  <c r="AE258" i="1"/>
  <c r="AE270" i="1"/>
  <c r="AE282" i="1"/>
  <c r="AE294" i="1"/>
  <c r="AE306" i="1"/>
  <c r="AE318" i="1"/>
  <c r="AE330" i="1"/>
  <c r="AE342" i="1"/>
  <c r="AE354" i="1"/>
  <c r="AE366" i="1"/>
  <c r="AE378" i="1"/>
  <c r="AE390" i="1"/>
  <c r="AE402" i="1"/>
  <c r="AE414" i="1"/>
  <c r="AE426" i="1"/>
  <c r="AE438" i="1"/>
  <c r="AE450" i="1"/>
  <c r="AE462" i="1"/>
  <c r="AE474" i="1"/>
  <c r="AE486" i="1"/>
  <c r="AE498" i="1"/>
  <c r="AE510" i="1"/>
  <c r="AE522" i="1"/>
  <c r="AE534" i="1"/>
  <c r="AE546" i="1"/>
  <c r="AE558" i="1"/>
  <c r="AE570" i="1"/>
  <c r="AE582" i="1"/>
  <c r="AE594" i="1"/>
  <c r="AE606" i="1"/>
  <c r="AE618" i="1"/>
  <c r="AE630" i="1"/>
  <c r="AE642" i="1"/>
  <c r="AE654" i="1"/>
  <c r="AE666" i="1"/>
  <c r="AE678" i="1"/>
  <c r="AE690" i="1"/>
  <c r="AE702" i="1"/>
  <c r="AE714" i="1"/>
  <c r="AE726" i="1"/>
  <c r="AE738" i="1"/>
  <c r="AE750" i="1"/>
  <c r="AE762" i="1"/>
  <c r="AE774" i="1"/>
  <c r="AE786" i="1"/>
  <c r="AE798" i="1"/>
  <c r="AE810" i="1"/>
  <c r="AE822" i="1"/>
  <c r="AE834" i="1"/>
  <c r="AJ809" i="1"/>
  <c r="AH11" i="1"/>
  <c r="AH343" i="1"/>
  <c r="AH644" i="1"/>
  <c r="AH821" i="1"/>
  <c r="AG54" i="1"/>
  <c r="AG162" i="1"/>
  <c r="AG270" i="1"/>
  <c r="AG378" i="1"/>
  <c r="AG486" i="1"/>
  <c r="AG594" i="1"/>
  <c r="AG702" i="1"/>
  <c r="AG810" i="1"/>
  <c r="AF32" i="1"/>
  <c r="AF140" i="1"/>
  <c r="AF215" i="1"/>
  <c r="AF276" i="1"/>
  <c r="AF337" i="1"/>
  <c r="AF398" i="1"/>
  <c r="AF454" i="1"/>
  <c r="AF506" i="1"/>
  <c r="AF557" i="1"/>
  <c r="AF597" i="1"/>
  <c r="AF636" i="1"/>
  <c r="AF672" i="1"/>
  <c r="AF708" i="1"/>
  <c r="AF744" i="1"/>
  <c r="AF780" i="1"/>
  <c r="AF816" i="1"/>
  <c r="AF852" i="1"/>
  <c r="AF888" i="1"/>
  <c r="AE38" i="1"/>
  <c r="AE74" i="1"/>
  <c r="AE110" i="1"/>
  <c r="AE146" i="1"/>
  <c r="AE182" i="1"/>
  <c r="AE218" i="1"/>
  <c r="AE254" i="1"/>
  <c r="AE290" i="1"/>
  <c r="AE326" i="1"/>
  <c r="AE362" i="1"/>
  <c r="AE398" i="1"/>
  <c r="AE434" i="1"/>
  <c r="AE468" i="1"/>
  <c r="AE494" i="1"/>
  <c r="AE526" i="1"/>
  <c r="AE550" i="1"/>
  <c r="AE574" i="1"/>
  <c r="AE598" i="1"/>
  <c r="AE622" i="1"/>
  <c r="AE646" i="1"/>
  <c r="AE670" i="1"/>
  <c r="AE694" i="1"/>
  <c r="AE718" i="1"/>
  <c r="AE742" i="1"/>
  <c r="AE766" i="1"/>
  <c r="AE790" i="1"/>
  <c r="AE814" i="1"/>
  <c r="AE832" i="1"/>
  <c r="AE850" i="1"/>
  <c r="AE863" i="1"/>
  <c r="AE876" i="1"/>
  <c r="AD3" i="1"/>
  <c r="AD16" i="1"/>
  <c r="AD29" i="1"/>
  <c r="AD42" i="1"/>
  <c r="AD55" i="1"/>
  <c r="AD68" i="1"/>
  <c r="AD80" i="1"/>
  <c r="AD92" i="1"/>
  <c r="AD104" i="1"/>
  <c r="AD116" i="1"/>
  <c r="AD128" i="1"/>
  <c r="AD140" i="1"/>
  <c r="AD152" i="1"/>
  <c r="AD164" i="1"/>
  <c r="AD176" i="1"/>
  <c r="AD188" i="1"/>
  <c r="AD200" i="1"/>
  <c r="AD212" i="1"/>
  <c r="AD224" i="1"/>
  <c r="AD236" i="1"/>
  <c r="AD248" i="1"/>
  <c r="AD260" i="1"/>
  <c r="AD272" i="1"/>
  <c r="AD284" i="1"/>
  <c r="AD296" i="1"/>
  <c r="AD308" i="1"/>
  <c r="AD320" i="1"/>
  <c r="AD332" i="1"/>
  <c r="AD344" i="1"/>
  <c r="AD356" i="1"/>
  <c r="AD368" i="1"/>
  <c r="AD380" i="1"/>
  <c r="AD392" i="1"/>
  <c r="AD404" i="1"/>
  <c r="AD416" i="1"/>
  <c r="AD428" i="1"/>
  <c r="AD440" i="1"/>
  <c r="AD452" i="1"/>
  <c r="AD464" i="1"/>
  <c r="AD476" i="1"/>
  <c r="AD488" i="1"/>
  <c r="AD500" i="1"/>
  <c r="AD512" i="1"/>
  <c r="AD524" i="1"/>
  <c r="AD536" i="1"/>
  <c r="AD548" i="1"/>
  <c r="AD560" i="1"/>
  <c r="AD572" i="1"/>
  <c r="AD584" i="1"/>
  <c r="AD596" i="1"/>
  <c r="AD608" i="1"/>
  <c r="AD620" i="1"/>
  <c r="AD632" i="1"/>
  <c r="AD644" i="1"/>
  <c r="AD656" i="1"/>
  <c r="AD668" i="1"/>
  <c r="AD680" i="1"/>
  <c r="AD692" i="1"/>
  <c r="AD704" i="1"/>
  <c r="AD716" i="1"/>
  <c r="AD728" i="1"/>
  <c r="AD740" i="1"/>
  <c r="AD752" i="1"/>
  <c r="AD764" i="1"/>
  <c r="AD776" i="1"/>
  <c r="AD788" i="1"/>
  <c r="AD800" i="1"/>
  <c r="AD812" i="1"/>
  <c r="AD824" i="1"/>
  <c r="AD836" i="1"/>
  <c r="AD848" i="1"/>
  <c r="AD860" i="1"/>
  <c r="AD872" i="1"/>
  <c r="AD884" i="1"/>
  <c r="AC10" i="1"/>
  <c r="AC22" i="1"/>
  <c r="AC46" i="1"/>
  <c r="AC58" i="1"/>
  <c r="AC70" i="1"/>
  <c r="AC82" i="1"/>
  <c r="AC94" i="1"/>
  <c r="AC106" i="1"/>
  <c r="AC118" i="1"/>
  <c r="AC130" i="1"/>
  <c r="AC142" i="1"/>
  <c r="AC154" i="1"/>
  <c r="AC166" i="1"/>
  <c r="AK166" i="1" s="1"/>
  <c r="AC178" i="1"/>
  <c r="AJ830" i="1"/>
  <c r="AH12" i="1"/>
  <c r="AH344" i="1"/>
  <c r="AH645" i="1"/>
  <c r="AH822" i="1"/>
  <c r="AG55" i="1"/>
  <c r="AG163" i="1"/>
  <c r="AG271" i="1"/>
  <c r="AG379" i="1"/>
  <c r="AG487" i="1"/>
  <c r="AG595" i="1"/>
  <c r="AG703" i="1"/>
  <c r="AG811" i="1"/>
  <c r="AF33" i="1"/>
  <c r="AF141" i="1"/>
  <c r="AF216" i="1"/>
  <c r="AF277" i="1"/>
  <c r="AF338" i="1"/>
  <c r="AF402" i="1"/>
  <c r="AF455" i="1"/>
  <c r="AF510" i="1"/>
  <c r="AF558" i="1"/>
  <c r="AF598" i="1"/>
  <c r="AF637" i="1"/>
  <c r="AF673" i="1"/>
  <c r="AF709" i="1"/>
  <c r="AF745" i="1"/>
  <c r="AF781" i="1"/>
  <c r="AF817" i="1"/>
  <c r="AF853" i="1"/>
  <c r="AE3" i="1"/>
  <c r="AE39" i="1"/>
  <c r="AE75" i="1"/>
  <c r="AE111" i="1"/>
  <c r="AE147" i="1"/>
  <c r="AE183" i="1"/>
  <c r="AE219" i="1"/>
  <c r="AE255" i="1"/>
  <c r="AE291" i="1"/>
  <c r="AE327" i="1"/>
  <c r="AE363" i="1"/>
  <c r="AE399" i="1"/>
  <c r="AE435" i="1"/>
  <c r="AE469" i="1"/>
  <c r="AE495" i="1"/>
  <c r="AE528" i="1"/>
  <c r="AE552" i="1"/>
  <c r="AE576" i="1"/>
  <c r="AE600" i="1"/>
  <c r="AE624" i="1"/>
  <c r="AE648" i="1"/>
  <c r="AE672" i="1"/>
  <c r="AE696" i="1"/>
  <c r="AE720" i="1"/>
  <c r="AE744" i="1"/>
  <c r="AE768" i="1"/>
  <c r="AE792" i="1"/>
  <c r="AE816" i="1"/>
  <c r="AE838" i="1"/>
  <c r="AE851" i="1"/>
  <c r="AE864" i="1"/>
  <c r="AE877" i="1"/>
  <c r="AD4" i="1"/>
  <c r="AD17" i="1"/>
  <c r="AD30" i="1"/>
  <c r="AD43" i="1"/>
  <c r="AD56" i="1"/>
  <c r="AD69" i="1"/>
  <c r="AD81" i="1"/>
  <c r="AD93" i="1"/>
  <c r="AD105" i="1"/>
  <c r="AD117" i="1"/>
  <c r="AD129" i="1"/>
  <c r="AD141" i="1"/>
  <c r="AD153" i="1"/>
  <c r="AD165" i="1"/>
  <c r="AD177" i="1"/>
  <c r="AD189" i="1"/>
  <c r="AD201" i="1"/>
  <c r="AD213" i="1"/>
  <c r="AD225" i="1"/>
  <c r="AD237" i="1"/>
  <c r="AD249" i="1"/>
  <c r="AD261" i="1"/>
  <c r="AD273" i="1"/>
  <c r="AD285" i="1"/>
  <c r="AD297" i="1"/>
  <c r="AD309" i="1"/>
  <c r="AD321" i="1"/>
  <c r="AD333" i="1"/>
  <c r="AD345" i="1"/>
  <c r="AD357" i="1"/>
  <c r="AD369" i="1"/>
  <c r="AD381" i="1"/>
  <c r="AD393" i="1"/>
  <c r="AD405" i="1"/>
  <c r="AD417" i="1"/>
  <c r="AD429" i="1"/>
  <c r="AD441" i="1"/>
  <c r="AD453" i="1"/>
  <c r="AD465" i="1"/>
  <c r="AD477" i="1"/>
  <c r="AD489" i="1"/>
  <c r="AD501" i="1"/>
  <c r="AD513" i="1"/>
  <c r="AD525" i="1"/>
  <c r="AD537" i="1"/>
  <c r="AD549" i="1"/>
  <c r="AD561" i="1"/>
  <c r="AD573" i="1"/>
  <c r="AD585" i="1"/>
  <c r="AD597" i="1"/>
  <c r="AD609" i="1"/>
  <c r="AD621" i="1"/>
  <c r="AD633" i="1"/>
  <c r="AD645" i="1"/>
  <c r="AD657" i="1"/>
  <c r="AD669" i="1"/>
  <c r="AD681" i="1"/>
  <c r="AD693" i="1"/>
  <c r="AD705" i="1"/>
  <c r="AD717" i="1"/>
  <c r="AD729" i="1"/>
  <c r="AD741" i="1"/>
  <c r="AD753" i="1"/>
  <c r="AD765" i="1"/>
  <c r="AD777" i="1"/>
  <c r="AD789" i="1"/>
  <c r="AD801" i="1"/>
  <c r="AD813" i="1"/>
  <c r="AD825" i="1"/>
  <c r="AD837" i="1"/>
  <c r="AD849" i="1"/>
  <c r="AD861" i="1"/>
  <c r="AD873" i="1"/>
  <c r="AD885" i="1"/>
  <c r="AC11" i="1"/>
  <c r="AC23" i="1"/>
  <c r="AC35" i="1"/>
  <c r="AC47" i="1"/>
  <c r="AC59" i="1"/>
  <c r="AC71" i="1"/>
  <c r="AC83" i="1"/>
  <c r="AC95" i="1"/>
  <c r="AC107" i="1"/>
  <c r="AC119" i="1"/>
  <c r="AC131" i="1"/>
  <c r="AC143" i="1"/>
  <c r="AC155" i="1"/>
  <c r="AC167" i="1"/>
  <c r="AC179" i="1"/>
  <c r="AC191" i="1"/>
  <c r="AC203" i="1"/>
  <c r="AC215" i="1"/>
  <c r="AC227" i="1"/>
  <c r="AC239" i="1"/>
  <c r="AC251" i="1"/>
  <c r="AC263" i="1"/>
  <c r="AC275" i="1"/>
  <c r="AC287" i="1"/>
  <c r="AC299" i="1"/>
  <c r="AC311" i="1"/>
  <c r="AC323" i="1"/>
  <c r="AC335" i="1"/>
  <c r="AC347" i="1"/>
  <c r="AC359" i="1"/>
  <c r="AC371" i="1"/>
  <c r="AC383" i="1"/>
  <c r="AC395" i="1"/>
  <c r="AC407" i="1"/>
  <c r="AI331" i="1"/>
  <c r="AH101" i="1"/>
  <c r="AH425" i="1"/>
  <c r="AH690" i="1"/>
  <c r="AH851" i="1"/>
  <c r="AG80" i="1"/>
  <c r="AG188" i="1"/>
  <c r="AG296" i="1"/>
  <c r="AG404" i="1"/>
  <c r="AG512" i="1"/>
  <c r="AG620" i="1"/>
  <c r="AG728" i="1"/>
  <c r="AG836" i="1"/>
  <c r="AF58" i="1"/>
  <c r="AF166" i="1"/>
  <c r="AF230" i="1"/>
  <c r="AF296" i="1"/>
  <c r="AF357" i="1"/>
  <c r="AF416" i="1"/>
  <c r="AF468" i="1"/>
  <c r="AF524" i="1"/>
  <c r="AF568" i="1"/>
  <c r="AF608" i="1"/>
  <c r="AF646" i="1"/>
  <c r="AF682" i="1"/>
  <c r="AF718" i="1"/>
  <c r="AF754" i="1"/>
  <c r="AF790" i="1"/>
  <c r="AF826" i="1"/>
  <c r="AF862" i="1"/>
  <c r="AE12" i="1"/>
  <c r="AE48" i="1"/>
  <c r="AE84" i="1"/>
  <c r="AE120" i="1"/>
  <c r="AE156" i="1"/>
  <c r="AE192" i="1"/>
  <c r="AE228" i="1"/>
  <c r="AE264" i="1"/>
  <c r="AE300" i="1"/>
  <c r="AE336" i="1"/>
  <c r="AE372" i="1"/>
  <c r="AE408" i="1"/>
  <c r="AE444" i="1"/>
  <c r="AE470" i="1"/>
  <c r="AE502" i="1"/>
  <c r="AE529" i="1"/>
  <c r="AE553" i="1"/>
  <c r="AE577" i="1"/>
  <c r="AE601" i="1"/>
  <c r="AE625" i="1"/>
  <c r="AE649" i="1"/>
  <c r="AE673" i="1"/>
  <c r="AE697" i="1"/>
  <c r="AE721" i="1"/>
  <c r="AE745" i="1"/>
  <c r="AE769" i="1"/>
  <c r="AE793" i="1"/>
  <c r="AE817" i="1"/>
  <c r="AE839" i="1"/>
  <c r="AE852" i="1"/>
  <c r="AE865" i="1"/>
  <c r="AE878" i="1"/>
  <c r="AD5" i="1"/>
  <c r="AD18" i="1"/>
  <c r="AD31" i="1"/>
  <c r="AD44" i="1"/>
  <c r="AD57" i="1"/>
  <c r="AD70" i="1"/>
  <c r="AD82" i="1"/>
  <c r="AD94" i="1"/>
  <c r="AD106" i="1"/>
  <c r="AD118" i="1"/>
  <c r="AD130" i="1"/>
  <c r="AD142" i="1"/>
  <c r="AD154" i="1"/>
  <c r="AD166" i="1"/>
  <c r="AD178" i="1"/>
  <c r="AD190" i="1"/>
  <c r="AD202" i="1"/>
  <c r="AD214" i="1"/>
  <c r="AD226" i="1"/>
  <c r="AD238" i="1"/>
  <c r="AD250" i="1"/>
  <c r="AD262" i="1"/>
  <c r="AD274" i="1"/>
  <c r="AD286" i="1"/>
  <c r="AD298" i="1"/>
  <c r="AD310" i="1"/>
  <c r="AD322" i="1"/>
  <c r="AD334" i="1"/>
  <c r="AD346" i="1"/>
  <c r="AD358" i="1"/>
  <c r="AD370" i="1"/>
  <c r="AD382" i="1"/>
  <c r="AD394" i="1"/>
  <c r="AD406" i="1"/>
  <c r="AD418" i="1"/>
  <c r="AD430" i="1"/>
  <c r="AD442" i="1"/>
  <c r="AD454" i="1"/>
  <c r="AD466" i="1"/>
  <c r="AD478" i="1"/>
  <c r="AD490" i="1"/>
  <c r="AD502" i="1"/>
  <c r="AD514" i="1"/>
  <c r="AD526" i="1"/>
  <c r="AD538" i="1"/>
  <c r="AD550" i="1"/>
  <c r="AD562" i="1"/>
  <c r="AD574" i="1"/>
  <c r="AD586" i="1"/>
  <c r="AD598" i="1"/>
  <c r="AD610" i="1"/>
  <c r="AD622" i="1"/>
  <c r="AD634" i="1"/>
  <c r="AD646" i="1"/>
  <c r="AD658" i="1"/>
  <c r="AD670" i="1"/>
  <c r="AD682" i="1"/>
  <c r="AD694" i="1"/>
  <c r="AD706" i="1"/>
  <c r="AD718" i="1"/>
  <c r="AD730" i="1"/>
  <c r="AD742" i="1"/>
  <c r="AD754" i="1"/>
  <c r="AD766" i="1"/>
  <c r="AD778" i="1"/>
  <c r="AD790" i="1"/>
  <c r="AD802" i="1"/>
  <c r="AD814" i="1"/>
  <c r="AD826" i="1"/>
  <c r="AD838" i="1"/>
  <c r="AD850" i="1"/>
  <c r="AD862" i="1"/>
  <c r="AD874" i="1"/>
  <c r="AD886" i="1"/>
  <c r="AC12" i="1"/>
  <c r="AC24" i="1"/>
  <c r="AC36" i="1"/>
  <c r="AC48" i="1"/>
  <c r="AC60" i="1"/>
  <c r="AC72" i="1"/>
  <c r="AC84" i="1"/>
  <c r="AC96" i="1"/>
  <c r="AC108" i="1"/>
  <c r="AC120" i="1"/>
  <c r="AC132" i="1"/>
  <c r="AC144" i="1"/>
  <c r="AC156" i="1"/>
  <c r="AC168" i="1"/>
  <c r="AC180" i="1"/>
  <c r="AC192" i="1"/>
  <c r="AC204" i="1"/>
  <c r="AC216" i="1"/>
  <c r="AC228" i="1"/>
  <c r="AC240" i="1"/>
  <c r="AC252" i="1"/>
  <c r="AC264" i="1"/>
  <c r="AC276" i="1"/>
  <c r="AC288" i="1"/>
  <c r="AC300" i="1"/>
  <c r="AC312" i="1"/>
  <c r="AC324" i="1"/>
  <c r="AC336" i="1"/>
  <c r="AC348" i="1"/>
  <c r="AC360" i="1"/>
  <c r="AC372" i="1"/>
  <c r="AC384" i="1"/>
  <c r="AC396" i="1"/>
  <c r="AC408" i="1"/>
  <c r="AI332" i="1"/>
  <c r="AH102" i="1"/>
  <c r="AH426" i="1"/>
  <c r="AH691" i="1"/>
  <c r="AH854" i="1"/>
  <c r="AG81" i="1"/>
  <c r="AG189" i="1"/>
  <c r="AG297" i="1"/>
  <c r="AG405" i="1"/>
  <c r="AG513" i="1"/>
  <c r="AG621" i="1"/>
  <c r="AG729" i="1"/>
  <c r="AG837" i="1"/>
  <c r="AF59" i="1"/>
  <c r="AF167" i="1"/>
  <c r="AF236" i="1"/>
  <c r="AF297" i="1"/>
  <c r="AF358" i="1"/>
  <c r="AF417" i="1"/>
  <c r="AF469" i="1"/>
  <c r="AF525" i="1"/>
  <c r="AF569" i="1"/>
  <c r="AF609" i="1"/>
  <c r="AF647" i="1"/>
  <c r="AF683" i="1"/>
  <c r="AF719" i="1"/>
  <c r="AF755" i="1"/>
  <c r="AF791" i="1"/>
  <c r="AF827" i="1"/>
  <c r="AF863" i="1"/>
  <c r="AE13" i="1"/>
  <c r="AE49" i="1"/>
  <c r="AE85" i="1"/>
  <c r="AE121" i="1"/>
  <c r="AE157" i="1"/>
  <c r="AE193" i="1"/>
  <c r="AE229" i="1"/>
  <c r="AE265" i="1"/>
  <c r="AE301" i="1"/>
  <c r="AE337" i="1"/>
  <c r="AE373" i="1"/>
  <c r="AE409" i="1"/>
  <c r="AE445" i="1"/>
  <c r="AE471" i="1"/>
  <c r="AE504" i="1"/>
  <c r="AE530" i="1"/>
  <c r="AE554" i="1"/>
  <c r="AE578" i="1"/>
  <c r="AE602" i="1"/>
  <c r="AE626" i="1"/>
  <c r="AE650" i="1"/>
  <c r="AE674" i="1"/>
  <c r="AE698" i="1"/>
  <c r="AE722" i="1"/>
  <c r="AE746" i="1"/>
  <c r="AE770" i="1"/>
  <c r="AE794" i="1"/>
  <c r="AE818" i="1"/>
  <c r="AE840" i="1"/>
  <c r="AE853" i="1"/>
  <c r="AE866" i="1"/>
  <c r="AE879" i="1"/>
  <c r="AD6" i="1"/>
  <c r="AD19" i="1"/>
  <c r="AD32" i="1"/>
  <c r="AD45" i="1"/>
  <c r="AD59" i="1"/>
  <c r="AD71" i="1"/>
  <c r="AD83" i="1"/>
  <c r="AD95" i="1"/>
  <c r="AD107" i="1"/>
  <c r="AD119" i="1"/>
  <c r="AD131" i="1"/>
  <c r="AD143" i="1"/>
  <c r="AD155" i="1"/>
  <c r="AD167" i="1"/>
  <c r="AD179" i="1"/>
  <c r="AD191" i="1"/>
  <c r="AD203" i="1"/>
  <c r="AD215" i="1"/>
  <c r="AD227" i="1"/>
  <c r="AD239" i="1"/>
  <c r="AD251" i="1"/>
  <c r="AD263" i="1"/>
  <c r="AD275" i="1"/>
  <c r="AD287" i="1"/>
  <c r="AD299" i="1"/>
  <c r="AD311" i="1"/>
  <c r="AD323" i="1"/>
  <c r="AD335" i="1"/>
  <c r="AD347" i="1"/>
  <c r="AD359" i="1"/>
  <c r="AD371" i="1"/>
  <c r="AD383" i="1"/>
  <c r="AD395" i="1"/>
  <c r="AD407" i="1"/>
  <c r="AD419" i="1"/>
  <c r="AD431" i="1"/>
  <c r="AD443" i="1"/>
  <c r="AD455" i="1"/>
  <c r="AD467" i="1"/>
  <c r="AD479" i="1"/>
  <c r="AD491" i="1"/>
  <c r="AD503" i="1"/>
  <c r="AD515" i="1"/>
  <c r="AD527" i="1"/>
  <c r="AD539" i="1"/>
  <c r="AD551" i="1"/>
  <c r="AD563" i="1"/>
  <c r="AD575" i="1"/>
  <c r="AD587" i="1"/>
  <c r="AD599" i="1"/>
  <c r="AD611" i="1"/>
  <c r="AD623" i="1"/>
  <c r="AD635" i="1"/>
  <c r="AD647" i="1"/>
  <c r="AD659" i="1"/>
  <c r="AD671" i="1"/>
  <c r="AD683" i="1"/>
  <c r="AD695" i="1"/>
  <c r="AD707" i="1"/>
  <c r="AD719" i="1"/>
  <c r="AD731" i="1"/>
  <c r="AD743" i="1"/>
  <c r="AD755" i="1"/>
  <c r="AD767" i="1"/>
  <c r="AD779" i="1"/>
  <c r="AD791" i="1"/>
  <c r="AD803" i="1"/>
  <c r="AD815" i="1"/>
  <c r="AD827" i="1"/>
  <c r="AD839" i="1"/>
  <c r="AD851" i="1"/>
  <c r="AD863" i="1"/>
  <c r="AD875" i="1"/>
  <c r="AD887" i="1"/>
  <c r="AC13" i="1"/>
  <c r="AC25" i="1"/>
  <c r="AC37" i="1"/>
  <c r="AC49" i="1"/>
  <c r="AC61" i="1"/>
  <c r="AC73" i="1"/>
  <c r="AC85" i="1"/>
  <c r="AC97" i="1"/>
  <c r="AC109" i="1"/>
  <c r="AC121" i="1"/>
  <c r="AC133" i="1"/>
  <c r="AC145" i="1"/>
  <c r="AC157" i="1"/>
  <c r="AC169" i="1"/>
  <c r="AC181" i="1"/>
  <c r="AC193" i="1"/>
  <c r="AC205" i="1"/>
  <c r="AC217" i="1"/>
  <c r="AC229" i="1"/>
  <c r="AC241" i="1"/>
  <c r="AC253" i="1"/>
  <c r="AC265" i="1"/>
  <c r="AC277" i="1"/>
  <c r="AC289" i="1"/>
  <c r="AC301" i="1"/>
  <c r="AC313" i="1"/>
  <c r="AC325" i="1"/>
  <c r="AC337" i="1"/>
  <c r="AC349" i="1"/>
  <c r="AC361" i="1"/>
  <c r="AC373" i="1"/>
  <c r="AC385" i="1"/>
  <c r="AC397" i="1"/>
  <c r="AC409" i="1"/>
  <c r="AI407" i="1"/>
  <c r="AH127" i="1"/>
  <c r="AH451" i="1"/>
  <c r="AH705" i="1"/>
  <c r="AH863" i="1"/>
  <c r="AG90" i="1"/>
  <c r="AG198" i="1"/>
  <c r="AG306" i="1"/>
  <c r="AG414" i="1"/>
  <c r="AG522" i="1"/>
  <c r="AG630" i="1"/>
  <c r="AG738" i="1"/>
  <c r="AG846" i="1"/>
  <c r="AF68" i="1"/>
  <c r="AF176" i="1"/>
  <c r="AF237" i="1"/>
  <c r="AF298" i="1"/>
  <c r="AF359" i="1"/>
  <c r="AF418" i="1"/>
  <c r="AF470" i="1"/>
  <c r="AF526" i="1"/>
  <c r="AF570" i="1"/>
  <c r="AF610" i="1"/>
  <c r="AF648" i="1"/>
  <c r="AF684" i="1"/>
  <c r="AF720" i="1"/>
  <c r="AF756" i="1"/>
  <c r="AF792" i="1"/>
  <c r="AF828" i="1"/>
  <c r="AF864" i="1"/>
  <c r="AE14" i="1"/>
  <c r="AE50" i="1"/>
  <c r="AE86" i="1"/>
  <c r="AE122" i="1"/>
  <c r="AE158" i="1"/>
  <c r="AE194" i="1"/>
  <c r="AE230" i="1"/>
  <c r="AE266" i="1"/>
  <c r="AE302" i="1"/>
  <c r="AE338" i="1"/>
  <c r="AE374" i="1"/>
  <c r="AE410" i="1"/>
  <c r="AE446" i="1"/>
  <c r="AE478" i="1"/>
  <c r="AE505" i="1"/>
  <c r="AE531" i="1"/>
  <c r="AE555" i="1"/>
  <c r="AE579" i="1"/>
  <c r="AE603" i="1"/>
  <c r="AE627" i="1"/>
  <c r="AE651" i="1"/>
  <c r="AE675" i="1"/>
  <c r="AE699" i="1"/>
  <c r="AE723" i="1"/>
  <c r="AE747" i="1"/>
  <c r="AE771" i="1"/>
  <c r="AE795" i="1"/>
  <c r="AE819" i="1"/>
  <c r="AE841" i="1"/>
  <c r="AE854" i="1"/>
  <c r="AE867" i="1"/>
  <c r="AE880" i="1"/>
  <c r="AD7" i="1"/>
  <c r="AD20" i="1"/>
  <c r="AD33" i="1"/>
  <c r="AD47" i="1"/>
  <c r="AD60" i="1"/>
  <c r="AD72" i="1"/>
  <c r="AD84" i="1"/>
  <c r="AD96" i="1"/>
  <c r="AD108" i="1"/>
  <c r="AD120" i="1"/>
  <c r="AD132" i="1"/>
  <c r="AD144" i="1"/>
  <c r="AD156" i="1"/>
  <c r="AD168" i="1"/>
  <c r="AD180" i="1"/>
  <c r="AD192" i="1"/>
  <c r="AD204" i="1"/>
  <c r="AD216" i="1"/>
  <c r="AD228" i="1"/>
  <c r="AD240" i="1"/>
  <c r="AD252" i="1"/>
  <c r="AD264" i="1"/>
  <c r="AD276" i="1"/>
  <c r="AD288" i="1"/>
  <c r="AD300" i="1"/>
  <c r="AD312" i="1"/>
  <c r="AD324" i="1"/>
  <c r="AD336" i="1"/>
  <c r="AD348" i="1"/>
  <c r="AD360" i="1"/>
  <c r="AD372" i="1"/>
  <c r="AD384" i="1"/>
  <c r="AD396" i="1"/>
  <c r="AD408" i="1"/>
  <c r="AD420" i="1"/>
  <c r="AD432" i="1"/>
  <c r="AD444" i="1"/>
  <c r="AD456" i="1"/>
  <c r="AD468" i="1"/>
  <c r="AI729" i="1"/>
  <c r="AH236" i="1"/>
  <c r="AH560" i="1"/>
  <c r="AH767" i="1"/>
  <c r="AG18" i="1"/>
  <c r="AG127" i="1"/>
  <c r="AG235" i="1"/>
  <c r="AG343" i="1"/>
  <c r="AG451" i="1"/>
  <c r="AG559" i="1"/>
  <c r="AG667" i="1"/>
  <c r="AG775" i="1"/>
  <c r="AG883" i="1"/>
  <c r="AF105" i="1"/>
  <c r="AF194" i="1"/>
  <c r="AF260" i="1"/>
  <c r="AF321" i="1"/>
  <c r="AF382" i="1"/>
  <c r="AF438" i="1"/>
  <c r="AF491" i="1"/>
  <c r="AF543" i="1"/>
  <c r="AF585" i="1"/>
  <c r="AF624" i="1"/>
  <c r="AF661" i="1"/>
  <c r="AF697" i="1"/>
  <c r="AF733" i="1"/>
  <c r="AF769" i="1"/>
  <c r="AF805" i="1"/>
  <c r="AF841" i="1"/>
  <c r="AF877" i="1"/>
  <c r="AE27" i="1"/>
  <c r="AE63" i="1"/>
  <c r="AE99" i="1"/>
  <c r="AE135" i="1"/>
  <c r="AE171" i="1"/>
  <c r="AE207" i="1"/>
  <c r="AE243" i="1"/>
  <c r="AE279" i="1"/>
  <c r="AE315" i="1"/>
  <c r="AE351" i="1"/>
  <c r="AE387" i="1"/>
  <c r="AE423" i="1"/>
  <c r="AE458" i="1"/>
  <c r="AE490" i="1"/>
  <c r="AE517" i="1"/>
  <c r="AE542" i="1"/>
  <c r="AE566" i="1"/>
  <c r="AE590" i="1"/>
  <c r="AE614" i="1"/>
  <c r="AE638" i="1"/>
  <c r="AE662" i="1"/>
  <c r="AE686" i="1"/>
  <c r="AE710" i="1"/>
  <c r="AE734" i="1"/>
  <c r="AE758" i="1"/>
  <c r="AE782" i="1"/>
  <c r="AE806" i="1"/>
  <c r="AE829" i="1"/>
  <c r="AE846" i="1"/>
  <c r="AE859" i="1"/>
  <c r="AE873" i="1"/>
  <c r="AE886" i="1"/>
  <c r="AD13" i="1"/>
  <c r="AD26" i="1"/>
  <c r="AD39" i="1"/>
  <c r="AD52" i="1"/>
  <c r="AD65" i="1"/>
  <c r="AD77" i="1"/>
  <c r="AD89" i="1"/>
  <c r="AD101" i="1"/>
  <c r="AD113" i="1"/>
  <c r="AD125" i="1"/>
  <c r="AD137" i="1"/>
  <c r="AD149" i="1"/>
  <c r="AD161" i="1"/>
  <c r="AD173" i="1"/>
  <c r="AD185" i="1"/>
  <c r="AD197" i="1"/>
  <c r="AD209" i="1"/>
  <c r="AD221" i="1"/>
  <c r="AD233" i="1"/>
  <c r="AD245" i="1"/>
  <c r="AD257" i="1"/>
  <c r="AD269" i="1"/>
  <c r="AD281" i="1"/>
  <c r="AD293" i="1"/>
  <c r="AD305" i="1"/>
  <c r="AD317" i="1"/>
  <c r="AD329" i="1"/>
  <c r="AD341" i="1"/>
  <c r="AD353" i="1"/>
  <c r="AD365" i="1"/>
  <c r="AD377" i="1"/>
  <c r="AD389" i="1"/>
  <c r="AD401" i="1"/>
  <c r="AD413" i="1"/>
  <c r="AD425" i="1"/>
  <c r="AD437" i="1"/>
  <c r="AD449" i="1"/>
  <c r="AD461" i="1"/>
  <c r="AD473" i="1"/>
  <c r="AD485" i="1"/>
  <c r="AD497" i="1"/>
  <c r="AD509" i="1"/>
  <c r="AD521" i="1"/>
  <c r="AD533" i="1"/>
  <c r="AD545" i="1"/>
  <c r="AD557" i="1"/>
  <c r="AD569" i="1"/>
  <c r="AD581" i="1"/>
  <c r="AD593" i="1"/>
  <c r="AD605" i="1"/>
  <c r="AD617" i="1"/>
  <c r="AD629" i="1"/>
  <c r="AD641" i="1"/>
  <c r="AD653" i="1"/>
  <c r="AD665" i="1"/>
  <c r="AD677" i="1"/>
  <c r="AD689" i="1"/>
  <c r="AD701" i="1"/>
  <c r="AD713" i="1"/>
  <c r="AD725" i="1"/>
  <c r="AD737" i="1"/>
  <c r="AD749" i="1"/>
  <c r="AD761" i="1"/>
  <c r="AD773" i="1"/>
  <c r="AD785" i="1"/>
  <c r="AD797" i="1"/>
  <c r="AD809" i="1"/>
  <c r="AI866" i="1"/>
  <c r="AH317" i="1"/>
  <c r="AH629" i="1"/>
  <c r="AH808" i="1"/>
  <c r="AG44" i="1"/>
  <c r="AG152" i="1"/>
  <c r="AG260" i="1"/>
  <c r="AG368" i="1"/>
  <c r="AG476" i="1"/>
  <c r="AG584" i="1"/>
  <c r="AG692" i="1"/>
  <c r="AG800" i="1"/>
  <c r="AF22" i="1"/>
  <c r="AF130" i="1"/>
  <c r="AF213" i="1"/>
  <c r="AF274" i="1"/>
  <c r="AF335" i="1"/>
  <c r="AF396" i="1"/>
  <c r="AF452" i="1"/>
  <c r="AF504" i="1"/>
  <c r="AF554" i="1"/>
  <c r="AF594" i="1"/>
  <c r="AF634" i="1"/>
  <c r="AF670" i="1"/>
  <c r="AF706" i="1"/>
  <c r="AF742" i="1"/>
  <c r="AF778" i="1"/>
  <c r="AF814" i="1"/>
  <c r="AF850" i="1"/>
  <c r="AF886" i="1"/>
  <c r="AE36" i="1"/>
  <c r="AE72" i="1"/>
  <c r="AE108" i="1"/>
  <c r="AE144" i="1"/>
  <c r="AE180" i="1"/>
  <c r="AE216" i="1"/>
  <c r="AE252" i="1"/>
  <c r="AE288" i="1"/>
  <c r="AE324" i="1"/>
  <c r="AE360" i="1"/>
  <c r="AE396" i="1"/>
  <c r="AE432" i="1"/>
  <c r="AE459" i="1"/>
  <c r="AE492" i="1"/>
  <c r="AE518" i="1"/>
  <c r="AE543" i="1"/>
  <c r="AE567" i="1"/>
  <c r="AE591" i="1"/>
  <c r="AE615" i="1"/>
  <c r="AE639" i="1"/>
  <c r="AE663" i="1"/>
  <c r="AE687" i="1"/>
  <c r="AE711" i="1"/>
  <c r="AE735" i="1"/>
  <c r="AE759" i="1"/>
  <c r="AE783" i="1"/>
  <c r="AE807" i="1"/>
  <c r="AE830" i="1"/>
  <c r="AE847" i="1"/>
  <c r="AE861" i="1"/>
  <c r="AE874" i="1"/>
  <c r="AE887" i="1"/>
  <c r="AD14" i="1"/>
  <c r="AD27" i="1"/>
  <c r="AD40" i="1"/>
  <c r="AD53" i="1"/>
  <c r="AD66" i="1"/>
  <c r="AD78" i="1"/>
  <c r="AD90" i="1"/>
  <c r="AD102" i="1"/>
  <c r="AD114" i="1"/>
  <c r="AD126" i="1"/>
  <c r="AD138" i="1"/>
  <c r="AD150" i="1"/>
  <c r="AD162" i="1"/>
  <c r="AD174" i="1"/>
  <c r="AD186" i="1"/>
  <c r="AD198" i="1"/>
  <c r="AD210" i="1"/>
  <c r="AD222" i="1"/>
  <c r="AD234" i="1"/>
  <c r="AD246" i="1"/>
  <c r="AD258" i="1"/>
  <c r="AD270" i="1"/>
  <c r="AD282" i="1"/>
  <c r="AD294" i="1"/>
  <c r="AD306" i="1"/>
  <c r="AD318" i="1"/>
  <c r="AD330" i="1"/>
  <c r="AD342" i="1"/>
  <c r="AD354" i="1"/>
  <c r="AD366" i="1"/>
  <c r="AD378" i="1"/>
  <c r="AD390" i="1"/>
  <c r="AD402" i="1"/>
  <c r="AD414" i="1"/>
  <c r="AD426" i="1"/>
  <c r="AD438" i="1"/>
  <c r="AD450" i="1"/>
  <c r="AD462" i="1"/>
  <c r="AD474" i="1"/>
  <c r="AD486" i="1"/>
  <c r="AD498" i="1"/>
  <c r="AD510" i="1"/>
  <c r="AD522" i="1"/>
  <c r="AD534" i="1"/>
  <c r="AD546" i="1"/>
  <c r="AD558" i="1"/>
  <c r="AD570" i="1"/>
  <c r="AD582" i="1"/>
  <c r="AD594" i="1"/>
  <c r="AD606" i="1"/>
  <c r="AD618" i="1"/>
  <c r="AD630" i="1"/>
  <c r="AD642" i="1"/>
  <c r="AD654" i="1"/>
  <c r="AD666" i="1"/>
  <c r="AD678" i="1"/>
  <c r="AD690" i="1"/>
  <c r="AD702" i="1"/>
  <c r="AD714" i="1"/>
  <c r="AD726" i="1"/>
  <c r="AD738" i="1"/>
  <c r="AD750" i="1"/>
  <c r="AD762" i="1"/>
  <c r="AD774" i="1"/>
  <c r="AD786" i="1"/>
  <c r="AD798" i="1"/>
  <c r="AD810" i="1"/>
  <c r="AJ629" i="1"/>
  <c r="AI868" i="1"/>
  <c r="AH318" i="1"/>
  <c r="AH630" i="1"/>
  <c r="AH809" i="1"/>
  <c r="AG45" i="1"/>
  <c r="AG153" i="1"/>
  <c r="AG261" i="1"/>
  <c r="AG369" i="1"/>
  <c r="AG477" i="1"/>
  <c r="AG585" i="1"/>
  <c r="AG693" i="1"/>
  <c r="AG801" i="1"/>
  <c r="AF23" i="1"/>
  <c r="AF131" i="1"/>
  <c r="AF214" i="1"/>
  <c r="AF275" i="1"/>
  <c r="AF336" i="1"/>
  <c r="AF397" i="1"/>
  <c r="AF453" i="1"/>
  <c r="AF505" i="1"/>
  <c r="AF555" i="1"/>
  <c r="AF596" i="1"/>
  <c r="AF635" i="1"/>
  <c r="AF671" i="1"/>
  <c r="AF707" i="1"/>
  <c r="AF743" i="1"/>
  <c r="AF779" i="1"/>
  <c r="AF815" i="1"/>
  <c r="AF851" i="1"/>
  <c r="AF887" i="1"/>
  <c r="AE37" i="1"/>
  <c r="AE73" i="1"/>
  <c r="AE109" i="1"/>
  <c r="AE145" i="1"/>
  <c r="AE181" i="1"/>
  <c r="AE217" i="1"/>
  <c r="AE253" i="1"/>
  <c r="AE289" i="1"/>
  <c r="AE325" i="1"/>
  <c r="AE361" i="1"/>
  <c r="AE397" i="1"/>
  <c r="AE433" i="1"/>
  <c r="AE466" i="1"/>
  <c r="AE493" i="1"/>
  <c r="AE519" i="1"/>
  <c r="AE544" i="1"/>
  <c r="AE568" i="1"/>
  <c r="AE592" i="1"/>
  <c r="AE616" i="1"/>
  <c r="AE640" i="1"/>
  <c r="AE664" i="1"/>
  <c r="AE688" i="1"/>
  <c r="AE712" i="1"/>
  <c r="AE736" i="1"/>
  <c r="AE760" i="1"/>
  <c r="AE784" i="1"/>
  <c r="AE808" i="1"/>
  <c r="AE831" i="1"/>
  <c r="AE849" i="1"/>
  <c r="AE862" i="1"/>
  <c r="AE875" i="1"/>
  <c r="AE888" i="1"/>
  <c r="AD15" i="1"/>
  <c r="AD28" i="1"/>
  <c r="AD41" i="1"/>
  <c r="AD54" i="1"/>
  <c r="AD67" i="1"/>
  <c r="AD79" i="1"/>
  <c r="AD91" i="1"/>
  <c r="AD103" i="1"/>
  <c r="AD115" i="1"/>
  <c r="AD127" i="1"/>
  <c r="AD139" i="1"/>
  <c r="AD151" i="1"/>
  <c r="AD163" i="1"/>
  <c r="AD175" i="1"/>
  <c r="AD187" i="1"/>
  <c r="AD199" i="1"/>
  <c r="AD211" i="1"/>
  <c r="AD223" i="1"/>
  <c r="AD235" i="1"/>
  <c r="AD247" i="1"/>
  <c r="AD259" i="1"/>
  <c r="AD271" i="1"/>
  <c r="AD283" i="1"/>
  <c r="AD295" i="1"/>
  <c r="AD307" i="1"/>
  <c r="AD319" i="1"/>
  <c r="AD331" i="1"/>
  <c r="AD343" i="1"/>
  <c r="AD355" i="1"/>
  <c r="AD367" i="1"/>
  <c r="AD379" i="1"/>
  <c r="AD391" i="1"/>
  <c r="AD403" i="1"/>
  <c r="AD415" i="1"/>
  <c r="AD427" i="1"/>
  <c r="AD439" i="1"/>
  <c r="AD451" i="1"/>
  <c r="AD463" i="1"/>
  <c r="AD475" i="1"/>
  <c r="AD487" i="1"/>
  <c r="AD499" i="1"/>
  <c r="AD511" i="1"/>
  <c r="AD523" i="1"/>
  <c r="AD535" i="1"/>
  <c r="AD547" i="1"/>
  <c r="AD559" i="1"/>
  <c r="AD571" i="1"/>
  <c r="AD583" i="1"/>
  <c r="AD595" i="1"/>
  <c r="AD607" i="1"/>
  <c r="AD619" i="1"/>
  <c r="AD631" i="1"/>
  <c r="AD643" i="1"/>
  <c r="AD655" i="1"/>
  <c r="AD667" i="1"/>
  <c r="AD679" i="1"/>
  <c r="AD691" i="1"/>
  <c r="AD703" i="1"/>
  <c r="AD715" i="1"/>
  <c r="AD727" i="1"/>
  <c r="AD739" i="1"/>
  <c r="AD751" i="1"/>
  <c r="AD763" i="1"/>
  <c r="AD775" i="1"/>
  <c r="AD787" i="1"/>
  <c r="AI655" i="1"/>
  <c r="AH751" i="1"/>
  <c r="AG224" i="1"/>
  <c r="AG548" i="1"/>
  <c r="AG872" i="1"/>
  <c r="AF252" i="1"/>
  <c r="AF432" i="1"/>
  <c r="AF581" i="1"/>
  <c r="AF694" i="1"/>
  <c r="AF802" i="1"/>
  <c r="AE24" i="1"/>
  <c r="AE132" i="1"/>
  <c r="AE240" i="1"/>
  <c r="AE348" i="1"/>
  <c r="AE454" i="1"/>
  <c r="AE538" i="1"/>
  <c r="AE610" i="1"/>
  <c r="AE682" i="1"/>
  <c r="AE754" i="1"/>
  <c r="AE826" i="1"/>
  <c r="AE869" i="1"/>
  <c r="AD23" i="1"/>
  <c r="AD62" i="1"/>
  <c r="AD98" i="1"/>
  <c r="AD134" i="1"/>
  <c r="AD170" i="1"/>
  <c r="AD206" i="1"/>
  <c r="AD242" i="1"/>
  <c r="AD278" i="1"/>
  <c r="AD314" i="1"/>
  <c r="AD350" i="1"/>
  <c r="AD386" i="1"/>
  <c r="AD422" i="1"/>
  <c r="AD458" i="1"/>
  <c r="AD492" i="1"/>
  <c r="AD518" i="1"/>
  <c r="AD544" i="1"/>
  <c r="AD577" i="1"/>
  <c r="AD603" i="1"/>
  <c r="AD636" i="1"/>
  <c r="AD662" i="1"/>
  <c r="AD688" i="1"/>
  <c r="AD721" i="1"/>
  <c r="AD747" i="1"/>
  <c r="AD780" i="1"/>
  <c r="AD805" i="1"/>
  <c r="AD823" i="1"/>
  <c r="AD843" i="1"/>
  <c r="AD859" i="1"/>
  <c r="AD879" i="1"/>
  <c r="AC9" i="1"/>
  <c r="AC29" i="1"/>
  <c r="AC45" i="1"/>
  <c r="AC65" i="1"/>
  <c r="AC81" i="1"/>
  <c r="AC101" i="1"/>
  <c r="AC117" i="1"/>
  <c r="AC137" i="1"/>
  <c r="AC153" i="1"/>
  <c r="AC173" i="1"/>
  <c r="AC189" i="1"/>
  <c r="AC207" i="1"/>
  <c r="AC222" i="1"/>
  <c r="AC237" i="1"/>
  <c r="AC255" i="1"/>
  <c r="AC270" i="1"/>
  <c r="AC285" i="1"/>
  <c r="AC303" i="1"/>
  <c r="AC318" i="1"/>
  <c r="AC333" i="1"/>
  <c r="AC351" i="1"/>
  <c r="AC366" i="1"/>
  <c r="AC381" i="1"/>
  <c r="AC399" i="1"/>
  <c r="AC414" i="1"/>
  <c r="AC426" i="1"/>
  <c r="AC438" i="1"/>
  <c r="AC450" i="1"/>
  <c r="AC462" i="1"/>
  <c r="AC474" i="1"/>
  <c r="AC486" i="1"/>
  <c r="AC498" i="1"/>
  <c r="AC510" i="1"/>
  <c r="AC522" i="1"/>
  <c r="AC534" i="1"/>
  <c r="AC546" i="1"/>
  <c r="AC558" i="1"/>
  <c r="AC570" i="1"/>
  <c r="AC582" i="1"/>
  <c r="AC594" i="1"/>
  <c r="AC606" i="1"/>
  <c r="AC618" i="1"/>
  <c r="AC630" i="1"/>
  <c r="AC642" i="1"/>
  <c r="AC654" i="1"/>
  <c r="AC666" i="1"/>
  <c r="AC678" i="1"/>
  <c r="AC690" i="1"/>
  <c r="AC702" i="1"/>
  <c r="AC714" i="1"/>
  <c r="AC726" i="1"/>
  <c r="AC738" i="1"/>
  <c r="AC750" i="1"/>
  <c r="AC762" i="1"/>
  <c r="AC774" i="1"/>
  <c r="AC786" i="1"/>
  <c r="AC798" i="1"/>
  <c r="AC810" i="1"/>
  <c r="AC822" i="1"/>
  <c r="AC834" i="1"/>
  <c r="AC846" i="1"/>
  <c r="AC858" i="1"/>
  <c r="AC870" i="1"/>
  <c r="AC882" i="1"/>
  <c r="AI656" i="1"/>
  <c r="AH752" i="1"/>
  <c r="AG225" i="1"/>
  <c r="AG549" i="1"/>
  <c r="AG873" i="1"/>
  <c r="AF253" i="1"/>
  <c r="AF433" i="1"/>
  <c r="AF582" i="1"/>
  <c r="AF695" i="1"/>
  <c r="AF803" i="1"/>
  <c r="AE25" i="1"/>
  <c r="AE133" i="1"/>
  <c r="AE241" i="1"/>
  <c r="AE349" i="1"/>
  <c r="AE456" i="1"/>
  <c r="AE540" i="1"/>
  <c r="AE612" i="1"/>
  <c r="AE684" i="1"/>
  <c r="AE756" i="1"/>
  <c r="AE827" i="1"/>
  <c r="AE870" i="1"/>
  <c r="AD24" i="1"/>
  <c r="AD63" i="1"/>
  <c r="AD99" i="1"/>
  <c r="AD135" i="1"/>
  <c r="AD171" i="1"/>
  <c r="AD207" i="1"/>
  <c r="AD243" i="1"/>
  <c r="AD279" i="1"/>
  <c r="AD315" i="1"/>
  <c r="AD351" i="1"/>
  <c r="AD387" i="1"/>
  <c r="AD423" i="1"/>
  <c r="AD459" i="1"/>
  <c r="AD493" i="1"/>
  <c r="AD519" i="1"/>
  <c r="AD552" i="1"/>
  <c r="AD578" i="1"/>
  <c r="AD604" i="1"/>
  <c r="AD637" i="1"/>
  <c r="AD663" i="1"/>
  <c r="AD696" i="1"/>
  <c r="AD722" i="1"/>
  <c r="AD748" i="1"/>
  <c r="AD781" i="1"/>
  <c r="AD806" i="1"/>
  <c r="AD828" i="1"/>
  <c r="AD844" i="1"/>
  <c r="AD864" i="1"/>
  <c r="AD880" i="1"/>
  <c r="AC14" i="1"/>
  <c r="AC30" i="1"/>
  <c r="AK30" i="1" s="1"/>
  <c r="AC50" i="1"/>
  <c r="AC66" i="1"/>
  <c r="AC86" i="1"/>
  <c r="AC102" i="1"/>
  <c r="AC122" i="1"/>
  <c r="AC138" i="1"/>
  <c r="AC158" i="1"/>
  <c r="AC174" i="1"/>
  <c r="AC190" i="1"/>
  <c r="AC208" i="1"/>
  <c r="AC223" i="1"/>
  <c r="AC238" i="1"/>
  <c r="AC256" i="1"/>
  <c r="AC271" i="1"/>
  <c r="AC286" i="1"/>
  <c r="AC304" i="1"/>
  <c r="AC319" i="1"/>
  <c r="AC334" i="1"/>
  <c r="AC352" i="1"/>
  <c r="AC367" i="1"/>
  <c r="AC382" i="1"/>
  <c r="AC400" i="1"/>
  <c r="AC415" i="1"/>
  <c r="AC427" i="1"/>
  <c r="AC439" i="1"/>
  <c r="AC451" i="1"/>
  <c r="AC463" i="1"/>
  <c r="AC475" i="1"/>
  <c r="AC487" i="1"/>
  <c r="AC499" i="1"/>
  <c r="AC511" i="1"/>
  <c r="AC523" i="1"/>
  <c r="AC535" i="1"/>
  <c r="AC547" i="1"/>
  <c r="AC559" i="1"/>
  <c r="AC571" i="1"/>
  <c r="AC583" i="1"/>
  <c r="AC595" i="1"/>
  <c r="AC607" i="1"/>
  <c r="AC619" i="1"/>
  <c r="AC631" i="1"/>
  <c r="AC643" i="1"/>
  <c r="AC655" i="1"/>
  <c r="AC667" i="1"/>
  <c r="AC679" i="1"/>
  <c r="AC691" i="1"/>
  <c r="AC703" i="1"/>
  <c r="AC715" i="1"/>
  <c r="AC727" i="1"/>
  <c r="AC739" i="1"/>
  <c r="AC751" i="1"/>
  <c r="AC763" i="1"/>
  <c r="AC775" i="1"/>
  <c r="AC787" i="1"/>
  <c r="AC799" i="1"/>
  <c r="AC811" i="1"/>
  <c r="AC823" i="1"/>
  <c r="AC835" i="1"/>
  <c r="AC847" i="1"/>
  <c r="AC859" i="1"/>
  <c r="AC871" i="1"/>
  <c r="AC883" i="1"/>
  <c r="AI728" i="1"/>
  <c r="AH766" i="1"/>
  <c r="AG234" i="1"/>
  <c r="AG558" i="1"/>
  <c r="AG882" i="1"/>
  <c r="AF254" i="1"/>
  <c r="AF434" i="1"/>
  <c r="AF584" i="1"/>
  <c r="AF696" i="1"/>
  <c r="AF804" i="1"/>
  <c r="AE26" i="1"/>
  <c r="AE134" i="1"/>
  <c r="AE242" i="1"/>
  <c r="AE350" i="1"/>
  <c r="AE457" i="1"/>
  <c r="AE541" i="1"/>
  <c r="AE613" i="1"/>
  <c r="AE685" i="1"/>
  <c r="AE757" i="1"/>
  <c r="AE828" i="1"/>
  <c r="AE871" i="1"/>
  <c r="AD25" i="1"/>
  <c r="AD64" i="1"/>
  <c r="AD100" i="1"/>
  <c r="AD136" i="1"/>
  <c r="AD172" i="1"/>
  <c r="AD208" i="1"/>
  <c r="AD244" i="1"/>
  <c r="AD280" i="1"/>
  <c r="AD316" i="1"/>
  <c r="AD352" i="1"/>
  <c r="AD388" i="1"/>
  <c r="AD424" i="1"/>
  <c r="AD460" i="1"/>
  <c r="AD494" i="1"/>
  <c r="AD520" i="1"/>
  <c r="AD553" i="1"/>
  <c r="AD579" i="1"/>
  <c r="AD612" i="1"/>
  <c r="AD638" i="1"/>
  <c r="AD664" i="1"/>
  <c r="AD697" i="1"/>
  <c r="AD723" i="1"/>
  <c r="AD756" i="1"/>
  <c r="AD782" i="1"/>
  <c r="AD807" i="1"/>
  <c r="AD829" i="1"/>
  <c r="AD845" i="1"/>
  <c r="AD865" i="1"/>
  <c r="AD881" i="1"/>
  <c r="AC15" i="1"/>
  <c r="AC31" i="1"/>
  <c r="AC51" i="1"/>
  <c r="AC67" i="1"/>
  <c r="AC87" i="1"/>
  <c r="AC103" i="1"/>
  <c r="AC123" i="1"/>
  <c r="AC139" i="1"/>
  <c r="AC159" i="1"/>
  <c r="AC175" i="1"/>
  <c r="AC194" i="1"/>
  <c r="AC209" i="1"/>
  <c r="AC224" i="1"/>
  <c r="AC242" i="1"/>
  <c r="AC257" i="1"/>
  <c r="AC272" i="1"/>
  <c r="AC290" i="1"/>
  <c r="AC305" i="1"/>
  <c r="AC320" i="1"/>
  <c r="AC338" i="1"/>
  <c r="AC353" i="1"/>
  <c r="AC368" i="1"/>
  <c r="AC386" i="1"/>
  <c r="AC401" i="1"/>
  <c r="AC416" i="1"/>
  <c r="AC428" i="1"/>
  <c r="AC440" i="1"/>
  <c r="AC452" i="1"/>
  <c r="AC464" i="1"/>
  <c r="AC476" i="1"/>
  <c r="AC488" i="1"/>
  <c r="AC500" i="1"/>
  <c r="AC512" i="1"/>
  <c r="AC524" i="1"/>
  <c r="AC536" i="1"/>
  <c r="AC548" i="1"/>
  <c r="AC560" i="1"/>
  <c r="AC572" i="1"/>
  <c r="AC584" i="1"/>
  <c r="AC596" i="1"/>
  <c r="AC608" i="1"/>
  <c r="AC620" i="1"/>
  <c r="AC632" i="1"/>
  <c r="AC644" i="1"/>
  <c r="AC656" i="1"/>
  <c r="AC668" i="1"/>
  <c r="AC680" i="1"/>
  <c r="AC692" i="1"/>
  <c r="AC704" i="1"/>
  <c r="AC716" i="1"/>
  <c r="AC728" i="1"/>
  <c r="AC740" i="1"/>
  <c r="AC752" i="1"/>
  <c r="AC764" i="1"/>
  <c r="AC776" i="1"/>
  <c r="AC788" i="1"/>
  <c r="AC800" i="1"/>
  <c r="AC812" i="1"/>
  <c r="AC824" i="1"/>
  <c r="AC836" i="1"/>
  <c r="AC848" i="1"/>
  <c r="AC860" i="1"/>
  <c r="AC872" i="1"/>
  <c r="AC884" i="1"/>
  <c r="AH128" i="1"/>
  <c r="AH865" i="1"/>
  <c r="AG307" i="1"/>
  <c r="AG631" i="1"/>
  <c r="AF69" i="1"/>
  <c r="AF299" i="1"/>
  <c r="AF474" i="1"/>
  <c r="AF611" i="1"/>
  <c r="AF721" i="1"/>
  <c r="AF829" i="1"/>
  <c r="AE51" i="1"/>
  <c r="AE159" i="1"/>
  <c r="AE267" i="1"/>
  <c r="AE375" i="1"/>
  <c r="AE480" i="1"/>
  <c r="AE556" i="1"/>
  <c r="AE628" i="1"/>
  <c r="AE700" i="1"/>
  <c r="AE772" i="1"/>
  <c r="AE842" i="1"/>
  <c r="AE881" i="1"/>
  <c r="AD35" i="1"/>
  <c r="AD73" i="1"/>
  <c r="AD109" i="1"/>
  <c r="AD145" i="1"/>
  <c r="AD181" i="1"/>
  <c r="AD217" i="1"/>
  <c r="AD253" i="1"/>
  <c r="AD289" i="1"/>
  <c r="AD325" i="1"/>
  <c r="AD361" i="1"/>
  <c r="AD397" i="1"/>
  <c r="AD433" i="1"/>
  <c r="AD469" i="1"/>
  <c r="AD495" i="1"/>
  <c r="AD528" i="1"/>
  <c r="AD554" i="1"/>
  <c r="AD580" i="1"/>
  <c r="AD613" i="1"/>
  <c r="AD639" i="1"/>
  <c r="AD672" i="1"/>
  <c r="AD698" i="1"/>
  <c r="AD724" i="1"/>
  <c r="AD757" i="1"/>
  <c r="AD783" i="1"/>
  <c r="AD808" i="1"/>
  <c r="AD830" i="1"/>
  <c r="AD846" i="1"/>
  <c r="AD866" i="1"/>
  <c r="AD882" i="1"/>
  <c r="AC16" i="1"/>
  <c r="AC32" i="1"/>
  <c r="AC52" i="1"/>
  <c r="AC68" i="1"/>
  <c r="AC88" i="1"/>
  <c r="AC104" i="1"/>
  <c r="AC124" i="1"/>
  <c r="AC140" i="1"/>
  <c r="AC160" i="1"/>
  <c r="AC176" i="1"/>
  <c r="AC195" i="1"/>
  <c r="AC210" i="1"/>
  <c r="AC225" i="1"/>
  <c r="AC243" i="1"/>
  <c r="AC258" i="1"/>
  <c r="AC273" i="1"/>
  <c r="AC291" i="1"/>
  <c r="AC306" i="1"/>
  <c r="AC321" i="1"/>
  <c r="AC339" i="1"/>
  <c r="AC354" i="1"/>
  <c r="AC369" i="1"/>
  <c r="AC387" i="1"/>
  <c r="AC402" i="1"/>
  <c r="AC417" i="1"/>
  <c r="AC429" i="1"/>
  <c r="AC441" i="1"/>
  <c r="AC453" i="1"/>
  <c r="AC465" i="1"/>
  <c r="AC477" i="1"/>
  <c r="AC489" i="1"/>
  <c r="AC501" i="1"/>
  <c r="AC513" i="1"/>
  <c r="AC525" i="1"/>
  <c r="AC537" i="1"/>
  <c r="AC549" i="1"/>
  <c r="AC561" i="1"/>
  <c r="AC573" i="1"/>
  <c r="AC585" i="1"/>
  <c r="AC597" i="1"/>
  <c r="AC609" i="1"/>
  <c r="AC621" i="1"/>
  <c r="AC633" i="1"/>
  <c r="AC645" i="1"/>
  <c r="AC657" i="1"/>
  <c r="AC669" i="1"/>
  <c r="AC681" i="1"/>
  <c r="AC693" i="1"/>
  <c r="AC705" i="1"/>
  <c r="AC717" i="1"/>
  <c r="AC729" i="1"/>
  <c r="AC741" i="1"/>
  <c r="AC753" i="1"/>
  <c r="AC765" i="1"/>
  <c r="AC777" i="1"/>
  <c r="AC789" i="1"/>
  <c r="AC801" i="1"/>
  <c r="AC813" i="1"/>
  <c r="AC825" i="1"/>
  <c r="AC837" i="1"/>
  <c r="AC849" i="1"/>
  <c r="AC861" i="1"/>
  <c r="AC873" i="1"/>
  <c r="AC885" i="1"/>
  <c r="AH209" i="1"/>
  <c r="AG6" i="1"/>
  <c r="AG332" i="1"/>
  <c r="AG656" i="1"/>
  <c r="AF94" i="1"/>
  <c r="AF313" i="1"/>
  <c r="AF488" i="1"/>
  <c r="AF621" i="1"/>
  <c r="AF730" i="1"/>
  <c r="AF838" i="1"/>
  <c r="AE60" i="1"/>
  <c r="AE168" i="1"/>
  <c r="AE276" i="1"/>
  <c r="AE384" i="1"/>
  <c r="AE481" i="1"/>
  <c r="AE562" i="1"/>
  <c r="AE634" i="1"/>
  <c r="AE706" i="1"/>
  <c r="AE778" i="1"/>
  <c r="AE843" i="1"/>
  <c r="AE882" i="1"/>
  <c r="AD36" i="1"/>
  <c r="AD74" i="1"/>
  <c r="AD110" i="1"/>
  <c r="AD146" i="1"/>
  <c r="AD182" i="1"/>
  <c r="AD218" i="1"/>
  <c r="AD254" i="1"/>
  <c r="AD290" i="1"/>
  <c r="AD326" i="1"/>
  <c r="AD362" i="1"/>
  <c r="AD398" i="1"/>
  <c r="AD434" i="1"/>
  <c r="AD470" i="1"/>
  <c r="AD496" i="1"/>
  <c r="AD529" i="1"/>
  <c r="AD555" i="1"/>
  <c r="AD588" i="1"/>
  <c r="AD614" i="1"/>
  <c r="AD640" i="1"/>
  <c r="AD673" i="1"/>
  <c r="AD699" i="1"/>
  <c r="AD732" i="1"/>
  <c r="AD758" i="1"/>
  <c r="AD784" i="1"/>
  <c r="AD811" i="1"/>
  <c r="AD831" i="1"/>
  <c r="AD847" i="1"/>
  <c r="AD867" i="1"/>
  <c r="AD883" i="1"/>
  <c r="AC17" i="1"/>
  <c r="AC33" i="1"/>
  <c r="AC53" i="1"/>
  <c r="AC69" i="1"/>
  <c r="AC89" i="1"/>
  <c r="AC105" i="1"/>
  <c r="AC125" i="1"/>
  <c r="AC141" i="1"/>
  <c r="AC161" i="1"/>
  <c r="AC177" i="1"/>
  <c r="AC196" i="1"/>
  <c r="AC211" i="1"/>
  <c r="AC226" i="1"/>
  <c r="AC244" i="1"/>
  <c r="AC259" i="1"/>
  <c r="AC274" i="1"/>
  <c r="AC292" i="1"/>
  <c r="AC307" i="1"/>
  <c r="AC322" i="1"/>
  <c r="AC340" i="1"/>
  <c r="AC355" i="1"/>
  <c r="AC370" i="1"/>
  <c r="AC388" i="1"/>
  <c r="AC403" i="1"/>
  <c r="AC418" i="1"/>
  <c r="AC430" i="1"/>
  <c r="AC442" i="1"/>
  <c r="AC454" i="1"/>
  <c r="AC466" i="1"/>
  <c r="AC478" i="1"/>
  <c r="AC490" i="1"/>
  <c r="AC502" i="1"/>
  <c r="AC514" i="1"/>
  <c r="AC526" i="1"/>
  <c r="AC538" i="1"/>
  <c r="AC550" i="1"/>
  <c r="AC562" i="1"/>
  <c r="AC574" i="1"/>
  <c r="AC586" i="1"/>
  <c r="AC598" i="1"/>
  <c r="AC610" i="1"/>
  <c r="AC622" i="1"/>
  <c r="AC634" i="1"/>
  <c r="AC646" i="1"/>
  <c r="AC658" i="1"/>
  <c r="AC670" i="1"/>
  <c r="AC682" i="1"/>
  <c r="AC694" i="1"/>
  <c r="AC706" i="1"/>
  <c r="AC718" i="1"/>
  <c r="AC730" i="1"/>
  <c r="AC742" i="1"/>
  <c r="AC754" i="1"/>
  <c r="AC766" i="1"/>
  <c r="AC778" i="1"/>
  <c r="AC790" i="1"/>
  <c r="AC802" i="1"/>
  <c r="AC814" i="1"/>
  <c r="AC826" i="1"/>
  <c r="AC838" i="1"/>
  <c r="AC850" i="1"/>
  <c r="AC862" i="1"/>
  <c r="AC874" i="1"/>
  <c r="AC886" i="1"/>
  <c r="AH210" i="1"/>
  <c r="AG7" i="1"/>
  <c r="AG333" i="1"/>
  <c r="AG657" i="1"/>
  <c r="AF95" i="1"/>
  <c r="AH534" i="1"/>
  <c r="AG117" i="1"/>
  <c r="AG441" i="1"/>
  <c r="AG765" i="1"/>
  <c r="AF192" i="1"/>
  <c r="AF380" i="1"/>
  <c r="AF541" i="1"/>
  <c r="AF659" i="1"/>
  <c r="AF767" i="1"/>
  <c r="AF875" i="1"/>
  <c r="AE97" i="1"/>
  <c r="AE205" i="1"/>
  <c r="AE313" i="1"/>
  <c r="AE421" i="1"/>
  <c r="AE514" i="1"/>
  <c r="AE588" i="1"/>
  <c r="AE660" i="1"/>
  <c r="AE732" i="1"/>
  <c r="AE804" i="1"/>
  <c r="AE857" i="1"/>
  <c r="AD11" i="1"/>
  <c r="AD50" i="1"/>
  <c r="AD87" i="1"/>
  <c r="AD123" i="1"/>
  <c r="AD159" i="1"/>
  <c r="AD195" i="1"/>
  <c r="AD231" i="1"/>
  <c r="AD267" i="1"/>
  <c r="AD303" i="1"/>
  <c r="AH559" i="1"/>
  <c r="AG126" i="1"/>
  <c r="AG450" i="1"/>
  <c r="AG774" i="1"/>
  <c r="AF193" i="1"/>
  <c r="AF381" i="1"/>
  <c r="AF542" i="1"/>
  <c r="AF660" i="1"/>
  <c r="AF768" i="1"/>
  <c r="AF876" i="1"/>
  <c r="AE98" i="1"/>
  <c r="AE206" i="1"/>
  <c r="AE314" i="1"/>
  <c r="AE422" i="1"/>
  <c r="AE516" i="1"/>
  <c r="AE589" i="1"/>
  <c r="AE661" i="1"/>
  <c r="AE733" i="1"/>
  <c r="AE805" i="1"/>
  <c r="AE858" i="1"/>
  <c r="AD12" i="1"/>
  <c r="AD51" i="1"/>
  <c r="AD88" i="1"/>
  <c r="AD124" i="1"/>
  <c r="AD160" i="1"/>
  <c r="AD196" i="1"/>
  <c r="AD232" i="1"/>
  <c r="AD268" i="1"/>
  <c r="AD304" i="1"/>
  <c r="AD340" i="1"/>
  <c r="AD376" i="1"/>
  <c r="AD412" i="1"/>
  <c r="AD448" i="1"/>
  <c r="AD483" i="1"/>
  <c r="AD516" i="1"/>
  <c r="AD542" i="1"/>
  <c r="AD568" i="1"/>
  <c r="AD601" i="1"/>
  <c r="AD627" i="1"/>
  <c r="AD660" i="1"/>
  <c r="AD686" i="1"/>
  <c r="AD712" i="1"/>
  <c r="AD745" i="1"/>
  <c r="AD771" i="1"/>
  <c r="AD799" i="1"/>
  <c r="AD821" i="1"/>
  <c r="AD841" i="1"/>
  <c r="AD857" i="1"/>
  <c r="AD877" i="1"/>
  <c r="AC7" i="1"/>
  <c r="AC27" i="1"/>
  <c r="AC43" i="1"/>
  <c r="AC63" i="1"/>
  <c r="AC79" i="1"/>
  <c r="AC99" i="1"/>
  <c r="AC115" i="1"/>
  <c r="AC135" i="1"/>
  <c r="AC151" i="1"/>
  <c r="AC171" i="1"/>
  <c r="AC187" i="1"/>
  <c r="AC202" i="1"/>
  <c r="AC220" i="1"/>
  <c r="AC235" i="1"/>
  <c r="AC250" i="1"/>
  <c r="AC268" i="1"/>
  <c r="AC283" i="1"/>
  <c r="AC298" i="1"/>
  <c r="AC316" i="1"/>
  <c r="AC331" i="1"/>
  <c r="AC346" i="1"/>
  <c r="AC364" i="1"/>
  <c r="AC379" i="1"/>
  <c r="AC394" i="1"/>
  <c r="AC412" i="1"/>
  <c r="AC424" i="1"/>
  <c r="AC436" i="1"/>
  <c r="AC448" i="1"/>
  <c r="AC460" i="1"/>
  <c r="AC472" i="1"/>
  <c r="AC484" i="1"/>
  <c r="AC496" i="1"/>
  <c r="AC508" i="1"/>
  <c r="AC520" i="1"/>
  <c r="AC532" i="1"/>
  <c r="AC544" i="1"/>
  <c r="AC556" i="1"/>
  <c r="AC568" i="1"/>
  <c r="AC580" i="1"/>
  <c r="AC592" i="1"/>
  <c r="AC604" i="1"/>
  <c r="AC616" i="1"/>
  <c r="AC628" i="1"/>
  <c r="AC640" i="1"/>
  <c r="AC652" i="1"/>
  <c r="AC664" i="1"/>
  <c r="AC676" i="1"/>
  <c r="AC688" i="1"/>
  <c r="AC700" i="1"/>
  <c r="AC712" i="1"/>
  <c r="AC724" i="1"/>
  <c r="AC736" i="1"/>
  <c r="AC748" i="1"/>
  <c r="AC760" i="1"/>
  <c r="AC772" i="1"/>
  <c r="AC784" i="1"/>
  <c r="AC796" i="1"/>
  <c r="AC808" i="1"/>
  <c r="AC820" i="1"/>
  <c r="AC832" i="1"/>
  <c r="AC844" i="1"/>
  <c r="AC856" i="1"/>
  <c r="AC868" i="1"/>
  <c r="AC880" i="1"/>
  <c r="AI414" i="1"/>
  <c r="AH706" i="1"/>
  <c r="AG199" i="1"/>
  <c r="AG523" i="1"/>
  <c r="AG847" i="1"/>
  <c r="AF238" i="1"/>
  <c r="AF419" i="1"/>
  <c r="AF572" i="1"/>
  <c r="AF685" i="1"/>
  <c r="AF793" i="1"/>
  <c r="AE15" i="1"/>
  <c r="AE123" i="1"/>
  <c r="AE231" i="1"/>
  <c r="AE339" i="1"/>
  <c r="AE447" i="1"/>
  <c r="AE532" i="1"/>
  <c r="AE604" i="1"/>
  <c r="AE676" i="1"/>
  <c r="AE748" i="1"/>
  <c r="AE820" i="1"/>
  <c r="AE868" i="1"/>
  <c r="AD21" i="1"/>
  <c r="AD61" i="1"/>
  <c r="AD97" i="1"/>
  <c r="AD133" i="1"/>
  <c r="AD169" i="1"/>
  <c r="AD205" i="1"/>
  <c r="AD241" i="1"/>
  <c r="AD277" i="1"/>
  <c r="AD313" i="1"/>
  <c r="AD349" i="1"/>
  <c r="AD385" i="1"/>
  <c r="AD421" i="1"/>
  <c r="AD457" i="1"/>
  <c r="AD484" i="1"/>
  <c r="AD517" i="1"/>
  <c r="AD543" i="1"/>
  <c r="AD576" i="1"/>
  <c r="AD602" i="1"/>
  <c r="AD628" i="1"/>
  <c r="AD661" i="1"/>
  <c r="AD687" i="1"/>
  <c r="AD720" i="1"/>
  <c r="AD746" i="1"/>
  <c r="AD772" i="1"/>
  <c r="AD804" i="1"/>
  <c r="AD822" i="1"/>
  <c r="AD842" i="1"/>
  <c r="AD858" i="1"/>
  <c r="AD878" i="1"/>
  <c r="AC8" i="1"/>
  <c r="AC28" i="1"/>
  <c r="AC44" i="1"/>
  <c r="AC64" i="1"/>
  <c r="AC80" i="1"/>
  <c r="AC100" i="1"/>
  <c r="AC116" i="1"/>
  <c r="AC136" i="1"/>
  <c r="AC152" i="1"/>
  <c r="AC172" i="1"/>
  <c r="AC188" i="1"/>
  <c r="AC206" i="1"/>
  <c r="AC221" i="1"/>
  <c r="AC236" i="1"/>
  <c r="AC254" i="1"/>
  <c r="AC269" i="1"/>
  <c r="AC284" i="1"/>
  <c r="AC302" i="1"/>
  <c r="AC317" i="1"/>
  <c r="AC332" i="1"/>
  <c r="AC350" i="1"/>
  <c r="AC365" i="1"/>
  <c r="AC380" i="1"/>
  <c r="AC398" i="1"/>
  <c r="AC413" i="1"/>
  <c r="AC425" i="1"/>
  <c r="AC437" i="1"/>
  <c r="AC449" i="1"/>
  <c r="AC461" i="1"/>
  <c r="AC473" i="1"/>
  <c r="AC485" i="1"/>
  <c r="AC497" i="1"/>
  <c r="AC509" i="1"/>
  <c r="AC521" i="1"/>
  <c r="AC533" i="1"/>
  <c r="AC545" i="1"/>
  <c r="AC557" i="1"/>
  <c r="AC569" i="1"/>
  <c r="AC581" i="1"/>
  <c r="AC593" i="1"/>
  <c r="AC605" i="1"/>
  <c r="AC617" i="1"/>
  <c r="AC629" i="1"/>
  <c r="AC641" i="1"/>
  <c r="AC653" i="1"/>
  <c r="AC665" i="1"/>
  <c r="AC677" i="1"/>
  <c r="AC689" i="1"/>
  <c r="AC701" i="1"/>
  <c r="AC713" i="1"/>
  <c r="AC725" i="1"/>
  <c r="AC737" i="1"/>
  <c r="AC749" i="1"/>
  <c r="AC761" i="1"/>
  <c r="AC773" i="1"/>
  <c r="AC785" i="1"/>
  <c r="AC797" i="1"/>
  <c r="AC809" i="1"/>
  <c r="AC821" i="1"/>
  <c r="AC833" i="1"/>
  <c r="AC845" i="1"/>
  <c r="AC857" i="1"/>
  <c r="AC869" i="1"/>
  <c r="AC881" i="1"/>
  <c r="AH452" i="1"/>
  <c r="AF177" i="1"/>
  <c r="AF649" i="1"/>
  <c r="AE87" i="1"/>
  <c r="AE411" i="1"/>
  <c r="AE652" i="1"/>
  <c r="AE855" i="1"/>
  <c r="AD85" i="1"/>
  <c r="AD193" i="1"/>
  <c r="AD301" i="1"/>
  <c r="AD399" i="1"/>
  <c r="AD480" i="1"/>
  <c r="AD541" i="1"/>
  <c r="AD616" i="1"/>
  <c r="AD684" i="1"/>
  <c r="AD759" i="1"/>
  <c r="AD818" i="1"/>
  <c r="AD856" i="1"/>
  <c r="AC19" i="1"/>
  <c r="AC57" i="1"/>
  <c r="AC110" i="1"/>
  <c r="AC148" i="1"/>
  <c r="AC186" i="1"/>
  <c r="AC231" i="1"/>
  <c r="AC266" i="1"/>
  <c r="AC308" i="1"/>
  <c r="AC343" i="1"/>
  <c r="AC378" i="1"/>
  <c r="AC420" i="1"/>
  <c r="AC446" i="1"/>
  <c r="AC479" i="1"/>
  <c r="AC505" i="1"/>
  <c r="AC531" i="1"/>
  <c r="AC564" i="1"/>
  <c r="AC590" i="1"/>
  <c r="AC623" i="1"/>
  <c r="AC649" i="1"/>
  <c r="AC675" i="1"/>
  <c r="AC708" i="1"/>
  <c r="AC734" i="1"/>
  <c r="AC767" i="1"/>
  <c r="AC793" i="1"/>
  <c r="AC819" i="1"/>
  <c r="AC852" i="1"/>
  <c r="AC878" i="1"/>
  <c r="AH533" i="1"/>
  <c r="AF191" i="1"/>
  <c r="AF658" i="1"/>
  <c r="AE96" i="1"/>
  <c r="AE420" i="1"/>
  <c r="AE658" i="1"/>
  <c r="AE856" i="1"/>
  <c r="AD86" i="1"/>
  <c r="AD194" i="1"/>
  <c r="AD302" i="1"/>
  <c r="AD400" i="1"/>
  <c r="AD481" i="1"/>
  <c r="AD556" i="1"/>
  <c r="AD624" i="1"/>
  <c r="AD685" i="1"/>
  <c r="AD760" i="1"/>
  <c r="AD819" i="1"/>
  <c r="AD868" i="1"/>
  <c r="AC20" i="1"/>
  <c r="AC62" i="1"/>
  <c r="AC111" i="1"/>
  <c r="AC149" i="1"/>
  <c r="AC197" i="1"/>
  <c r="AC232" i="1"/>
  <c r="AC267" i="1"/>
  <c r="AC309" i="1"/>
  <c r="AC344" i="1"/>
  <c r="AC389" i="1"/>
  <c r="AC421" i="1"/>
  <c r="AC447" i="1"/>
  <c r="AC480" i="1"/>
  <c r="AC506" i="1"/>
  <c r="AC539" i="1"/>
  <c r="AC565" i="1"/>
  <c r="AC591" i="1"/>
  <c r="AC624" i="1"/>
  <c r="AC650" i="1"/>
  <c r="AC683" i="1"/>
  <c r="AC709" i="1"/>
  <c r="AC735" i="1"/>
  <c r="AC768" i="1"/>
  <c r="AC794" i="1"/>
  <c r="AC827" i="1"/>
  <c r="AC853" i="1"/>
  <c r="AC879" i="1"/>
  <c r="AG17" i="1"/>
  <c r="AF314" i="1"/>
  <c r="AF731" i="1"/>
  <c r="AE169" i="1"/>
  <c r="AE482" i="1"/>
  <c r="AE708" i="1"/>
  <c r="AE883" i="1"/>
  <c r="AD111" i="1"/>
  <c r="AD219" i="1"/>
  <c r="AD327" i="1"/>
  <c r="AD409" i="1"/>
  <c r="AD482" i="1"/>
  <c r="AD564" i="1"/>
  <c r="AD625" i="1"/>
  <c r="AD700" i="1"/>
  <c r="AD768" i="1"/>
  <c r="AD820" i="1"/>
  <c r="AD869" i="1"/>
  <c r="AC21" i="1"/>
  <c r="AC74" i="1"/>
  <c r="AC112" i="1"/>
  <c r="AC150" i="1"/>
  <c r="AC198" i="1"/>
  <c r="AC233" i="1"/>
  <c r="AC278" i="1"/>
  <c r="AC310" i="1"/>
  <c r="AC345" i="1"/>
  <c r="AC390" i="1"/>
  <c r="AC422" i="1"/>
  <c r="AC455" i="1"/>
  <c r="AC481" i="1"/>
  <c r="AC507" i="1"/>
  <c r="AC540" i="1"/>
  <c r="AC566" i="1"/>
  <c r="AC599" i="1"/>
  <c r="AC625" i="1"/>
  <c r="AC651" i="1"/>
  <c r="AC684" i="1"/>
  <c r="AC710" i="1"/>
  <c r="AC743" i="1"/>
  <c r="AC769" i="1"/>
  <c r="AC795" i="1"/>
  <c r="AC828" i="1"/>
  <c r="AC854" i="1"/>
  <c r="AC887" i="1"/>
  <c r="AG91" i="1"/>
  <c r="AF320" i="1"/>
  <c r="AF732" i="1"/>
  <c r="AE170" i="1"/>
  <c r="AE483" i="1"/>
  <c r="AE709" i="1"/>
  <c r="AE885" i="1"/>
  <c r="AD112" i="1"/>
  <c r="AD220" i="1"/>
  <c r="AD328" i="1"/>
  <c r="AD410" i="1"/>
  <c r="AD504" i="1"/>
  <c r="AD565" i="1"/>
  <c r="AD626" i="1"/>
  <c r="AD708" i="1"/>
  <c r="AD769" i="1"/>
  <c r="AD832" i="1"/>
  <c r="AD870" i="1"/>
  <c r="AC26" i="1"/>
  <c r="AC75" i="1"/>
  <c r="AC113" i="1"/>
  <c r="AC162" i="1"/>
  <c r="AC199" i="1"/>
  <c r="AC234" i="1"/>
  <c r="AC279" i="1"/>
  <c r="AC314" i="1"/>
  <c r="AC356" i="1"/>
  <c r="AC391" i="1"/>
  <c r="AC423" i="1"/>
  <c r="AC456" i="1"/>
  <c r="AC482" i="1"/>
  <c r="AC515" i="1"/>
  <c r="AC541" i="1"/>
  <c r="AC567" i="1"/>
  <c r="AC600" i="1"/>
  <c r="AC626" i="1"/>
  <c r="AC659" i="1"/>
  <c r="AC685" i="1"/>
  <c r="AC711" i="1"/>
  <c r="AC744" i="1"/>
  <c r="AC770" i="1"/>
  <c r="AC803" i="1"/>
  <c r="AC829" i="1"/>
  <c r="AC855" i="1"/>
  <c r="AC888" i="1"/>
  <c r="AG116" i="1"/>
  <c r="AF360" i="1"/>
  <c r="AF757" i="1"/>
  <c r="AE195" i="1"/>
  <c r="AE506" i="1"/>
  <c r="AE724" i="1"/>
  <c r="AD8" i="1"/>
  <c r="AD121" i="1"/>
  <c r="AD229" i="1"/>
  <c r="AD337" i="1"/>
  <c r="AD411" i="1"/>
  <c r="AD505" i="1"/>
  <c r="AD566" i="1"/>
  <c r="AD648" i="1"/>
  <c r="AD709" i="1"/>
  <c r="AD770" i="1"/>
  <c r="AD833" i="1"/>
  <c r="AD871" i="1"/>
  <c r="AC38" i="1"/>
  <c r="AC76" i="1"/>
  <c r="AC114" i="1"/>
  <c r="AC163" i="1"/>
  <c r="AC200" i="1"/>
  <c r="AC245" i="1"/>
  <c r="AC280" i="1"/>
  <c r="AC315" i="1"/>
  <c r="AC357" i="1"/>
  <c r="AC392" i="1"/>
  <c r="AC431" i="1"/>
  <c r="AC457" i="1"/>
  <c r="AC483" i="1"/>
  <c r="AC516" i="1"/>
  <c r="AC542" i="1"/>
  <c r="AC575" i="1"/>
  <c r="AC601" i="1"/>
  <c r="AC627" i="1"/>
  <c r="AC660" i="1"/>
  <c r="AC686" i="1"/>
  <c r="AC719" i="1"/>
  <c r="AC745" i="1"/>
  <c r="AC771" i="1"/>
  <c r="AC804" i="1"/>
  <c r="AC830" i="1"/>
  <c r="AC863" i="1"/>
  <c r="AG739" i="1"/>
  <c r="AF540" i="1"/>
  <c r="AF874" i="1"/>
  <c r="AE312" i="1"/>
  <c r="AE586" i="1"/>
  <c r="AE802" i="1"/>
  <c r="AD49" i="1"/>
  <c r="AD158" i="1"/>
  <c r="AD266" i="1"/>
  <c r="AD373" i="1"/>
  <c r="AD447" i="1"/>
  <c r="AD531" i="1"/>
  <c r="AD592" i="1"/>
  <c r="AD674" i="1"/>
  <c r="AD735" i="1"/>
  <c r="AD796" i="1"/>
  <c r="AD853" i="1"/>
  <c r="AC5" i="1"/>
  <c r="AC54" i="1"/>
  <c r="AC92" i="1"/>
  <c r="AC134" i="1"/>
  <c r="AC183" i="1"/>
  <c r="AC218" i="1"/>
  <c r="AC260" i="1"/>
  <c r="AC295" i="1"/>
  <c r="AC330" i="1"/>
  <c r="AC375" i="1"/>
  <c r="AC410" i="1"/>
  <c r="AC443" i="1"/>
  <c r="AC469" i="1"/>
  <c r="AC495" i="1"/>
  <c r="AC528" i="1"/>
  <c r="AC554" i="1"/>
  <c r="AC587" i="1"/>
  <c r="AC613" i="1"/>
  <c r="AC639" i="1"/>
  <c r="AC672" i="1"/>
  <c r="AC698" i="1"/>
  <c r="AC731" i="1"/>
  <c r="AC757" i="1"/>
  <c r="AC783" i="1"/>
  <c r="AC816" i="1"/>
  <c r="AC842" i="1"/>
  <c r="AC875" i="1"/>
  <c r="AG764" i="1"/>
  <c r="AF622" i="1"/>
  <c r="AE61" i="1"/>
  <c r="AE385" i="1"/>
  <c r="AE636" i="1"/>
  <c r="AE844" i="1"/>
  <c r="AD75" i="1"/>
  <c r="AD183" i="1"/>
  <c r="AD291" i="1"/>
  <c r="AD374" i="1"/>
  <c r="AD471" i="1"/>
  <c r="AD532" i="1"/>
  <c r="AD600" i="1"/>
  <c r="AD675" i="1"/>
  <c r="AD736" i="1"/>
  <c r="AD816" i="1"/>
  <c r="AD854" i="1"/>
  <c r="AC6" i="1"/>
  <c r="AC55" i="1"/>
  <c r="AC93" i="1"/>
  <c r="AC146" i="1"/>
  <c r="AC184" i="1"/>
  <c r="AC219" i="1"/>
  <c r="AC261" i="1"/>
  <c r="AC296" i="1"/>
  <c r="AC341" i="1"/>
  <c r="AC376" i="1"/>
  <c r="AC411" i="1"/>
  <c r="AC444" i="1"/>
  <c r="AC470" i="1"/>
  <c r="AC503" i="1"/>
  <c r="AC529" i="1"/>
  <c r="AC555" i="1"/>
  <c r="AC588" i="1"/>
  <c r="AC614" i="1"/>
  <c r="AC647" i="1"/>
  <c r="AC673" i="1"/>
  <c r="AC699" i="1"/>
  <c r="AC732" i="1"/>
  <c r="AC758" i="1"/>
  <c r="AC791" i="1"/>
  <c r="AC817" i="1"/>
  <c r="AC843" i="1"/>
  <c r="AC876" i="1"/>
  <c r="AH235" i="1"/>
  <c r="AF104" i="1"/>
  <c r="AF623" i="1"/>
  <c r="AE62" i="1"/>
  <c r="AE386" i="1"/>
  <c r="AE637" i="1"/>
  <c r="AE845" i="1"/>
  <c r="AD76" i="1"/>
  <c r="AD184" i="1"/>
  <c r="AD292" i="1"/>
  <c r="AD375" i="1"/>
  <c r="AD472" i="1"/>
  <c r="AD540" i="1"/>
  <c r="AD615" i="1"/>
  <c r="AD676" i="1"/>
  <c r="AD744" i="1"/>
  <c r="AD817" i="1"/>
  <c r="AD855" i="1"/>
  <c r="AC18" i="1"/>
  <c r="AK18" i="1" s="1"/>
  <c r="AC56" i="1"/>
  <c r="AC98" i="1"/>
  <c r="AC147" i="1"/>
  <c r="AC185" i="1"/>
  <c r="AC230" i="1"/>
  <c r="AC262" i="1"/>
  <c r="AC297" i="1"/>
  <c r="AC342" i="1"/>
  <c r="AC377" i="1"/>
  <c r="AC419" i="1"/>
  <c r="AC445" i="1"/>
  <c r="AC471" i="1"/>
  <c r="AC504" i="1"/>
  <c r="AC530" i="1"/>
  <c r="AC563" i="1"/>
  <c r="AC589" i="1"/>
  <c r="AC615" i="1"/>
  <c r="AC648" i="1"/>
  <c r="AC674" i="1"/>
  <c r="AC707" i="1"/>
  <c r="AC733" i="1"/>
  <c r="AC759" i="1"/>
  <c r="AC792" i="1"/>
  <c r="AC818" i="1"/>
  <c r="AC851" i="1"/>
  <c r="AC877" i="1"/>
  <c r="AG415" i="1"/>
  <c r="AE277" i="1"/>
  <c r="AD37" i="1"/>
  <c r="AD339" i="1"/>
  <c r="AD589" i="1"/>
  <c r="AD793" i="1"/>
  <c r="AC40" i="1"/>
  <c r="AC165" i="1"/>
  <c r="AC282" i="1"/>
  <c r="AC404" i="1"/>
  <c r="AC492" i="1"/>
  <c r="AC577" i="1"/>
  <c r="AC662" i="1"/>
  <c r="AC747" i="1"/>
  <c r="AC839" i="1"/>
  <c r="AD651" i="1"/>
  <c r="AC328" i="1"/>
  <c r="AC781" i="1"/>
  <c r="AG440" i="1"/>
  <c r="AE278" i="1"/>
  <c r="AD38" i="1"/>
  <c r="AD363" i="1"/>
  <c r="AD590" i="1"/>
  <c r="AD794" i="1"/>
  <c r="AC41" i="1"/>
  <c r="AC170" i="1"/>
  <c r="AC293" i="1"/>
  <c r="AC405" i="1"/>
  <c r="AC493" i="1"/>
  <c r="AC578" i="1"/>
  <c r="AC663" i="1"/>
  <c r="AC755" i="1"/>
  <c r="AC840" i="1"/>
  <c r="AD445" i="1"/>
  <c r="AC213" i="1"/>
  <c r="AC611" i="1"/>
  <c r="AG666" i="1"/>
  <c r="AE303" i="1"/>
  <c r="AD48" i="1"/>
  <c r="AD364" i="1"/>
  <c r="AD591" i="1"/>
  <c r="AD795" i="1"/>
  <c r="AC42" i="1"/>
  <c r="AC182" i="1"/>
  <c r="AC294" i="1"/>
  <c r="AC406" i="1"/>
  <c r="AC494" i="1"/>
  <c r="AC579" i="1"/>
  <c r="AC671" i="1"/>
  <c r="AC756" i="1"/>
  <c r="AC841" i="1"/>
  <c r="AD148" i="1"/>
  <c r="AD840" i="1"/>
  <c r="AC434" i="1"/>
  <c r="AC696" i="1"/>
  <c r="AF374" i="1"/>
  <c r="AE507" i="1"/>
  <c r="AD122" i="1"/>
  <c r="AD435" i="1"/>
  <c r="AD649" i="1"/>
  <c r="AD834" i="1"/>
  <c r="AC77" i="1"/>
  <c r="AC201" i="1"/>
  <c r="AC326" i="1"/>
  <c r="AC432" i="1"/>
  <c r="AC517" i="1"/>
  <c r="AC602" i="1"/>
  <c r="AC687" i="1"/>
  <c r="AC779" i="1"/>
  <c r="AC864" i="1"/>
  <c r="AF489" i="1"/>
  <c r="AE564" i="1"/>
  <c r="AD147" i="1"/>
  <c r="AD436" i="1"/>
  <c r="AD650" i="1"/>
  <c r="AD835" i="1"/>
  <c r="AC78" i="1"/>
  <c r="AC212" i="1"/>
  <c r="AC327" i="1"/>
  <c r="AC433" i="1"/>
  <c r="AC518" i="1"/>
  <c r="AC603" i="1"/>
  <c r="AC695" i="1"/>
  <c r="AC780" i="1"/>
  <c r="AC865" i="1"/>
  <c r="AF490" i="1"/>
  <c r="AF840" i="1"/>
  <c r="AE781" i="1"/>
  <c r="AD256" i="1"/>
  <c r="AD508" i="1"/>
  <c r="AD733" i="1"/>
  <c r="AC3" i="1"/>
  <c r="AC128" i="1"/>
  <c r="AC248" i="1"/>
  <c r="AC363" i="1"/>
  <c r="AC467" i="1"/>
  <c r="AC552" i="1"/>
  <c r="AC637" i="1"/>
  <c r="AC722" i="1"/>
  <c r="AC807" i="1"/>
  <c r="AF865" i="1"/>
  <c r="AE796" i="1"/>
  <c r="AD265" i="1"/>
  <c r="AD530" i="1"/>
  <c r="AD734" i="1"/>
  <c r="AC4" i="1"/>
  <c r="AC129" i="1"/>
  <c r="AC249" i="1"/>
  <c r="AC374" i="1"/>
  <c r="AC468" i="1"/>
  <c r="AC553" i="1"/>
  <c r="AC638" i="1"/>
  <c r="AC723" i="1"/>
  <c r="AC815" i="1"/>
  <c r="AG342" i="1"/>
  <c r="AE204" i="1"/>
  <c r="AD9" i="1"/>
  <c r="AD338" i="1"/>
  <c r="AD567" i="1"/>
  <c r="AD792" i="1"/>
  <c r="AC39" i="1"/>
  <c r="AC164" i="1"/>
  <c r="AC281" i="1"/>
  <c r="AC393" i="1"/>
  <c r="AC491" i="1"/>
  <c r="AC576" i="1"/>
  <c r="AC661" i="1"/>
  <c r="AC746" i="1"/>
  <c r="AC831" i="1"/>
  <c r="AE565" i="1"/>
  <c r="AC90" i="1"/>
  <c r="AC519" i="1"/>
  <c r="AC866" i="1"/>
  <c r="AF766" i="1"/>
  <c r="AD710" i="1"/>
  <c r="AC358" i="1"/>
  <c r="AC720" i="1"/>
  <c r="AF839" i="1"/>
  <c r="AD711" i="1"/>
  <c r="AC362" i="1"/>
  <c r="AC721" i="1"/>
  <c r="AE580" i="1"/>
  <c r="AD852" i="1"/>
  <c r="AC435" i="1"/>
  <c r="AC782" i="1"/>
  <c r="AE730" i="1"/>
  <c r="AD876" i="1"/>
  <c r="AC458" i="1"/>
  <c r="AC805" i="1"/>
  <c r="AE780" i="1"/>
  <c r="AD888" i="1"/>
  <c r="AC459" i="1"/>
  <c r="AC806" i="1"/>
  <c r="AD157" i="1"/>
  <c r="AC91" i="1"/>
  <c r="AC527" i="1"/>
  <c r="AC867" i="1"/>
  <c r="AD230" i="1"/>
  <c r="AC126" i="1"/>
  <c r="AC543" i="1"/>
  <c r="AD255" i="1"/>
  <c r="AC127" i="1"/>
  <c r="AC551" i="1"/>
  <c r="AD446" i="1"/>
  <c r="AC214" i="1"/>
  <c r="AC612" i="1"/>
  <c r="AD506" i="1"/>
  <c r="AC246" i="1"/>
  <c r="AC635" i="1"/>
  <c r="AD507" i="1"/>
  <c r="AC247" i="1"/>
  <c r="AC636" i="1"/>
  <c r="AF527" i="1"/>
  <c r="AD652" i="1"/>
  <c r="AC329" i="1"/>
  <c r="AC697" i="1"/>
  <c r="F59" i="5"/>
  <c r="F7" i="10"/>
  <c r="D59" i="5"/>
  <c r="D7" i="10"/>
  <c r="L59" i="5"/>
  <c r="L7" i="10"/>
  <c r="M59" i="5"/>
  <c r="M7" i="10"/>
  <c r="F9" i="6"/>
  <c r="F10" i="6"/>
  <c r="F11" i="6"/>
  <c r="F12" i="6"/>
  <c r="F13" i="6"/>
  <c r="F3" i="6"/>
  <c r="F4" i="6"/>
  <c r="F6" i="6"/>
  <c r="F5" i="6"/>
  <c r="F7" i="6"/>
  <c r="F8" i="6"/>
  <c r="K24" i="5"/>
  <c r="K23" i="5"/>
  <c r="K20" i="5"/>
  <c r="L11" i="5"/>
  <c r="L36" i="5" s="1"/>
  <c r="L23" i="5"/>
  <c r="J23" i="5"/>
  <c r="L26" i="5"/>
  <c r="L22" i="5"/>
  <c r="K26" i="5"/>
  <c r="K22" i="5"/>
  <c r="J26" i="5"/>
  <c r="J22" i="5"/>
  <c r="L25" i="5"/>
  <c r="L21" i="5"/>
  <c r="K25" i="5"/>
  <c r="K21" i="5"/>
  <c r="J25" i="5"/>
  <c r="J21" i="5"/>
  <c r="L24" i="5"/>
  <c r="L20" i="5"/>
  <c r="J24" i="5"/>
  <c r="J20" i="5"/>
  <c r="L19" i="5"/>
  <c r="B19" i="5"/>
  <c r="M26" i="5"/>
  <c r="M25" i="5"/>
  <c r="M24" i="5"/>
  <c r="M23" i="5"/>
  <c r="M22" i="5"/>
  <c r="M21" i="5"/>
  <c r="M20" i="5"/>
  <c r="I26" i="5"/>
  <c r="I25" i="5"/>
  <c r="I22" i="5"/>
  <c r="I21" i="5"/>
  <c r="I20" i="5"/>
  <c r="H21" i="5"/>
  <c r="G25" i="5"/>
  <c r="G24" i="5"/>
  <c r="G21" i="5"/>
  <c r="F25" i="5"/>
  <c r="F24" i="5"/>
  <c r="F21" i="5"/>
  <c r="F20" i="5"/>
  <c r="E25" i="5"/>
  <c r="E24" i="5"/>
  <c r="E21" i="5"/>
  <c r="E20" i="5"/>
  <c r="D25" i="5"/>
  <c r="D21" i="5"/>
  <c r="D20" i="5"/>
  <c r="C25" i="5"/>
  <c r="C21" i="5"/>
  <c r="C20" i="5"/>
  <c r="B25" i="5"/>
  <c r="P7" i="6"/>
  <c r="W2" i="6"/>
  <c r="P6" i="6"/>
  <c r="W5" i="6"/>
  <c r="P2" i="6"/>
  <c r="P5" i="6"/>
  <c r="W4" i="6"/>
  <c r="P4" i="6"/>
  <c r="W3" i="6"/>
  <c r="P3" i="6"/>
  <c r="X2" i="6"/>
  <c r="E19" i="10" s="1"/>
  <c r="Q2" i="6"/>
  <c r="X5" i="6"/>
  <c r="E22" i="10" s="1"/>
  <c r="Q7" i="6"/>
  <c r="S7" i="6"/>
  <c r="X4" i="6"/>
  <c r="E21" i="10" s="1"/>
  <c r="Q6" i="6"/>
  <c r="S6" i="6"/>
  <c r="X3" i="6"/>
  <c r="E20" i="10" s="1"/>
  <c r="Q5" i="6"/>
  <c r="S5" i="6"/>
  <c r="Q4" i="6"/>
  <c r="S4" i="6"/>
  <c r="Z5" i="6"/>
  <c r="Q3" i="6"/>
  <c r="S3" i="6"/>
  <c r="Z4" i="6"/>
  <c r="Z3" i="6"/>
  <c r="E4" i="6"/>
  <c r="E3" i="6"/>
  <c r="L7" i="6"/>
  <c r="E12" i="6"/>
  <c r="L6" i="6"/>
  <c r="E13" i="6"/>
  <c r="E11" i="6"/>
  <c r="L5" i="6"/>
  <c r="E7" i="6"/>
  <c r="E5" i="6"/>
  <c r="E10" i="6"/>
  <c r="L4" i="6"/>
  <c r="E8" i="6"/>
  <c r="E6" i="6"/>
  <c r="E2" i="6"/>
  <c r="E9" i="6"/>
  <c r="L3" i="6"/>
  <c r="I2" i="6"/>
  <c r="I7" i="6"/>
  <c r="I6" i="6"/>
  <c r="I5" i="6"/>
  <c r="I4" i="6"/>
  <c r="I3" i="6"/>
  <c r="J2" i="6"/>
  <c r="J7" i="6"/>
  <c r="J6" i="6"/>
  <c r="J5" i="6"/>
  <c r="J4" i="6"/>
  <c r="J3" i="6"/>
  <c r="B64" i="5"/>
  <c r="B65" i="5" s="1"/>
  <c r="B59" i="5"/>
  <c r="C58" i="5"/>
  <c r="K58" i="5"/>
  <c r="C10" i="6"/>
  <c r="B27" i="10" s="1"/>
  <c r="B10" i="6"/>
  <c r="J58" i="5"/>
  <c r="C9" i="6"/>
  <c r="B26" i="10" s="1"/>
  <c r="B9" i="6"/>
  <c r="C11" i="6"/>
  <c r="B28" i="10" s="1"/>
  <c r="I58" i="5"/>
  <c r="C8" i="6"/>
  <c r="B25" i="10" s="1"/>
  <c r="B8" i="6"/>
  <c r="H58" i="5"/>
  <c r="C7" i="6"/>
  <c r="B24" i="10" s="1"/>
  <c r="B7" i="6"/>
  <c r="G58" i="5"/>
  <c r="C6" i="6"/>
  <c r="B23" i="10" s="1"/>
  <c r="B6" i="6"/>
  <c r="C12" i="6"/>
  <c r="B29" i="10" s="1"/>
  <c r="B12" i="6"/>
  <c r="B11" i="6"/>
  <c r="E58" i="5"/>
  <c r="C4" i="6"/>
  <c r="B21" i="10" s="1"/>
  <c r="B4" i="6"/>
  <c r="C13" i="6"/>
  <c r="B30" i="10" s="1"/>
  <c r="B13" i="6"/>
  <c r="C5" i="6"/>
  <c r="B22" i="10" s="1"/>
  <c r="B5" i="6"/>
  <c r="C3" i="6"/>
  <c r="B20" i="10" s="1"/>
  <c r="B3" i="6"/>
  <c r="C2" i="6"/>
  <c r="B19" i="10" s="1"/>
  <c r="N50" i="5"/>
  <c r="AK22" i="1" l="1"/>
  <c r="AK612" i="1"/>
  <c r="AL612" i="1" s="1"/>
  <c r="AK603" i="1"/>
  <c r="AM603" i="1" s="1"/>
  <c r="AK471" i="1"/>
  <c r="AL471" i="1" s="1"/>
  <c r="AK38" i="1"/>
  <c r="AK149" i="1"/>
  <c r="AM149" i="1" s="1"/>
  <c r="AK479" i="1"/>
  <c r="AL479" i="1" s="1"/>
  <c r="AK380" i="1"/>
  <c r="AL380" i="1" s="1"/>
  <c r="AK748" i="1"/>
  <c r="AM748" i="1" s="1"/>
  <c r="AK604" i="1"/>
  <c r="AM604" i="1" s="1"/>
  <c r="AK283" i="1"/>
  <c r="AL283" i="1" s="1"/>
  <c r="AK790" i="1"/>
  <c r="AL790" i="1" s="1"/>
  <c r="AK141" i="1"/>
  <c r="AK861" i="1"/>
  <c r="AM861" i="1" s="1"/>
  <c r="AK717" i="1"/>
  <c r="AL717" i="1" s="1"/>
  <c r="AK429" i="1"/>
  <c r="AM429" i="1" s="1"/>
  <c r="AK32" i="1"/>
  <c r="AK788" i="1"/>
  <c r="AL788" i="1" s="1"/>
  <c r="AK859" i="1"/>
  <c r="AM859" i="1" s="1"/>
  <c r="AK715" i="1"/>
  <c r="AM715" i="1" s="1"/>
  <c r="AK571" i="1"/>
  <c r="AM571" i="1" s="1"/>
  <c r="AK427" i="1"/>
  <c r="AM427" i="1" s="1"/>
  <c r="AK786" i="1"/>
  <c r="AM786" i="1" s="1"/>
  <c r="AK642" i="1"/>
  <c r="AM642" i="1" s="1"/>
  <c r="AK498" i="1"/>
  <c r="AK333" i="1"/>
  <c r="AM333" i="1" s="1"/>
  <c r="AK137" i="1"/>
  <c r="AL137" i="1" s="1"/>
  <c r="AK37" i="1"/>
  <c r="AL37" i="1" s="1"/>
  <c r="AK60" i="1"/>
  <c r="AK806" i="1"/>
  <c r="AM806" i="1" s="1"/>
  <c r="AK721" i="1"/>
  <c r="AM721" i="1" s="1"/>
  <c r="AK840" i="1"/>
  <c r="AM840" i="1" s="1"/>
  <c r="AK183" i="1"/>
  <c r="AM183" i="1" s="1"/>
  <c r="AK111" i="1"/>
  <c r="AL111" i="1" s="1"/>
  <c r="AK880" i="1"/>
  <c r="AM880" i="1" s="1"/>
  <c r="AK322" i="1"/>
  <c r="AM322" i="1" s="1"/>
  <c r="AK705" i="1"/>
  <c r="AK561" i="1"/>
  <c r="AL561" i="1" s="1"/>
  <c r="AK16" i="1"/>
  <c r="AM16" i="1" s="1"/>
  <c r="AK632" i="1"/>
  <c r="AM632" i="1" s="1"/>
  <c r="AK488" i="1"/>
  <c r="AK847" i="1"/>
  <c r="AL847" i="1" s="1"/>
  <c r="AK703" i="1"/>
  <c r="AM703" i="1" s="1"/>
  <c r="AK559" i="1"/>
  <c r="AL559" i="1" s="1"/>
  <c r="AK415" i="1"/>
  <c r="AM415" i="1" s="1"/>
  <c r="AK774" i="1"/>
  <c r="AM774" i="1" s="1"/>
  <c r="AK630" i="1"/>
  <c r="AM630" i="1" s="1"/>
  <c r="AK117" i="1"/>
  <c r="AL117" i="1" s="1"/>
  <c r="AK327" i="1"/>
  <c r="AK40" i="1"/>
  <c r="AM40" i="1" s="1"/>
  <c r="AK261" i="1"/>
  <c r="AL261" i="1" s="1"/>
  <c r="AK827" i="1"/>
  <c r="AL827" i="1" s="1"/>
  <c r="AK378" i="1"/>
  <c r="AK785" i="1"/>
  <c r="AL785" i="1" s="1"/>
  <c r="AK752" i="1"/>
  <c r="AM752" i="1" s="1"/>
  <c r="AK535" i="1"/>
  <c r="AM535" i="1" s="1"/>
  <c r="AK382" i="1"/>
  <c r="AL382" i="1" s="1"/>
  <c r="AK7" i="1"/>
  <c r="AL7" i="1" s="1"/>
  <c r="AK523" i="1"/>
  <c r="AM523" i="1" s="1"/>
  <c r="AK297" i="1"/>
  <c r="AM297" i="1" s="1"/>
  <c r="AK801" i="1"/>
  <c r="AK354" i="1"/>
  <c r="AM354" i="1" s="1"/>
  <c r="AK409" i="1"/>
  <c r="AM409" i="1" s="1"/>
  <c r="AK841" i="1"/>
  <c r="AM841" i="1" s="1"/>
  <c r="AK808" i="1"/>
  <c r="AK418" i="1"/>
  <c r="AL418" i="1" s="1"/>
  <c r="AK750" i="1"/>
  <c r="AL22" i="1"/>
  <c r="AM22" i="1"/>
  <c r="AK4" i="1"/>
  <c r="AK404" i="1"/>
  <c r="AK376" i="1"/>
  <c r="AK613" i="1"/>
  <c r="AK483" i="1"/>
  <c r="AK391" i="1"/>
  <c r="AK278" i="1"/>
  <c r="AK819" i="1"/>
  <c r="AK19" i="1"/>
  <c r="AK821" i="1"/>
  <c r="AK533" i="1"/>
  <c r="AK188" i="1"/>
  <c r="AK460" i="1"/>
  <c r="AK79" i="1"/>
  <c r="AK646" i="1"/>
  <c r="AK340" i="1"/>
  <c r="AK573" i="1"/>
  <c r="AK243" i="1"/>
  <c r="AK500" i="1"/>
  <c r="AK139" i="1"/>
  <c r="AL571" i="1"/>
  <c r="AK238" i="1"/>
  <c r="AM498" i="1"/>
  <c r="AL498" i="1"/>
  <c r="AM137" i="1"/>
  <c r="AK181" i="1"/>
  <c r="AK204" i="1"/>
  <c r="AM60" i="1"/>
  <c r="AL60" i="1"/>
  <c r="AK227" i="1"/>
  <c r="AM166" i="1"/>
  <c r="AL166" i="1"/>
  <c r="AK831" i="1"/>
  <c r="AK518" i="1"/>
  <c r="AK792" i="1"/>
  <c r="AK699" i="1"/>
  <c r="AK587" i="1"/>
  <c r="AK457" i="1"/>
  <c r="AK356" i="1"/>
  <c r="AK233" i="1"/>
  <c r="AK879" i="1"/>
  <c r="AK793" i="1"/>
  <c r="AK809" i="1"/>
  <c r="AK521" i="1"/>
  <c r="AK365" i="1"/>
  <c r="AK592" i="1"/>
  <c r="AK268" i="1"/>
  <c r="AK634" i="1"/>
  <c r="AM705" i="1"/>
  <c r="AL705" i="1"/>
  <c r="AK417" i="1"/>
  <c r="AL16" i="1"/>
  <c r="AK776" i="1"/>
  <c r="AK320" i="1"/>
  <c r="AK14" i="1"/>
  <c r="AK486" i="1"/>
  <c r="AK313" i="1"/>
  <c r="AK329" i="1"/>
  <c r="AK661" i="1"/>
  <c r="AM327" i="1"/>
  <c r="AL327" i="1"/>
  <c r="AK696" i="1"/>
  <c r="AK663" i="1"/>
  <c r="AK377" i="1"/>
  <c r="AK875" i="1"/>
  <c r="AK92" i="1"/>
  <c r="AK745" i="1"/>
  <c r="AK659" i="1"/>
  <c r="AK279" i="1"/>
  <c r="AK150" i="1"/>
  <c r="AK20" i="1"/>
  <c r="AK734" i="1"/>
  <c r="AK641" i="1"/>
  <c r="AK332" i="1"/>
  <c r="AK856" i="1"/>
  <c r="AK568" i="1"/>
  <c r="AK235" i="1"/>
  <c r="AK754" i="1"/>
  <c r="AK466" i="1"/>
  <c r="AK89" i="1"/>
  <c r="AK681" i="1"/>
  <c r="AK387" i="1"/>
  <c r="AK464" i="1"/>
  <c r="AK87" i="1"/>
  <c r="AK823" i="1"/>
  <c r="AK608" i="1"/>
  <c r="AK248" i="1"/>
  <c r="AK864" i="1"/>
  <c r="AK406" i="1"/>
  <c r="AK818" i="1"/>
  <c r="AL18" i="1"/>
  <c r="AM18" i="1"/>
  <c r="AK732" i="1"/>
  <c r="AK218" i="1"/>
  <c r="AK830" i="1"/>
  <c r="AM38" i="1"/>
  <c r="AL38" i="1"/>
  <c r="AK744" i="1"/>
  <c r="AK651" i="1"/>
  <c r="AK565" i="1"/>
  <c r="AK677" i="1"/>
  <c r="AK502" i="1"/>
  <c r="AM141" i="1"/>
  <c r="AL141" i="1"/>
  <c r="AM717" i="1"/>
  <c r="AL429" i="1"/>
  <c r="AL32" i="1"/>
  <c r="AM32" i="1"/>
  <c r="AK644" i="1"/>
  <c r="AK338" i="1"/>
  <c r="AL30" i="1"/>
  <c r="AM30" i="1"/>
  <c r="AK325" i="1"/>
  <c r="AK348" i="1"/>
  <c r="AK371" i="1"/>
  <c r="AK83" i="1"/>
  <c r="AK214" i="1"/>
  <c r="AK128" i="1"/>
  <c r="AK779" i="1"/>
  <c r="AK294" i="1"/>
  <c r="AK282" i="1"/>
  <c r="AK445" i="1"/>
  <c r="AK341" i="1"/>
  <c r="AK804" i="1"/>
  <c r="AK711" i="1"/>
  <c r="AK625" i="1"/>
  <c r="AK539" i="1"/>
  <c r="AK446" i="1"/>
  <c r="AK665" i="1"/>
  <c r="AK172" i="1"/>
  <c r="AK736" i="1"/>
  <c r="AK448" i="1"/>
  <c r="AK63" i="1"/>
  <c r="AK778" i="1"/>
  <c r="AK490" i="1"/>
  <c r="AK125" i="1"/>
  <c r="AK849" i="1"/>
  <c r="AK225" i="1"/>
  <c r="AM488" i="1"/>
  <c r="AL488" i="1"/>
  <c r="AK123" i="1"/>
  <c r="AM559" i="1"/>
  <c r="AK223" i="1"/>
  <c r="AK318" i="1"/>
  <c r="AK551" i="1"/>
  <c r="AK602" i="1"/>
  <c r="AK42" i="1"/>
  <c r="AK733" i="1"/>
  <c r="AK647" i="1"/>
  <c r="AK528" i="1"/>
  <c r="AK392" i="1"/>
  <c r="AK566" i="1"/>
  <c r="AK480" i="1"/>
  <c r="AM378" i="1"/>
  <c r="AL378" i="1"/>
  <c r="AK497" i="1"/>
  <c r="AK136" i="1"/>
  <c r="AK712" i="1"/>
  <c r="AK424" i="1"/>
  <c r="AK27" i="1"/>
  <c r="AK610" i="1"/>
  <c r="AK292" i="1"/>
  <c r="AK825" i="1"/>
  <c r="AK537" i="1"/>
  <c r="AK195" i="1"/>
  <c r="AK290" i="1"/>
  <c r="AK679" i="1"/>
  <c r="AK190" i="1"/>
  <c r="AK606" i="1"/>
  <c r="AK285" i="1"/>
  <c r="AK145" i="1"/>
  <c r="AK312" i="1"/>
  <c r="AK24" i="1"/>
  <c r="AK191" i="1"/>
  <c r="AK130" i="1"/>
  <c r="AK127" i="1"/>
  <c r="AK815" i="1"/>
  <c r="AK517" i="1"/>
  <c r="AK781" i="1"/>
  <c r="AK707" i="1"/>
  <c r="AK219" i="1"/>
  <c r="AK842" i="1"/>
  <c r="AK54" i="1"/>
  <c r="AK719" i="1"/>
  <c r="AK626" i="1"/>
  <c r="AK540" i="1"/>
  <c r="AK447" i="1"/>
  <c r="AK343" i="1"/>
  <c r="AK773" i="1"/>
  <c r="AK485" i="1"/>
  <c r="AK116" i="1"/>
  <c r="AK700" i="1"/>
  <c r="AK412" i="1"/>
  <c r="AK886" i="1"/>
  <c r="AK598" i="1"/>
  <c r="AK274" i="1"/>
  <c r="AK813" i="1"/>
  <c r="AK525" i="1"/>
  <c r="AK176" i="1"/>
  <c r="AK884" i="1"/>
  <c r="AK596" i="1"/>
  <c r="AK272" i="1"/>
  <c r="AK811" i="1"/>
  <c r="AK174" i="1"/>
  <c r="AK738" i="1"/>
  <c r="AK450" i="1"/>
  <c r="AK65" i="1"/>
  <c r="AK133" i="1"/>
  <c r="AK156" i="1"/>
  <c r="AK323" i="1"/>
  <c r="AK35" i="1"/>
  <c r="AK118" i="1"/>
  <c r="AK805" i="1"/>
  <c r="AK491" i="1"/>
  <c r="AK78" i="1"/>
  <c r="AK493" i="1"/>
  <c r="AK184" i="1"/>
  <c r="AK816" i="1"/>
  <c r="AK5" i="1"/>
  <c r="AK686" i="1"/>
  <c r="AK199" i="1"/>
  <c r="AK854" i="1"/>
  <c r="AK74" i="1"/>
  <c r="AK768" i="1"/>
  <c r="AK675" i="1"/>
  <c r="AK761" i="1"/>
  <c r="AK473" i="1"/>
  <c r="AK100" i="1"/>
  <c r="AK832" i="1"/>
  <c r="AK688" i="1"/>
  <c r="AK202" i="1"/>
  <c r="AK874" i="1"/>
  <c r="AK586" i="1"/>
  <c r="AK442" i="1"/>
  <c r="AK53" i="1"/>
  <c r="AM801" i="1"/>
  <c r="AL801" i="1"/>
  <c r="AK657" i="1"/>
  <c r="AK513" i="1"/>
  <c r="AK160" i="1"/>
  <c r="AK872" i="1"/>
  <c r="AK728" i="1"/>
  <c r="AK584" i="1"/>
  <c r="AK440" i="1"/>
  <c r="AK257" i="1"/>
  <c r="AK51" i="1"/>
  <c r="AK799" i="1"/>
  <c r="AK655" i="1"/>
  <c r="AK511" i="1"/>
  <c r="AK352" i="1"/>
  <c r="AK158" i="1"/>
  <c r="AK870" i="1"/>
  <c r="AK726" i="1"/>
  <c r="AK582" i="1"/>
  <c r="AK438" i="1"/>
  <c r="AK255" i="1"/>
  <c r="AK45" i="1"/>
  <c r="AK265" i="1"/>
  <c r="AK121" i="1"/>
  <c r="AK288" i="1"/>
  <c r="AK144" i="1"/>
  <c r="AK311" i="1"/>
  <c r="AK167" i="1"/>
  <c r="AK23" i="1"/>
  <c r="AK106" i="1"/>
  <c r="AK636" i="1"/>
  <c r="AK543" i="1"/>
  <c r="AK458" i="1"/>
  <c r="AK358" i="1"/>
  <c r="AK393" i="1"/>
  <c r="AK638" i="1"/>
  <c r="AK807" i="1"/>
  <c r="AK326" i="1"/>
  <c r="AK405" i="1"/>
  <c r="AK648" i="1"/>
  <c r="AK262" i="1"/>
  <c r="AK555" i="1"/>
  <c r="AK146" i="1"/>
  <c r="AK783" i="1"/>
  <c r="AK443" i="1"/>
  <c r="AK660" i="1"/>
  <c r="AK280" i="1"/>
  <c r="AK567" i="1"/>
  <c r="AK162" i="1"/>
  <c r="AK828" i="1"/>
  <c r="AK481" i="1"/>
  <c r="AK21" i="1"/>
  <c r="AK735" i="1"/>
  <c r="AK389" i="1"/>
  <c r="AK649" i="1"/>
  <c r="AK266" i="1"/>
  <c r="AK749" i="1"/>
  <c r="AK605" i="1"/>
  <c r="AK461" i="1"/>
  <c r="AK284" i="1"/>
  <c r="AK80" i="1"/>
  <c r="AK820" i="1"/>
  <c r="AK676" i="1"/>
  <c r="AK532" i="1"/>
  <c r="AK379" i="1"/>
  <c r="AK187" i="1"/>
  <c r="AK862" i="1"/>
  <c r="AK718" i="1"/>
  <c r="AK574" i="1"/>
  <c r="AK430" i="1"/>
  <c r="AK244" i="1"/>
  <c r="AK33" i="1"/>
  <c r="AK789" i="1"/>
  <c r="AK645" i="1"/>
  <c r="AK501" i="1"/>
  <c r="AK339" i="1"/>
  <c r="AK140" i="1"/>
  <c r="AK860" i="1"/>
  <c r="AK716" i="1"/>
  <c r="AK572" i="1"/>
  <c r="AK428" i="1"/>
  <c r="AK242" i="1"/>
  <c r="AK31" i="1"/>
  <c r="AK787" i="1"/>
  <c r="AK643" i="1"/>
  <c r="AK499" i="1"/>
  <c r="AK334" i="1"/>
  <c r="AK138" i="1"/>
  <c r="AK858" i="1"/>
  <c r="AK714" i="1"/>
  <c r="AK570" i="1"/>
  <c r="AK426" i="1"/>
  <c r="AK237" i="1"/>
  <c r="AK29" i="1"/>
  <c r="AK397" i="1"/>
  <c r="AK253" i="1"/>
  <c r="AK109" i="1"/>
  <c r="AK276" i="1"/>
  <c r="AK132" i="1"/>
  <c r="AK299" i="1"/>
  <c r="AK155" i="1"/>
  <c r="AK11" i="1"/>
  <c r="AK94" i="1"/>
  <c r="AK70" i="1"/>
  <c r="AK462" i="1"/>
  <c r="AK81" i="1"/>
  <c r="AK289" i="1"/>
  <c r="AK168" i="1"/>
  <c r="AK335" i="1"/>
  <c r="AK47" i="1"/>
  <c r="AK576" i="1"/>
  <c r="AK212" i="1"/>
  <c r="AK434" i="1"/>
  <c r="AK578" i="1"/>
  <c r="AK342" i="1"/>
  <c r="AK614" i="1"/>
  <c r="AK495" i="1"/>
  <c r="AK357" i="1"/>
  <c r="AK234" i="1"/>
  <c r="AK887" i="1"/>
  <c r="AK112" i="1"/>
  <c r="AK794" i="1"/>
  <c r="AK708" i="1"/>
  <c r="AK629" i="1"/>
  <c r="AK317" i="1"/>
  <c r="AK844" i="1"/>
  <c r="AK556" i="1"/>
  <c r="AK220" i="1"/>
  <c r="AK742" i="1"/>
  <c r="AK454" i="1"/>
  <c r="AK69" i="1"/>
  <c r="AK669" i="1"/>
  <c r="AK369" i="1"/>
  <c r="AK740" i="1"/>
  <c r="AK452" i="1"/>
  <c r="AK67" i="1"/>
  <c r="AK667" i="1"/>
  <c r="AK367" i="1"/>
  <c r="AK882" i="1"/>
  <c r="AK594" i="1"/>
  <c r="AK270" i="1"/>
  <c r="AK277" i="1"/>
  <c r="AK300" i="1"/>
  <c r="AK12" i="1"/>
  <c r="AK179" i="1"/>
  <c r="AK720" i="1"/>
  <c r="AK723" i="1"/>
  <c r="AK432" i="1"/>
  <c r="AK328" i="1"/>
  <c r="AK674" i="1"/>
  <c r="AK588" i="1"/>
  <c r="AK469" i="1"/>
  <c r="AK315" i="1"/>
  <c r="AK600" i="1"/>
  <c r="AK507" i="1"/>
  <c r="AK421" i="1"/>
  <c r="AK308" i="1"/>
  <c r="AK617" i="1"/>
  <c r="AK302" i="1"/>
  <c r="AK544" i="1"/>
  <c r="AK394" i="1"/>
  <c r="AK730" i="1"/>
  <c r="AK259" i="1"/>
  <c r="AK247" i="1"/>
  <c r="AK126" i="1"/>
  <c r="AK281" i="1"/>
  <c r="AK553" i="1"/>
  <c r="AK722" i="1"/>
  <c r="AK201" i="1"/>
  <c r="AK293" i="1"/>
  <c r="AK839" i="1"/>
  <c r="AK615" i="1"/>
  <c r="AK230" i="1"/>
  <c r="AK876" i="1"/>
  <c r="AK529" i="1"/>
  <c r="AK93" i="1"/>
  <c r="AK757" i="1"/>
  <c r="AK410" i="1"/>
  <c r="AK627" i="1"/>
  <c r="AK245" i="1"/>
  <c r="AK888" i="1"/>
  <c r="AK541" i="1"/>
  <c r="AK113" i="1"/>
  <c r="AK795" i="1"/>
  <c r="AK455" i="1"/>
  <c r="AK709" i="1"/>
  <c r="AK344" i="1"/>
  <c r="AK623" i="1"/>
  <c r="AK231" i="1"/>
  <c r="AK881" i="1"/>
  <c r="AK737" i="1"/>
  <c r="AK593" i="1"/>
  <c r="AK449" i="1"/>
  <c r="AK269" i="1"/>
  <c r="AK64" i="1"/>
  <c r="AM808" i="1"/>
  <c r="AL808" i="1"/>
  <c r="AK664" i="1"/>
  <c r="AK520" i="1"/>
  <c r="AK364" i="1"/>
  <c r="AK171" i="1"/>
  <c r="AK850" i="1"/>
  <c r="AK706" i="1"/>
  <c r="AK562" i="1"/>
  <c r="AM418" i="1"/>
  <c r="AK226" i="1"/>
  <c r="AK17" i="1"/>
  <c r="AK777" i="1"/>
  <c r="AK633" i="1"/>
  <c r="AK489" i="1"/>
  <c r="AK321" i="1"/>
  <c r="AK124" i="1"/>
  <c r="AK848" i="1"/>
  <c r="AK704" i="1"/>
  <c r="AK560" i="1"/>
  <c r="AK416" i="1"/>
  <c r="AK224" i="1"/>
  <c r="AK15" i="1"/>
  <c r="AK775" i="1"/>
  <c r="AK631" i="1"/>
  <c r="AK487" i="1"/>
  <c r="AK319" i="1"/>
  <c r="AK122" i="1"/>
  <c r="AK846" i="1"/>
  <c r="AK702" i="1"/>
  <c r="AK558" i="1"/>
  <c r="AK414" i="1"/>
  <c r="AK222" i="1"/>
  <c r="AK9" i="1"/>
  <c r="AK385" i="1"/>
  <c r="AK241" i="1"/>
  <c r="AK97" i="1"/>
  <c r="AK408" i="1"/>
  <c r="AK264" i="1"/>
  <c r="AK120" i="1"/>
  <c r="AK287" i="1"/>
  <c r="AK143" i="1"/>
  <c r="AK82" i="1"/>
  <c r="AK164" i="1"/>
  <c r="AK468" i="1"/>
  <c r="AK637" i="1"/>
  <c r="AK77" i="1"/>
  <c r="AK756" i="1"/>
  <c r="AK170" i="1"/>
  <c r="AK747" i="1"/>
  <c r="AK589" i="1"/>
  <c r="AK185" i="1"/>
  <c r="AK843" i="1"/>
  <c r="AK503" i="1"/>
  <c r="AK55" i="1"/>
  <c r="AK731" i="1"/>
  <c r="AK375" i="1"/>
  <c r="AK601" i="1"/>
  <c r="AK200" i="1"/>
  <c r="AK855" i="1"/>
  <c r="AK515" i="1"/>
  <c r="AK75" i="1"/>
  <c r="AK769" i="1"/>
  <c r="AK422" i="1"/>
  <c r="AK683" i="1"/>
  <c r="AK309" i="1"/>
  <c r="AK590" i="1"/>
  <c r="AK186" i="1"/>
  <c r="AK869" i="1"/>
  <c r="AK725" i="1"/>
  <c r="AK581" i="1"/>
  <c r="AK437" i="1"/>
  <c r="AK254" i="1"/>
  <c r="AK44" i="1"/>
  <c r="AK796" i="1"/>
  <c r="AK652" i="1"/>
  <c r="AK508" i="1"/>
  <c r="AK346" i="1"/>
  <c r="AK151" i="1"/>
  <c r="AK838" i="1"/>
  <c r="AK694" i="1"/>
  <c r="AK550" i="1"/>
  <c r="AK403" i="1"/>
  <c r="AK211" i="1"/>
  <c r="AK765" i="1"/>
  <c r="AK621" i="1"/>
  <c r="AK477" i="1"/>
  <c r="AK306" i="1"/>
  <c r="AK104" i="1"/>
  <c r="AK836" i="1"/>
  <c r="AK692" i="1"/>
  <c r="AK548" i="1"/>
  <c r="AK401" i="1"/>
  <c r="AK209" i="1"/>
  <c r="AK763" i="1"/>
  <c r="AK619" i="1"/>
  <c r="AK475" i="1"/>
  <c r="AK304" i="1"/>
  <c r="AK102" i="1"/>
  <c r="AK834" i="1"/>
  <c r="AK690" i="1"/>
  <c r="AK546" i="1"/>
  <c r="AK399" i="1"/>
  <c r="AK207" i="1"/>
  <c r="AK373" i="1"/>
  <c r="AK229" i="1"/>
  <c r="AK85" i="1"/>
  <c r="AK396" i="1"/>
  <c r="AK252" i="1"/>
  <c r="AK108" i="1"/>
  <c r="AK275" i="1"/>
  <c r="AK131" i="1"/>
  <c r="AK635" i="1"/>
  <c r="AK867" i="1"/>
  <c r="AK782" i="1"/>
  <c r="AK866" i="1"/>
  <c r="AK39" i="1"/>
  <c r="AK374" i="1"/>
  <c r="AK552" i="1"/>
  <c r="AK865" i="1"/>
  <c r="AK671" i="1"/>
  <c r="AK41" i="1"/>
  <c r="AK662" i="1"/>
  <c r="AK563" i="1"/>
  <c r="AK147" i="1"/>
  <c r="AK817" i="1"/>
  <c r="AK470" i="1"/>
  <c r="AK6" i="1"/>
  <c r="AK698" i="1"/>
  <c r="AK330" i="1"/>
  <c r="AK575" i="1"/>
  <c r="AK163" i="1"/>
  <c r="AK829" i="1"/>
  <c r="AK482" i="1"/>
  <c r="AK26" i="1"/>
  <c r="AK743" i="1"/>
  <c r="AK390" i="1"/>
  <c r="AK650" i="1"/>
  <c r="AK267" i="1"/>
  <c r="AK564" i="1"/>
  <c r="AK148" i="1"/>
  <c r="AK857" i="1"/>
  <c r="AK713" i="1"/>
  <c r="AK569" i="1"/>
  <c r="AK425" i="1"/>
  <c r="AK236" i="1"/>
  <c r="AK28" i="1"/>
  <c r="AK784" i="1"/>
  <c r="AK640" i="1"/>
  <c r="AK496" i="1"/>
  <c r="AK331" i="1"/>
  <c r="AK135" i="1"/>
  <c r="AK826" i="1"/>
  <c r="AK682" i="1"/>
  <c r="AK538" i="1"/>
  <c r="AK388" i="1"/>
  <c r="AK196" i="1"/>
  <c r="AK753" i="1"/>
  <c r="AK609" i="1"/>
  <c r="AK465" i="1"/>
  <c r="AK291" i="1"/>
  <c r="AK88" i="1"/>
  <c r="AK824" i="1"/>
  <c r="AK680" i="1"/>
  <c r="AK536" i="1"/>
  <c r="AK386" i="1"/>
  <c r="AK194" i="1"/>
  <c r="AK751" i="1"/>
  <c r="AK607" i="1"/>
  <c r="AK463" i="1"/>
  <c r="AK286" i="1"/>
  <c r="AK86" i="1"/>
  <c r="AK822" i="1"/>
  <c r="AK678" i="1"/>
  <c r="AK534" i="1"/>
  <c r="AK381" i="1"/>
  <c r="AK189" i="1"/>
  <c r="AK361" i="1"/>
  <c r="AK217" i="1"/>
  <c r="AK73" i="1"/>
  <c r="AK384" i="1"/>
  <c r="AK240" i="1"/>
  <c r="AK96" i="1"/>
  <c r="AK407" i="1"/>
  <c r="AK263" i="1"/>
  <c r="AK119" i="1"/>
  <c r="AK58" i="1"/>
  <c r="AK246" i="1"/>
  <c r="AK527" i="1"/>
  <c r="AK435" i="1"/>
  <c r="AK519" i="1"/>
  <c r="AK249" i="1"/>
  <c r="AK467" i="1"/>
  <c r="AK780" i="1"/>
  <c r="AK579" i="1"/>
  <c r="AK611" i="1"/>
  <c r="AK577" i="1"/>
  <c r="AK877" i="1"/>
  <c r="AK530" i="1"/>
  <c r="AK98" i="1"/>
  <c r="AK791" i="1"/>
  <c r="AK444" i="1"/>
  <c r="AK672" i="1"/>
  <c r="AK295" i="1"/>
  <c r="AK542" i="1"/>
  <c r="AK114" i="1"/>
  <c r="AK803" i="1"/>
  <c r="AK456" i="1"/>
  <c r="AK710" i="1"/>
  <c r="AK345" i="1"/>
  <c r="AK624" i="1"/>
  <c r="AK232" i="1"/>
  <c r="AK878" i="1"/>
  <c r="AK531" i="1"/>
  <c r="AK110" i="1"/>
  <c r="AK845" i="1"/>
  <c r="AK701" i="1"/>
  <c r="AK557" i="1"/>
  <c r="AK413" i="1"/>
  <c r="AK221" i="1"/>
  <c r="AK8" i="1"/>
  <c r="AK772" i="1"/>
  <c r="AK628" i="1"/>
  <c r="AK484" i="1"/>
  <c r="AK316" i="1"/>
  <c r="AK115" i="1"/>
  <c r="AK814" i="1"/>
  <c r="AK670" i="1"/>
  <c r="AK526" i="1"/>
  <c r="AK370" i="1"/>
  <c r="AK177" i="1"/>
  <c r="AK885" i="1"/>
  <c r="AK741" i="1"/>
  <c r="AK597" i="1"/>
  <c r="AK453" i="1"/>
  <c r="AK273" i="1"/>
  <c r="AK68" i="1"/>
  <c r="AK812" i="1"/>
  <c r="AK668" i="1"/>
  <c r="AK524" i="1"/>
  <c r="AK368" i="1"/>
  <c r="AK175" i="1"/>
  <c r="AK883" i="1"/>
  <c r="AK739" i="1"/>
  <c r="AK595" i="1"/>
  <c r="AK451" i="1"/>
  <c r="AK271" i="1"/>
  <c r="AK66" i="1"/>
  <c r="AK810" i="1"/>
  <c r="AK666" i="1"/>
  <c r="AK522" i="1"/>
  <c r="AK366" i="1"/>
  <c r="AK173" i="1"/>
  <c r="AK349" i="1"/>
  <c r="AK205" i="1"/>
  <c r="AK61" i="1"/>
  <c r="AK372" i="1"/>
  <c r="AK228" i="1"/>
  <c r="AK84" i="1"/>
  <c r="AK395" i="1"/>
  <c r="AK251" i="1"/>
  <c r="AK107" i="1"/>
  <c r="AK46" i="1"/>
  <c r="AK91" i="1"/>
  <c r="AK90" i="1"/>
  <c r="AK129" i="1"/>
  <c r="AK363" i="1"/>
  <c r="AK695" i="1"/>
  <c r="AK494" i="1"/>
  <c r="AK213" i="1"/>
  <c r="AK492" i="1"/>
  <c r="AK851" i="1"/>
  <c r="AK504" i="1"/>
  <c r="AK56" i="1"/>
  <c r="AK758" i="1"/>
  <c r="AK411" i="1"/>
  <c r="AK639" i="1"/>
  <c r="AK260" i="1"/>
  <c r="AK863" i="1"/>
  <c r="AK516" i="1"/>
  <c r="AK76" i="1"/>
  <c r="AK770" i="1"/>
  <c r="AK423" i="1"/>
  <c r="AK684" i="1"/>
  <c r="AK310" i="1"/>
  <c r="AK591" i="1"/>
  <c r="AK197" i="1"/>
  <c r="AK852" i="1"/>
  <c r="AK505" i="1"/>
  <c r="AK57" i="1"/>
  <c r="AK833" i="1"/>
  <c r="AK689" i="1"/>
  <c r="AK545" i="1"/>
  <c r="AK398" i="1"/>
  <c r="AK206" i="1"/>
  <c r="AK760" i="1"/>
  <c r="AK616" i="1"/>
  <c r="AK472" i="1"/>
  <c r="AK298" i="1"/>
  <c r="AK99" i="1"/>
  <c r="AK802" i="1"/>
  <c r="AK658" i="1"/>
  <c r="AK514" i="1"/>
  <c r="AK355" i="1"/>
  <c r="AK161" i="1"/>
  <c r="AK873" i="1"/>
  <c r="AK729" i="1"/>
  <c r="AK585" i="1"/>
  <c r="AK441" i="1"/>
  <c r="AK258" i="1"/>
  <c r="AK52" i="1"/>
  <c r="AK800" i="1"/>
  <c r="AK656" i="1"/>
  <c r="AK512" i="1"/>
  <c r="AK353" i="1"/>
  <c r="AK159" i="1"/>
  <c r="AK871" i="1"/>
  <c r="AK727" i="1"/>
  <c r="AK583" i="1"/>
  <c r="AK439" i="1"/>
  <c r="AK256" i="1"/>
  <c r="AK50" i="1"/>
  <c r="AK798" i="1"/>
  <c r="AK654" i="1"/>
  <c r="AK510" i="1"/>
  <c r="AK351" i="1"/>
  <c r="AK153" i="1"/>
  <c r="AK337" i="1"/>
  <c r="AK193" i="1"/>
  <c r="AK49" i="1"/>
  <c r="AK360" i="1"/>
  <c r="AK216" i="1"/>
  <c r="AK72" i="1"/>
  <c r="AK383" i="1"/>
  <c r="AK239" i="1"/>
  <c r="AK95" i="1"/>
  <c r="AK178" i="1"/>
  <c r="AK169" i="1"/>
  <c r="AK25" i="1"/>
  <c r="AK336" i="1"/>
  <c r="AK192" i="1"/>
  <c r="AK48" i="1"/>
  <c r="AK359" i="1"/>
  <c r="AK215" i="1"/>
  <c r="AK71" i="1"/>
  <c r="AK154" i="1"/>
  <c r="AK10" i="1"/>
  <c r="AK697" i="1"/>
  <c r="AK459" i="1"/>
  <c r="AK362" i="1"/>
  <c r="AK746" i="1"/>
  <c r="AK3" i="1"/>
  <c r="AK433" i="1"/>
  <c r="AK687" i="1"/>
  <c r="AK182" i="1"/>
  <c r="AK755" i="1"/>
  <c r="AK165" i="1"/>
  <c r="AK759" i="1"/>
  <c r="AK419" i="1"/>
  <c r="AK673" i="1"/>
  <c r="AK296" i="1"/>
  <c r="AK554" i="1"/>
  <c r="AK134" i="1"/>
  <c r="AK771" i="1"/>
  <c r="AK431" i="1"/>
  <c r="AK685" i="1"/>
  <c r="AK314" i="1"/>
  <c r="AK599" i="1"/>
  <c r="AK198" i="1"/>
  <c r="AK853" i="1"/>
  <c r="AK506" i="1"/>
  <c r="AK62" i="1"/>
  <c r="AK767" i="1"/>
  <c r="AK420" i="1"/>
  <c r="AK797" i="1"/>
  <c r="AK653" i="1"/>
  <c r="AK509" i="1"/>
  <c r="AK350" i="1"/>
  <c r="AK152" i="1"/>
  <c r="AK868" i="1"/>
  <c r="AK724" i="1"/>
  <c r="AK580" i="1"/>
  <c r="AK436" i="1"/>
  <c r="AK250" i="1"/>
  <c r="AK43" i="1"/>
  <c r="AK766" i="1"/>
  <c r="AK622" i="1"/>
  <c r="AK478" i="1"/>
  <c r="AK307" i="1"/>
  <c r="AK105" i="1"/>
  <c r="AK837" i="1"/>
  <c r="AK693" i="1"/>
  <c r="AK549" i="1"/>
  <c r="AK402" i="1"/>
  <c r="AK210" i="1"/>
  <c r="AK764" i="1"/>
  <c r="AK620" i="1"/>
  <c r="AK476" i="1"/>
  <c r="AK305" i="1"/>
  <c r="AK103" i="1"/>
  <c r="AK835" i="1"/>
  <c r="AK691" i="1"/>
  <c r="AK547" i="1"/>
  <c r="AK400" i="1"/>
  <c r="AK208" i="1"/>
  <c r="AK762" i="1"/>
  <c r="AK618" i="1"/>
  <c r="AK474" i="1"/>
  <c r="AK303" i="1"/>
  <c r="AK101" i="1"/>
  <c r="AK301" i="1"/>
  <c r="AK157" i="1"/>
  <c r="AK13" i="1"/>
  <c r="AK324" i="1"/>
  <c r="AK180" i="1"/>
  <c r="AK36" i="1"/>
  <c r="AK347" i="1"/>
  <c r="AK203" i="1"/>
  <c r="AK59" i="1"/>
  <c r="AK142" i="1"/>
  <c r="J59" i="5"/>
  <c r="J7" i="10"/>
  <c r="G59" i="5"/>
  <c r="G7" i="10"/>
  <c r="K59" i="5"/>
  <c r="K7" i="10"/>
  <c r="C59" i="5"/>
  <c r="C7" i="10"/>
  <c r="H59" i="5"/>
  <c r="H7" i="10"/>
  <c r="E59" i="5"/>
  <c r="E7" i="10"/>
  <c r="I59" i="5"/>
  <c r="I7" i="10"/>
  <c r="E23" i="10"/>
  <c r="B31" i="10"/>
  <c r="Y5" i="6"/>
  <c r="L2" i="6"/>
  <c r="B2" i="6"/>
  <c r="D2" i="6" s="1"/>
  <c r="F2" i="6"/>
  <c r="R5" i="6"/>
  <c r="D6" i="6"/>
  <c r="D8" i="6"/>
  <c r="R3" i="6"/>
  <c r="R4" i="6"/>
  <c r="R2" i="6"/>
  <c r="K4" i="6"/>
  <c r="R6" i="6"/>
  <c r="D13" i="6"/>
  <c r="R7" i="6"/>
  <c r="Y4" i="6"/>
  <c r="Y3" i="6"/>
  <c r="K5" i="6"/>
  <c r="K6" i="6"/>
  <c r="K3" i="6"/>
  <c r="D9" i="6"/>
  <c r="D10" i="6"/>
  <c r="K7" i="6"/>
  <c r="K2" i="6"/>
  <c r="D5" i="6"/>
  <c r="D12" i="6"/>
  <c r="D4" i="6"/>
  <c r="D11" i="6"/>
  <c r="L64" i="5"/>
  <c r="L65" i="5" s="1"/>
  <c r="E64" i="5"/>
  <c r="E65" i="5" s="1"/>
  <c r="N58" i="5"/>
  <c r="N59" i="5" s="1"/>
  <c r="J64" i="5"/>
  <c r="J65" i="5" s="1"/>
  <c r="M64" i="5"/>
  <c r="M65" i="5" s="1"/>
  <c r="F64" i="5"/>
  <c r="F65" i="5" s="1"/>
  <c r="D7" i="6"/>
  <c r="D64" i="5"/>
  <c r="D65" i="5" s="1"/>
  <c r="D3" i="6"/>
  <c r="G64" i="5"/>
  <c r="G65" i="5" s="1"/>
  <c r="H64" i="5"/>
  <c r="H65" i="5" s="1"/>
  <c r="I64" i="5"/>
  <c r="I65" i="5" s="1"/>
  <c r="C64" i="5"/>
  <c r="C65" i="5" s="1"/>
  <c r="K64" i="5"/>
  <c r="K65" i="5" s="1"/>
  <c r="AD14" i="5"/>
  <c r="AC14" i="5"/>
  <c r="AB14" i="5"/>
  <c r="AA14" i="5"/>
  <c r="Z14" i="5"/>
  <c r="Y14" i="5"/>
  <c r="X14" i="5"/>
  <c r="W14" i="5"/>
  <c r="V14" i="5"/>
  <c r="U14" i="5"/>
  <c r="T14" i="5"/>
  <c r="S14" i="5"/>
  <c r="AM788" i="1" l="1"/>
  <c r="AL149" i="1"/>
  <c r="AM7" i="1"/>
  <c r="AM561" i="1"/>
  <c r="AM382" i="1"/>
  <c r="AL715" i="1"/>
  <c r="AM261" i="1"/>
  <c r="AM785" i="1"/>
  <c r="AM111" i="1"/>
  <c r="AL721" i="1"/>
  <c r="AM471" i="1"/>
  <c r="AM479" i="1"/>
  <c r="AM37" i="1"/>
  <c r="AM847" i="1"/>
  <c r="AL427" i="1"/>
  <c r="AL604" i="1"/>
  <c r="AM827" i="1"/>
  <c r="AL409" i="1"/>
  <c r="AL840" i="1"/>
  <c r="AL861" i="1"/>
  <c r="AM612" i="1"/>
  <c r="AL354" i="1"/>
  <c r="AL752" i="1"/>
  <c r="AM380" i="1"/>
  <c r="AL40" i="1"/>
  <c r="AL632" i="1"/>
  <c r="AL859" i="1"/>
  <c r="AL841" i="1"/>
  <c r="AL333" i="1"/>
  <c r="AL535" i="1"/>
  <c r="AL603" i="1"/>
  <c r="AL748" i="1"/>
  <c r="AM283" i="1"/>
  <c r="AL774" i="1"/>
  <c r="AL642" i="1"/>
  <c r="AM117" i="1"/>
  <c r="AL880" i="1"/>
  <c r="AL630" i="1"/>
  <c r="AL297" i="1"/>
  <c r="AL183" i="1"/>
  <c r="AL523" i="1"/>
  <c r="AL415" i="1"/>
  <c r="AM790" i="1"/>
  <c r="AL322" i="1"/>
  <c r="AL806" i="1"/>
  <c r="AL703" i="1"/>
  <c r="AL786" i="1"/>
  <c r="AM691" i="1"/>
  <c r="AL691" i="1"/>
  <c r="AL105" i="1"/>
  <c r="AM105" i="1"/>
  <c r="AL350" i="1"/>
  <c r="AM350" i="1"/>
  <c r="AM685" i="1"/>
  <c r="AL685" i="1"/>
  <c r="AM687" i="1"/>
  <c r="AL687" i="1"/>
  <c r="AM48" i="1"/>
  <c r="AL48" i="1"/>
  <c r="AM49" i="1"/>
  <c r="AL49" i="1"/>
  <c r="AM727" i="1"/>
  <c r="AL727" i="1"/>
  <c r="AM873" i="1"/>
  <c r="AL873" i="1"/>
  <c r="AL398" i="1"/>
  <c r="AM398" i="1"/>
  <c r="AM770" i="1"/>
  <c r="AL770" i="1"/>
  <c r="AM213" i="1"/>
  <c r="AL213" i="1"/>
  <c r="AL228" i="1"/>
  <c r="AM228" i="1"/>
  <c r="AM451" i="1"/>
  <c r="AL451" i="1"/>
  <c r="AM597" i="1"/>
  <c r="AL597" i="1"/>
  <c r="AM772" i="1"/>
  <c r="AL772" i="1"/>
  <c r="AM345" i="1"/>
  <c r="AL345" i="1"/>
  <c r="AM877" i="1"/>
  <c r="AL877" i="1"/>
  <c r="AL119" i="1"/>
  <c r="AM119" i="1"/>
  <c r="AM678" i="1"/>
  <c r="AL678" i="1"/>
  <c r="AM88" i="1"/>
  <c r="AL88" i="1"/>
  <c r="AM496" i="1"/>
  <c r="AL496" i="1"/>
  <c r="AM650" i="1"/>
  <c r="AL650" i="1"/>
  <c r="AM817" i="1"/>
  <c r="AL817" i="1"/>
  <c r="AM867" i="1"/>
  <c r="AL867" i="1"/>
  <c r="AM546" i="1"/>
  <c r="AL546" i="1"/>
  <c r="AM836" i="1"/>
  <c r="AL836" i="1"/>
  <c r="AM346" i="1"/>
  <c r="AL346" i="1"/>
  <c r="AM309" i="1"/>
  <c r="AL309" i="1"/>
  <c r="AL503" i="1"/>
  <c r="AM503" i="1"/>
  <c r="AL143" i="1"/>
  <c r="AM143" i="1"/>
  <c r="AM702" i="1"/>
  <c r="AL702" i="1"/>
  <c r="AL848" i="1"/>
  <c r="AM848" i="1"/>
  <c r="AL850" i="1"/>
  <c r="AM850" i="1"/>
  <c r="AM881" i="1"/>
  <c r="AL881" i="1"/>
  <c r="AL410" i="1"/>
  <c r="AM410" i="1"/>
  <c r="AM722" i="1"/>
  <c r="AL722" i="1"/>
  <c r="AM617" i="1"/>
  <c r="AL617" i="1"/>
  <c r="AM720" i="1"/>
  <c r="AL720" i="1"/>
  <c r="AM740" i="1"/>
  <c r="AL740" i="1"/>
  <c r="AM794" i="1"/>
  <c r="AL794" i="1"/>
  <c r="AL47" i="1"/>
  <c r="AM47" i="1"/>
  <c r="AM276" i="1"/>
  <c r="AL276" i="1"/>
  <c r="AM499" i="1"/>
  <c r="AL499" i="1"/>
  <c r="AM645" i="1"/>
  <c r="AL645" i="1"/>
  <c r="AM820" i="1"/>
  <c r="AL820" i="1"/>
  <c r="AM828" i="1"/>
  <c r="AL828" i="1"/>
  <c r="AL326" i="1"/>
  <c r="AM326" i="1"/>
  <c r="AL144" i="1"/>
  <c r="AM144" i="1"/>
  <c r="AM158" i="1"/>
  <c r="AL158" i="1"/>
  <c r="AM513" i="1"/>
  <c r="AL513" i="1"/>
  <c r="AM473" i="1"/>
  <c r="AL473" i="1"/>
  <c r="AM738" i="1"/>
  <c r="AL738" i="1"/>
  <c r="AM598" i="1"/>
  <c r="AL598" i="1"/>
  <c r="AM626" i="1"/>
  <c r="AL626" i="1"/>
  <c r="AL24" i="1"/>
  <c r="AM24" i="1"/>
  <c r="AM195" i="1"/>
  <c r="AL195" i="1"/>
  <c r="AL480" i="1"/>
  <c r="AM480" i="1"/>
  <c r="AM223" i="1"/>
  <c r="AL223" i="1"/>
  <c r="AM125" i="1"/>
  <c r="AL125" i="1"/>
  <c r="AM804" i="1"/>
  <c r="AL804" i="1"/>
  <c r="AL83" i="1"/>
  <c r="AM83" i="1"/>
  <c r="AM818" i="1"/>
  <c r="AL818" i="1"/>
  <c r="AM387" i="1"/>
  <c r="AL387" i="1"/>
  <c r="AM417" i="1"/>
  <c r="AL417" i="1"/>
  <c r="AM809" i="1"/>
  <c r="AL809" i="1"/>
  <c r="AM500" i="1"/>
  <c r="AL500" i="1"/>
  <c r="AM376" i="1"/>
  <c r="AL376" i="1"/>
  <c r="AM153" i="1"/>
  <c r="AL153" i="1"/>
  <c r="AM286" i="1"/>
  <c r="AL286" i="1"/>
  <c r="AM319" i="1"/>
  <c r="AL319" i="1"/>
  <c r="AL31" i="1"/>
  <c r="AM31" i="1"/>
  <c r="AM341" i="1"/>
  <c r="AL341" i="1"/>
  <c r="AM101" i="1"/>
  <c r="AL101" i="1"/>
  <c r="AL780" i="1"/>
  <c r="AM780" i="1"/>
  <c r="AM247" i="1"/>
  <c r="AL247" i="1"/>
  <c r="AM879" i="1"/>
  <c r="AL879" i="1"/>
  <c r="AL324" i="1"/>
  <c r="AM324" i="1"/>
  <c r="AM13" i="1"/>
  <c r="AL13" i="1"/>
  <c r="AM835" i="1"/>
  <c r="AL835" i="1"/>
  <c r="AM307" i="1"/>
  <c r="AL307" i="1"/>
  <c r="AM509" i="1"/>
  <c r="AL509" i="1"/>
  <c r="AL431" i="1"/>
  <c r="AM431" i="1"/>
  <c r="AM433" i="1"/>
  <c r="AL433" i="1"/>
  <c r="AL192" i="1"/>
  <c r="AM192" i="1"/>
  <c r="AM193" i="1"/>
  <c r="AL193" i="1"/>
  <c r="AM871" i="1"/>
  <c r="AL871" i="1"/>
  <c r="AM161" i="1"/>
  <c r="AL161" i="1"/>
  <c r="AM545" i="1"/>
  <c r="AL545" i="1"/>
  <c r="AM76" i="1"/>
  <c r="AL76" i="1"/>
  <c r="AL494" i="1"/>
  <c r="AM494" i="1"/>
  <c r="AL372" i="1"/>
  <c r="AM372" i="1"/>
  <c r="AM595" i="1"/>
  <c r="AL595" i="1"/>
  <c r="AM741" i="1"/>
  <c r="AL741" i="1"/>
  <c r="AL8" i="1"/>
  <c r="AM8" i="1"/>
  <c r="AM710" i="1"/>
  <c r="AL710" i="1"/>
  <c r="AM577" i="1"/>
  <c r="AL577" i="1"/>
  <c r="AL263" i="1"/>
  <c r="AM263" i="1"/>
  <c r="AM822" i="1"/>
  <c r="AL822" i="1"/>
  <c r="AM291" i="1"/>
  <c r="AL291" i="1"/>
  <c r="AM640" i="1"/>
  <c r="AL640" i="1"/>
  <c r="AM390" i="1"/>
  <c r="AL390" i="1"/>
  <c r="AM147" i="1"/>
  <c r="AL147" i="1"/>
  <c r="AL635" i="1"/>
  <c r="AM635" i="1"/>
  <c r="AM690" i="1"/>
  <c r="AL690" i="1"/>
  <c r="AL104" i="1"/>
  <c r="AM104" i="1"/>
  <c r="AM508" i="1"/>
  <c r="AL508" i="1"/>
  <c r="AL683" i="1"/>
  <c r="AM683" i="1"/>
  <c r="AM843" i="1"/>
  <c r="AL843" i="1"/>
  <c r="AL287" i="1"/>
  <c r="AM287" i="1"/>
  <c r="AM846" i="1"/>
  <c r="AL846" i="1"/>
  <c r="AM124" i="1"/>
  <c r="AL124" i="1"/>
  <c r="AM171" i="1"/>
  <c r="AL171" i="1"/>
  <c r="AM231" i="1"/>
  <c r="AL231" i="1"/>
  <c r="AM757" i="1"/>
  <c r="AL757" i="1"/>
  <c r="AM553" i="1"/>
  <c r="AL553" i="1"/>
  <c r="AM308" i="1"/>
  <c r="AL308" i="1"/>
  <c r="AL179" i="1"/>
  <c r="AM179" i="1"/>
  <c r="AM369" i="1"/>
  <c r="AL369" i="1"/>
  <c r="AM112" i="1"/>
  <c r="AL112" i="1"/>
  <c r="AL335" i="1"/>
  <c r="AM335" i="1"/>
  <c r="AM109" i="1"/>
  <c r="AL109" i="1"/>
  <c r="AM643" i="1"/>
  <c r="AL643" i="1"/>
  <c r="AM789" i="1"/>
  <c r="AL789" i="1"/>
  <c r="AL80" i="1"/>
  <c r="AM80" i="1"/>
  <c r="AM162" i="1"/>
  <c r="AL162" i="1"/>
  <c r="AM807" i="1"/>
  <c r="AL807" i="1"/>
  <c r="AL288" i="1"/>
  <c r="AM288" i="1"/>
  <c r="AM352" i="1"/>
  <c r="AL352" i="1"/>
  <c r="AM657" i="1"/>
  <c r="AL657" i="1"/>
  <c r="AM761" i="1"/>
  <c r="AL761" i="1"/>
  <c r="AM493" i="1"/>
  <c r="AL493" i="1"/>
  <c r="AM174" i="1"/>
  <c r="AL174" i="1"/>
  <c r="AM886" i="1"/>
  <c r="AL886" i="1"/>
  <c r="AM719" i="1"/>
  <c r="AL719" i="1"/>
  <c r="AL312" i="1"/>
  <c r="AM312" i="1"/>
  <c r="AM537" i="1"/>
  <c r="AL537" i="1"/>
  <c r="AM566" i="1"/>
  <c r="AL566" i="1"/>
  <c r="AM490" i="1"/>
  <c r="AL490" i="1"/>
  <c r="AL371" i="1"/>
  <c r="AM371" i="1"/>
  <c r="AM406" i="1"/>
  <c r="AL406" i="1"/>
  <c r="AM681" i="1"/>
  <c r="AL681" i="1"/>
  <c r="AM663" i="1"/>
  <c r="AL663" i="1"/>
  <c r="AM14" i="1"/>
  <c r="AL14" i="1"/>
  <c r="AM793" i="1"/>
  <c r="AL793" i="1"/>
  <c r="AL518" i="1"/>
  <c r="AM518" i="1"/>
  <c r="AL188" i="1"/>
  <c r="AM188" i="1"/>
  <c r="AL662" i="1"/>
  <c r="AM662" i="1"/>
  <c r="AM169" i="1"/>
  <c r="AL169" i="1"/>
  <c r="AM338" i="1"/>
  <c r="AL338" i="1"/>
  <c r="AM157" i="1"/>
  <c r="AL157" i="1"/>
  <c r="AL103" i="1"/>
  <c r="AM103" i="1"/>
  <c r="AM478" i="1"/>
  <c r="AL478" i="1"/>
  <c r="AM653" i="1"/>
  <c r="AL653" i="1"/>
  <c r="AM771" i="1"/>
  <c r="AL771" i="1"/>
  <c r="AL3" i="1"/>
  <c r="AM3" i="1"/>
  <c r="AL336" i="1"/>
  <c r="AM336" i="1"/>
  <c r="AM337" i="1"/>
  <c r="AL337" i="1"/>
  <c r="AM159" i="1"/>
  <c r="AL159" i="1"/>
  <c r="AM355" i="1"/>
  <c r="AL355" i="1"/>
  <c r="AM689" i="1"/>
  <c r="AL689" i="1"/>
  <c r="AL516" i="1"/>
  <c r="AM516" i="1"/>
  <c r="AL695" i="1"/>
  <c r="AM695" i="1"/>
  <c r="AM61" i="1"/>
  <c r="AL61" i="1"/>
  <c r="AM739" i="1"/>
  <c r="AL739" i="1"/>
  <c r="AM885" i="1"/>
  <c r="AL885" i="1"/>
  <c r="AM221" i="1"/>
  <c r="AL221" i="1"/>
  <c r="AL456" i="1"/>
  <c r="AM456" i="1"/>
  <c r="AL611" i="1"/>
  <c r="AM611" i="1"/>
  <c r="AL407" i="1"/>
  <c r="AM407" i="1"/>
  <c r="AM86" i="1"/>
  <c r="AL86" i="1"/>
  <c r="AM465" i="1"/>
  <c r="AL465" i="1"/>
  <c r="AM784" i="1"/>
  <c r="AL784" i="1"/>
  <c r="AM743" i="1"/>
  <c r="AL743" i="1"/>
  <c r="AM563" i="1"/>
  <c r="AL563" i="1"/>
  <c r="AM131" i="1"/>
  <c r="AL131" i="1"/>
  <c r="AM834" i="1"/>
  <c r="AL834" i="1"/>
  <c r="AM306" i="1"/>
  <c r="AL306" i="1"/>
  <c r="AM652" i="1"/>
  <c r="AL652" i="1"/>
  <c r="AM422" i="1"/>
  <c r="AL422" i="1"/>
  <c r="AM185" i="1"/>
  <c r="AL185" i="1"/>
  <c r="AL120" i="1"/>
  <c r="AM120" i="1"/>
  <c r="AL122" i="1"/>
  <c r="AM122" i="1"/>
  <c r="AM321" i="1"/>
  <c r="AL321" i="1"/>
  <c r="AM364" i="1"/>
  <c r="AL364" i="1"/>
  <c r="AL623" i="1"/>
  <c r="AM623" i="1"/>
  <c r="AL93" i="1"/>
  <c r="AM93" i="1"/>
  <c r="AM281" i="1"/>
  <c r="AL281" i="1"/>
  <c r="AM421" i="1"/>
  <c r="AL421" i="1"/>
  <c r="AM12" i="1"/>
  <c r="AL12" i="1"/>
  <c r="AM669" i="1"/>
  <c r="AL669" i="1"/>
  <c r="AM887" i="1"/>
  <c r="AL887" i="1"/>
  <c r="AL168" i="1"/>
  <c r="AM168" i="1"/>
  <c r="AM253" i="1"/>
  <c r="AL253" i="1"/>
  <c r="AM787" i="1"/>
  <c r="AL787" i="1"/>
  <c r="AL33" i="1"/>
  <c r="AM33" i="1"/>
  <c r="AM284" i="1"/>
  <c r="AL284" i="1"/>
  <c r="AM567" i="1"/>
  <c r="AL567" i="1"/>
  <c r="AL638" i="1"/>
  <c r="AM638" i="1"/>
  <c r="AM121" i="1"/>
  <c r="AL121" i="1"/>
  <c r="AM511" i="1"/>
  <c r="AL511" i="1"/>
  <c r="AM675" i="1"/>
  <c r="AL675" i="1"/>
  <c r="AL78" i="1"/>
  <c r="AM78" i="1"/>
  <c r="AL54" i="1"/>
  <c r="AM54" i="1"/>
  <c r="AM145" i="1"/>
  <c r="AL145" i="1"/>
  <c r="AM825" i="1"/>
  <c r="AL825" i="1"/>
  <c r="AM392" i="1"/>
  <c r="AL392" i="1"/>
  <c r="AM778" i="1"/>
  <c r="AL778" i="1"/>
  <c r="AL348" i="1"/>
  <c r="AM348" i="1"/>
  <c r="AL502" i="1"/>
  <c r="AM502" i="1"/>
  <c r="AM565" i="1"/>
  <c r="AL565" i="1"/>
  <c r="AM864" i="1"/>
  <c r="AL864" i="1"/>
  <c r="AM89" i="1"/>
  <c r="AL89" i="1"/>
  <c r="AM150" i="1"/>
  <c r="AL150" i="1"/>
  <c r="AL696" i="1"/>
  <c r="AM696" i="1"/>
  <c r="AM831" i="1"/>
  <c r="AL831" i="1"/>
  <c r="AM533" i="1"/>
  <c r="AL533" i="1"/>
  <c r="AM301" i="1"/>
  <c r="AL301" i="1"/>
  <c r="AM205" i="1"/>
  <c r="AL205" i="1"/>
  <c r="AM275" i="1"/>
  <c r="AL275" i="1"/>
  <c r="AM529" i="1"/>
  <c r="AL529" i="1"/>
  <c r="AM397" i="1"/>
  <c r="AL397" i="1"/>
  <c r="AM243" i="1"/>
  <c r="AL243" i="1"/>
  <c r="AL476" i="1"/>
  <c r="AM476" i="1"/>
  <c r="AM349" i="1"/>
  <c r="AL349" i="1"/>
  <c r="AM41" i="1"/>
  <c r="AL41" i="1"/>
  <c r="AM633" i="1"/>
  <c r="AL633" i="1"/>
  <c r="AM454" i="1"/>
  <c r="AL454" i="1"/>
  <c r="AM430" i="1"/>
  <c r="AL430" i="1"/>
  <c r="AM799" i="1"/>
  <c r="AL799" i="1"/>
  <c r="AM811" i="1"/>
  <c r="AL811" i="1"/>
  <c r="AM606" i="1"/>
  <c r="AL606" i="1"/>
  <c r="AL647" i="1"/>
  <c r="AM647" i="1"/>
  <c r="AM448" i="1"/>
  <c r="AL448" i="1"/>
  <c r="AM744" i="1"/>
  <c r="AL744" i="1"/>
  <c r="AM608" i="1"/>
  <c r="AL608" i="1"/>
  <c r="AL754" i="1"/>
  <c r="AM754" i="1"/>
  <c r="AL659" i="1"/>
  <c r="AM659" i="1"/>
  <c r="AL620" i="1"/>
  <c r="AM620" i="1"/>
  <c r="AL43" i="1"/>
  <c r="AM43" i="1"/>
  <c r="AM767" i="1"/>
  <c r="AL767" i="1"/>
  <c r="AL296" i="1"/>
  <c r="AM296" i="1"/>
  <c r="AM459" i="1"/>
  <c r="AL459" i="1"/>
  <c r="AL178" i="1"/>
  <c r="AM178" i="1"/>
  <c r="AM510" i="1"/>
  <c r="AL510" i="1"/>
  <c r="AM656" i="1"/>
  <c r="AL656" i="1"/>
  <c r="AM802" i="1"/>
  <c r="AL802" i="1"/>
  <c r="AM505" i="1"/>
  <c r="AL505" i="1"/>
  <c r="AM639" i="1"/>
  <c r="AL639" i="1"/>
  <c r="AL90" i="1"/>
  <c r="AM90" i="1"/>
  <c r="AM173" i="1"/>
  <c r="AL173" i="1"/>
  <c r="AM368" i="1"/>
  <c r="AL368" i="1"/>
  <c r="AL526" i="1"/>
  <c r="AM526" i="1"/>
  <c r="AM701" i="1"/>
  <c r="AL701" i="1"/>
  <c r="AL542" i="1"/>
  <c r="AM542" i="1"/>
  <c r="AL467" i="1"/>
  <c r="AM467" i="1"/>
  <c r="AL384" i="1"/>
  <c r="AM384" i="1"/>
  <c r="AM607" i="1"/>
  <c r="AL607" i="1"/>
  <c r="AM196" i="1"/>
  <c r="AL196" i="1"/>
  <c r="AM425" i="1"/>
  <c r="AL425" i="1"/>
  <c r="AM829" i="1"/>
  <c r="AL829" i="1"/>
  <c r="AL671" i="1"/>
  <c r="AM671" i="1"/>
  <c r="AL252" i="1"/>
  <c r="AM252" i="1"/>
  <c r="AM475" i="1"/>
  <c r="AL475" i="1"/>
  <c r="AM765" i="1"/>
  <c r="AL765" i="1"/>
  <c r="AL254" i="1"/>
  <c r="AM254" i="1"/>
  <c r="AL515" i="1"/>
  <c r="AM515" i="1"/>
  <c r="AL170" i="1"/>
  <c r="AM170" i="1"/>
  <c r="AM97" i="1"/>
  <c r="AL97" i="1"/>
  <c r="AM631" i="1"/>
  <c r="AL631" i="1"/>
  <c r="AM777" i="1"/>
  <c r="AL777" i="1"/>
  <c r="AL455" i="1"/>
  <c r="AM455" i="1"/>
  <c r="AL230" i="1"/>
  <c r="AM230" i="1"/>
  <c r="AM315" i="1"/>
  <c r="AL315" i="1"/>
  <c r="AM270" i="1"/>
  <c r="AL270" i="1"/>
  <c r="AM742" i="1"/>
  <c r="AL742" i="1"/>
  <c r="AM495" i="1"/>
  <c r="AL495" i="1"/>
  <c r="AM462" i="1"/>
  <c r="AL462" i="1"/>
  <c r="AM237" i="1"/>
  <c r="AL237" i="1"/>
  <c r="AM428" i="1"/>
  <c r="AL428" i="1"/>
  <c r="AM574" i="1"/>
  <c r="AL574" i="1"/>
  <c r="AM749" i="1"/>
  <c r="AL749" i="1"/>
  <c r="AL443" i="1"/>
  <c r="AM443" i="1"/>
  <c r="AL458" i="1"/>
  <c r="AM458" i="1"/>
  <c r="AL51" i="1"/>
  <c r="AM51" i="1"/>
  <c r="AM442" i="1"/>
  <c r="AL442" i="1"/>
  <c r="AM854" i="1"/>
  <c r="AL854" i="1"/>
  <c r="AL118" i="1"/>
  <c r="AM118" i="1"/>
  <c r="AL272" i="1"/>
  <c r="AM272" i="1"/>
  <c r="AM700" i="1"/>
  <c r="AL700" i="1"/>
  <c r="AM707" i="1"/>
  <c r="AL707" i="1"/>
  <c r="AL27" i="1"/>
  <c r="AM27" i="1"/>
  <c r="AM733" i="1"/>
  <c r="AL733" i="1"/>
  <c r="AL123" i="1"/>
  <c r="AM123" i="1"/>
  <c r="AM736" i="1"/>
  <c r="AL736" i="1"/>
  <c r="AM282" i="1"/>
  <c r="AL282" i="1"/>
  <c r="AM325" i="1"/>
  <c r="AL325" i="1"/>
  <c r="AM644" i="1"/>
  <c r="AL644" i="1"/>
  <c r="AM235" i="1"/>
  <c r="AL235" i="1"/>
  <c r="AM745" i="1"/>
  <c r="AL745" i="1"/>
  <c r="AM661" i="1"/>
  <c r="AL661" i="1"/>
  <c r="AM634" i="1"/>
  <c r="AL634" i="1"/>
  <c r="AM233" i="1"/>
  <c r="AL233" i="1"/>
  <c r="AM819" i="1"/>
  <c r="AL819" i="1"/>
  <c r="AM305" i="1"/>
  <c r="AL305" i="1"/>
  <c r="AM746" i="1"/>
  <c r="AL746" i="1"/>
  <c r="AM353" i="1"/>
  <c r="AL353" i="1"/>
  <c r="AM833" i="1"/>
  <c r="AL833" i="1"/>
  <c r="AM883" i="1"/>
  <c r="AL883" i="1"/>
  <c r="AM579" i="1"/>
  <c r="AL579" i="1"/>
  <c r="AM28" i="1"/>
  <c r="AL28" i="1"/>
  <c r="AM477" i="1"/>
  <c r="AL477" i="1"/>
  <c r="AL264" i="1"/>
  <c r="AM264" i="1"/>
  <c r="AM344" i="1"/>
  <c r="AL344" i="1"/>
  <c r="AL300" i="1"/>
  <c r="AM300" i="1"/>
  <c r="AM289" i="1"/>
  <c r="AL289" i="1"/>
  <c r="AM280" i="1"/>
  <c r="AL280" i="1"/>
  <c r="AM265" i="1"/>
  <c r="AL265" i="1"/>
  <c r="AM285" i="1"/>
  <c r="AL285" i="1"/>
  <c r="AL63" i="1"/>
  <c r="AM63" i="1"/>
  <c r="AM651" i="1"/>
  <c r="AL651" i="1"/>
  <c r="AM248" i="1"/>
  <c r="AL248" i="1"/>
  <c r="AM279" i="1"/>
  <c r="AL279" i="1"/>
  <c r="AM420" i="1"/>
  <c r="AL420" i="1"/>
  <c r="AM351" i="1"/>
  <c r="AL351" i="1"/>
  <c r="AL57" i="1"/>
  <c r="AM57" i="1"/>
  <c r="AM175" i="1"/>
  <c r="AL175" i="1"/>
  <c r="AL240" i="1"/>
  <c r="AM240" i="1"/>
  <c r="AL236" i="1"/>
  <c r="AM236" i="1"/>
  <c r="AM304" i="1"/>
  <c r="AL304" i="1"/>
  <c r="AL75" i="1"/>
  <c r="AM75" i="1"/>
  <c r="AM664" i="1"/>
  <c r="AL664" i="1"/>
  <c r="AL600" i="1"/>
  <c r="AM600" i="1"/>
  <c r="AL81" i="1"/>
  <c r="AM81" i="1"/>
  <c r="AL660" i="1"/>
  <c r="AM660" i="1"/>
  <c r="AM805" i="1"/>
  <c r="AL805" i="1"/>
  <c r="AL19" i="1"/>
  <c r="AM19" i="1"/>
  <c r="AM142" i="1"/>
  <c r="AL142" i="1"/>
  <c r="AM474" i="1"/>
  <c r="AL474" i="1"/>
  <c r="AL764" i="1"/>
  <c r="AM764" i="1"/>
  <c r="AM250" i="1"/>
  <c r="AL250" i="1"/>
  <c r="AL62" i="1"/>
  <c r="AM62" i="1"/>
  <c r="AM673" i="1"/>
  <c r="AL673" i="1"/>
  <c r="AM697" i="1"/>
  <c r="AL697" i="1"/>
  <c r="AL95" i="1"/>
  <c r="AM95" i="1"/>
  <c r="AM654" i="1"/>
  <c r="AL654" i="1"/>
  <c r="AM800" i="1"/>
  <c r="AL800" i="1"/>
  <c r="AL99" i="1"/>
  <c r="AM99" i="1"/>
  <c r="AM852" i="1"/>
  <c r="AL852" i="1"/>
  <c r="AM411" i="1"/>
  <c r="AL411" i="1"/>
  <c r="AL91" i="1"/>
  <c r="AM91" i="1"/>
  <c r="AM366" i="1"/>
  <c r="AL366" i="1"/>
  <c r="AL524" i="1"/>
  <c r="AM524" i="1"/>
  <c r="AL670" i="1"/>
  <c r="AM670" i="1"/>
  <c r="AM845" i="1"/>
  <c r="AL845" i="1"/>
  <c r="AM295" i="1"/>
  <c r="AL295" i="1"/>
  <c r="AM249" i="1"/>
  <c r="AL249" i="1"/>
  <c r="AM73" i="1"/>
  <c r="AL73" i="1"/>
  <c r="AM751" i="1"/>
  <c r="AL751" i="1"/>
  <c r="AM388" i="1"/>
  <c r="AL388" i="1"/>
  <c r="AM569" i="1"/>
  <c r="AL569" i="1"/>
  <c r="AM163" i="1"/>
  <c r="AL163" i="1"/>
  <c r="AM865" i="1"/>
  <c r="AL865" i="1"/>
  <c r="AL396" i="1"/>
  <c r="AM396" i="1"/>
  <c r="AM619" i="1"/>
  <c r="AL619" i="1"/>
  <c r="AM211" i="1"/>
  <c r="AL211" i="1"/>
  <c r="AM437" i="1"/>
  <c r="AL437" i="1"/>
  <c r="AM855" i="1"/>
  <c r="AL855" i="1"/>
  <c r="AM756" i="1"/>
  <c r="AL756" i="1"/>
  <c r="AM241" i="1"/>
  <c r="AL241" i="1"/>
  <c r="AM775" i="1"/>
  <c r="AL775" i="1"/>
  <c r="AM17" i="1"/>
  <c r="AL17" i="1"/>
  <c r="AM795" i="1"/>
  <c r="AL795" i="1"/>
  <c r="AM615" i="1"/>
  <c r="AL615" i="1"/>
  <c r="AM469" i="1"/>
  <c r="AL469" i="1"/>
  <c r="AM594" i="1"/>
  <c r="AL594" i="1"/>
  <c r="AM220" i="1"/>
  <c r="AL220" i="1"/>
  <c r="AL614" i="1"/>
  <c r="AM614" i="1"/>
  <c r="AL70" i="1"/>
  <c r="AM70" i="1"/>
  <c r="AM426" i="1"/>
  <c r="AL426" i="1"/>
  <c r="AM572" i="1"/>
  <c r="AL572" i="1"/>
  <c r="AM718" i="1"/>
  <c r="AL718" i="1"/>
  <c r="AL266" i="1"/>
  <c r="AM266" i="1"/>
  <c r="AM783" i="1"/>
  <c r="AL783" i="1"/>
  <c r="AM543" i="1"/>
  <c r="AL543" i="1"/>
  <c r="AL45" i="1"/>
  <c r="AM45" i="1"/>
  <c r="AM257" i="1"/>
  <c r="AL257" i="1"/>
  <c r="AM586" i="1"/>
  <c r="AL586" i="1"/>
  <c r="AM199" i="1"/>
  <c r="AL199" i="1"/>
  <c r="AL35" i="1"/>
  <c r="AM35" i="1"/>
  <c r="AM596" i="1"/>
  <c r="AL596" i="1"/>
  <c r="AL116" i="1"/>
  <c r="AM116" i="1"/>
  <c r="AM781" i="1"/>
  <c r="AL781" i="1"/>
  <c r="AM424" i="1"/>
  <c r="AL424" i="1"/>
  <c r="AL42" i="1"/>
  <c r="AM42" i="1"/>
  <c r="AM172" i="1"/>
  <c r="AL172" i="1"/>
  <c r="AM294" i="1"/>
  <c r="AL294" i="1"/>
  <c r="AM568" i="1"/>
  <c r="AL568" i="1"/>
  <c r="AL92" i="1"/>
  <c r="AM92" i="1"/>
  <c r="AM329" i="1"/>
  <c r="AL329" i="1"/>
  <c r="AM320" i="1"/>
  <c r="AL320" i="1"/>
  <c r="AM268" i="1"/>
  <c r="AL268" i="1"/>
  <c r="AM356" i="1"/>
  <c r="AL356" i="1"/>
  <c r="AL238" i="1"/>
  <c r="AM238" i="1"/>
  <c r="AM4" i="1"/>
  <c r="AL4" i="1"/>
  <c r="AM622" i="1"/>
  <c r="AL622" i="1"/>
  <c r="AM25" i="1"/>
  <c r="AL25" i="1"/>
  <c r="AM514" i="1"/>
  <c r="AL514" i="1"/>
  <c r="AM363" i="1"/>
  <c r="AL363" i="1"/>
  <c r="AM177" i="1"/>
  <c r="AL177" i="1"/>
  <c r="AL96" i="1"/>
  <c r="AM96" i="1"/>
  <c r="AL26" i="1"/>
  <c r="AM26" i="1"/>
  <c r="AL102" i="1"/>
  <c r="AM102" i="1"/>
  <c r="AM589" i="1"/>
  <c r="AL589" i="1"/>
  <c r="AM489" i="1"/>
  <c r="AL489" i="1"/>
  <c r="AL126" i="1"/>
  <c r="AM126" i="1"/>
  <c r="AM234" i="1"/>
  <c r="AL234" i="1"/>
  <c r="AM393" i="1"/>
  <c r="AL393" i="1"/>
  <c r="AL491" i="1"/>
  <c r="AM491" i="1"/>
  <c r="AM404" i="1"/>
  <c r="AL404" i="1"/>
  <c r="AL554" i="1"/>
  <c r="AM554" i="1"/>
  <c r="AM658" i="1"/>
  <c r="AL658" i="1"/>
  <c r="AM260" i="1"/>
  <c r="AL260" i="1"/>
  <c r="AM370" i="1"/>
  <c r="AL370" i="1"/>
  <c r="AM463" i="1"/>
  <c r="AL463" i="1"/>
  <c r="AM482" i="1"/>
  <c r="AL482" i="1"/>
  <c r="AM621" i="1"/>
  <c r="AL621" i="1"/>
  <c r="AL408" i="1"/>
  <c r="AM408" i="1"/>
  <c r="AM709" i="1"/>
  <c r="AL709" i="1"/>
  <c r="AM277" i="1"/>
  <c r="AL277" i="1"/>
  <c r="AM29" i="1"/>
  <c r="AL29" i="1"/>
  <c r="AM219" i="1"/>
  <c r="AL219" i="1"/>
  <c r="AL59" i="1"/>
  <c r="AM59" i="1"/>
  <c r="AM618" i="1"/>
  <c r="AL618" i="1"/>
  <c r="AM210" i="1"/>
  <c r="AL210" i="1"/>
  <c r="AM436" i="1"/>
  <c r="AL436" i="1"/>
  <c r="AM506" i="1"/>
  <c r="AL506" i="1"/>
  <c r="AM419" i="1"/>
  <c r="AL419" i="1"/>
  <c r="AM10" i="1"/>
  <c r="AL10" i="1"/>
  <c r="AL239" i="1"/>
  <c r="AM239" i="1"/>
  <c r="AM798" i="1"/>
  <c r="AL798" i="1"/>
  <c r="AM52" i="1"/>
  <c r="AL52" i="1"/>
  <c r="AM298" i="1"/>
  <c r="AL298" i="1"/>
  <c r="AM197" i="1"/>
  <c r="AL197" i="1"/>
  <c r="AM758" i="1"/>
  <c r="AL758" i="1"/>
  <c r="AM46" i="1"/>
  <c r="AL46" i="1"/>
  <c r="AM522" i="1"/>
  <c r="AL522" i="1"/>
  <c r="AM668" i="1"/>
  <c r="AL668" i="1"/>
  <c r="AM814" i="1"/>
  <c r="AL814" i="1"/>
  <c r="AM110" i="1"/>
  <c r="AL110" i="1"/>
  <c r="AL672" i="1"/>
  <c r="AM672" i="1"/>
  <c r="AM519" i="1"/>
  <c r="AL519" i="1"/>
  <c r="AM217" i="1"/>
  <c r="AL217" i="1"/>
  <c r="AM194" i="1"/>
  <c r="AL194" i="1"/>
  <c r="AM538" i="1"/>
  <c r="AL538" i="1"/>
  <c r="AM713" i="1"/>
  <c r="AL713" i="1"/>
  <c r="AL575" i="1"/>
  <c r="AM575" i="1"/>
  <c r="AL552" i="1"/>
  <c r="AM552" i="1"/>
  <c r="AM85" i="1"/>
  <c r="AL85" i="1"/>
  <c r="AM763" i="1"/>
  <c r="AL763" i="1"/>
  <c r="AM403" i="1"/>
  <c r="AL403" i="1"/>
  <c r="AM581" i="1"/>
  <c r="AL581" i="1"/>
  <c r="AM200" i="1"/>
  <c r="AL200" i="1"/>
  <c r="AM77" i="1"/>
  <c r="AL77" i="1"/>
  <c r="AM385" i="1"/>
  <c r="AL385" i="1"/>
  <c r="AL15" i="1"/>
  <c r="AM15" i="1"/>
  <c r="AM226" i="1"/>
  <c r="AL226" i="1"/>
  <c r="AM64" i="1"/>
  <c r="AL64" i="1"/>
  <c r="AM113" i="1"/>
  <c r="AL113" i="1"/>
  <c r="AL839" i="1"/>
  <c r="AM839" i="1"/>
  <c r="AM259" i="1"/>
  <c r="AL259" i="1"/>
  <c r="AL588" i="1"/>
  <c r="AM588" i="1"/>
  <c r="AM882" i="1"/>
  <c r="AL882" i="1"/>
  <c r="AM556" i="1"/>
  <c r="AL556" i="1"/>
  <c r="AM342" i="1"/>
  <c r="AL342" i="1"/>
  <c r="AL94" i="1"/>
  <c r="AM94" i="1"/>
  <c r="AM570" i="1"/>
  <c r="AL570" i="1"/>
  <c r="AM716" i="1"/>
  <c r="AL716" i="1"/>
  <c r="AM862" i="1"/>
  <c r="AL862" i="1"/>
  <c r="AM649" i="1"/>
  <c r="AL649" i="1"/>
  <c r="AL146" i="1"/>
  <c r="AM146" i="1"/>
  <c r="AL636" i="1"/>
  <c r="AM636" i="1"/>
  <c r="AM255" i="1"/>
  <c r="AL255" i="1"/>
  <c r="AL440" i="1"/>
  <c r="AM440" i="1"/>
  <c r="AM874" i="1"/>
  <c r="AL874" i="1"/>
  <c r="AL686" i="1"/>
  <c r="AM686" i="1"/>
  <c r="AL323" i="1"/>
  <c r="AM323" i="1"/>
  <c r="AM884" i="1"/>
  <c r="AL884" i="1"/>
  <c r="AM485" i="1"/>
  <c r="AL485" i="1"/>
  <c r="AM517" i="1"/>
  <c r="AL517" i="1"/>
  <c r="AM190" i="1"/>
  <c r="AL190" i="1"/>
  <c r="AM712" i="1"/>
  <c r="AL712" i="1"/>
  <c r="AL602" i="1"/>
  <c r="AM602" i="1"/>
  <c r="AM665" i="1"/>
  <c r="AL665" i="1"/>
  <c r="AM779" i="1"/>
  <c r="AL779" i="1"/>
  <c r="AM830" i="1"/>
  <c r="AL830" i="1"/>
  <c r="AM856" i="1"/>
  <c r="AL856" i="1"/>
  <c r="AL875" i="1"/>
  <c r="AM875" i="1"/>
  <c r="AM313" i="1"/>
  <c r="AL313" i="1"/>
  <c r="AM592" i="1"/>
  <c r="AL592" i="1"/>
  <c r="AM457" i="1"/>
  <c r="AL457" i="1"/>
  <c r="AL227" i="1"/>
  <c r="AM227" i="1"/>
  <c r="AM340" i="1"/>
  <c r="AL340" i="1"/>
  <c r="AM134" i="1"/>
  <c r="AL134" i="1"/>
  <c r="AM863" i="1"/>
  <c r="AL863" i="1"/>
  <c r="AM413" i="1"/>
  <c r="AL413" i="1"/>
  <c r="AM609" i="1"/>
  <c r="AL609" i="1"/>
  <c r="AM796" i="1"/>
  <c r="AL796" i="1"/>
  <c r="AM520" i="1"/>
  <c r="AL520" i="1"/>
  <c r="AL69" i="1"/>
  <c r="AM69" i="1"/>
  <c r="AM244" i="1"/>
  <c r="AL244" i="1"/>
  <c r="AM655" i="1"/>
  <c r="AL655" i="1"/>
  <c r="AM842" i="1"/>
  <c r="AL842" i="1"/>
  <c r="AM292" i="1"/>
  <c r="AL292" i="1"/>
  <c r="AM466" i="1"/>
  <c r="AL466" i="1"/>
  <c r="AM821" i="1"/>
  <c r="AL821" i="1"/>
  <c r="AM766" i="1"/>
  <c r="AL766" i="1"/>
  <c r="AM512" i="1"/>
  <c r="AL512" i="1"/>
  <c r="AM129" i="1"/>
  <c r="AL129" i="1"/>
  <c r="AL114" i="1"/>
  <c r="AM114" i="1"/>
  <c r="AM753" i="1"/>
  <c r="AL753" i="1"/>
  <c r="AM108" i="1"/>
  <c r="AL108" i="1"/>
  <c r="AL44" i="1"/>
  <c r="AM44" i="1"/>
  <c r="AM487" i="1"/>
  <c r="AL487" i="1"/>
  <c r="AL876" i="1"/>
  <c r="AM876" i="1"/>
  <c r="AM357" i="1"/>
  <c r="AL357" i="1"/>
  <c r="AL242" i="1"/>
  <c r="AM242" i="1"/>
  <c r="AL358" i="1"/>
  <c r="AM358" i="1"/>
  <c r="AM53" i="1"/>
  <c r="AL53" i="1"/>
  <c r="AM74" i="1"/>
  <c r="AL74" i="1"/>
  <c r="AM412" i="1"/>
  <c r="AL412" i="1"/>
  <c r="AL610" i="1"/>
  <c r="AM610" i="1"/>
  <c r="AM445" i="1"/>
  <c r="AL445" i="1"/>
  <c r="AM573" i="1"/>
  <c r="AL573" i="1"/>
  <c r="AM303" i="1"/>
  <c r="AL303" i="1"/>
  <c r="AL203" i="1"/>
  <c r="AM203" i="1"/>
  <c r="AM762" i="1"/>
  <c r="AL762" i="1"/>
  <c r="AM402" i="1"/>
  <c r="AL402" i="1"/>
  <c r="AM580" i="1"/>
  <c r="AL580" i="1"/>
  <c r="AM853" i="1"/>
  <c r="AL853" i="1"/>
  <c r="AM759" i="1"/>
  <c r="AL759" i="1"/>
  <c r="AM154" i="1"/>
  <c r="AL154" i="1"/>
  <c r="AL383" i="1"/>
  <c r="AM383" i="1"/>
  <c r="AM50" i="1"/>
  <c r="AL50" i="1"/>
  <c r="AM258" i="1"/>
  <c r="AL258" i="1"/>
  <c r="AM472" i="1"/>
  <c r="AL472" i="1"/>
  <c r="AM591" i="1"/>
  <c r="AL591" i="1"/>
  <c r="AL56" i="1"/>
  <c r="AM56" i="1"/>
  <c r="AL107" i="1"/>
  <c r="AM107" i="1"/>
  <c r="AM666" i="1"/>
  <c r="AL666" i="1"/>
  <c r="AM812" i="1"/>
  <c r="AL812" i="1"/>
  <c r="AL115" i="1"/>
  <c r="AM115" i="1"/>
  <c r="AM531" i="1"/>
  <c r="AL531" i="1"/>
  <c r="AL444" i="1"/>
  <c r="AM444" i="1"/>
  <c r="AM435" i="1"/>
  <c r="AL435" i="1"/>
  <c r="AM361" i="1"/>
  <c r="AL361" i="1"/>
  <c r="AL386" i="1"/>
  <c r="AM386" i="1"/>
  <c r="AM682" i="1"/>
  <c r="AL682" i="1"/>
  <c r="AM857" i="1"/>
  <c r="AL857" i="1"/>
  <c r="AM330" i="1"/>
  <c r="AL330" i="1"/>
  <c r="AL374" i="1"/>
  <c r="AM374" i="1"/>
  <c r="AM229" i="1"/>
  <c r="AL229" i="1"/>
  <c r="AM209" i="1"/>
  <c r="AL209" i="1"/>
  <c r="AM550" i="1"/>
  <c r="AL550" i="1"/>
  <c r="AM725" i="1"/>
  <c r="AL725" i="1"/>
  <c r="AM601" i="1"/>
  <c r="AL601" i="1"/>
  <c r="AM637" i="1"/>
  <c r="AL637" i="1"/>
  <c r="AL9" i="1"/>
  <c r="AM9" i="1"/>
  <c r="AM224" i="1"/>
  <c r="AL224" i="1"/>
  <c r="AM269" i="1"/>
  <c r="AL269" i="1"/>
  <c r="AM541" i="1"/>
  <c r="AL541" i="1"/>
  <c r="AM293" i="1"/>
  <c r="AL293" i="1"/>
  <c r="AM730" i="1"/>
  <c r="AL730" i="1"/>
  <c r="AL674" i="1"/>
  <c r="AM674" i="1"/>
  <c r="AM367" i="1"/>
  <c r="AL367" i="1"/>
  <c r="AM844" i="1"/>
  <c r="AL844" i="1"/>
  <c r="AL578" i="1"/>
  <c r="AM578" i="1"/>
  <c r="AL11" i="1"/>
  <c r="AM11" i="1"/>
  <c r="AM714" i="1"/>
  <c r="AL714" i="1"/>
  <c r="AM860" i="1"/>
  <c r="AL860" i="1"/>
  <c r="AM187" i="1"/>
  <c r="AL187" i="1"/>
  <c r="AM389" i="1"/>
  <c r="AL389" i="1"/>
  <c r="AM555" i="1"/>
  <c r="AL555" i="1"/>
  <c r="AM106" i="1"/>
  <c r="AL106" i="1"/>
  <c r="AM438" i="1"/>
  <c r="AL438" i="1"/>
  <c r="AL584" i="1"/>
  <c r="AM584" i="1"/>
  <c r="AM202" i="1"/>
  <c r="AL202" i="1"/>
  <c r="AM5" i="1"/>
  <c r="AL5" i="1"/>
  <c r="AL156" i="1"/>
  <c r="AM156" i="1"/>
  <c r="AM176" i="1"/>
  <c r="AL176" i="1"/>
  <c r="AM773" i="1"/>
  <c r="AL773" i="1"/>
  <c r="AM815" i="1"/>
  <c r="AL815" i="1"/>
  <c r="AM679" i="1"/>
  <c r="AL679" i="1"/>
  <c r="AM136" i="1"/>
  <c r="AL136" i="1"/>
  <c r="AL551" i="1"/>
  <c r="AM551" i="1"/>
  <c r="AM225" i="1"/>
  <c r="AL225" i="1"/>
  <c r="AM446" i="1"/>
  <c r="AL446" i="1"/>
  <c r="AL128" i="1"/>
  <c r="AM128" i="1"/>
  <c r="AM218" i="1"/>
  <c r="AL218" i="1"/>
  <c r="AL332" i="1"/>
  <c r="AM332" i="1"/>
  <c r="AL587" i="1"/>
  <c r="AM587" i="1"/>
  <c r="AM646" i="1"/>
  <c r="AL646" i="1"/>
  <c r="AM278" i="1"/>
  <c r="AL278" i="1"/>
  <c r="AM797" i="1"/>
  <c r="AL797" i="1"/>
  <c r="AM803" i="1"/>
  <c r="AL803" i="1"/>
  <c r="AM769" i="1"/>
  <c r="AL769" i="1"/>
  <c r="AM507" i="1"/>
  <c r="AL507" i="1"/>
  <c r="AM461" i="1"/>
  <c r="AL461" i="1"/>
  <c r="AM768" i="1"/>
  <c r="AL768" i="1"/>
  <c r="AL528" i="1"/>
  <c r="AM528" i="1"/>
  <c r="AM362" i="1"/>
  <c r="AL362" i="1"/>
  <c r="AM557" i="1"/>
  <c r="AL557" i="1"/>
  <c r="AM747" i="1"/>
  <c r="AL747" i="1"/>
  <c r="AM605" i="1"/>
  <c r="AL605" i="1"/>
  <c r="AL347" i="1"/>
  <c r="AM347" i="1"/>
  <c r="AM208" i="1"/>
  <c r="AL208" i="1"/>
  <c r="AM549" i="1"/>
  <c r="AL549" i="1"/>
  <c r="AM724" i="1"/>
  <c r="AL724" i="1"/>
  <c r="AM198" i="1"/>
  <c r="AL198" i="1"/>
  <c r="AM165" i="1"/>
  <c r="AL165" i="1"/>
  <c r="AL71" i="1"/>
  <c r="AM71" i="1"/>
  <c r="AM72" i="1"/>
  <c r="AL72" i="1"/>
  <c r="AM256" i="1"/>
  <c r="AL256" i="1"/>
  <c r="AM441" i="1"/>
  <c r="AL441" i="1"/>
  <c r="AM616" i="1"/>
  <c r="AL616" i="1"/>
  <c r="AM310" i="1"/>
  <c r="AL310" i="1"/>
  <c r="AM504" i="1"/>
  <c r="AL504" i="1"/>
  <c r="AL251" i="1"/>
  <c r="AM251" i="1"/>
  <c r="AM810" i="1"/>
  <c r="AL810" i="1"/>
  <c r="AL68" i="1"/>
  <c r="AM68" i="1"/>
  <c r="AM316" i="1"/>
  <c r="AL316" i="1"/>
  <c r="AM878" i="1"/>
  <c r="AL878" i="1"/>
  <c r="AL791" i="1"/>
  <c r="AM791" i="1"/>
  <c r="AL527" i="1"/>
  <c r="AM527" i="1"/>
  <c r="AM189" i="1"/>
  <c r="AL189" i="1"/>
  <c r="AM536" i="1"/>
  <c r="AL536" i="1"/>
  <c r="AM826" i="1"/>
  <c r="AL826" i="1"/>
  <c r="AM148" i="1"/>
  <c r="AL148" i="1"/>
  <c r="AL698" i="1"/>
  <c r="AM698" i="1"/>
  <c r="AL39" i="1"/>
  <c r="AM39" i="1"/>
  <c r="AM373" i="1"/>
  <c r="AL373" i="1"/>
  <c r="AM401" i="1"/>
  <c r="AL401" i="1"/>
  <c r="AM694" i="1"/>
  <c r="AL694" i="1"/>
  <c r="AM869" i="1"/>
  <c r="AL869" i="1"/>
  <c r="AM375" i="1"/>
  <c r="AL375" i="1"/>
  <c r="AL468" i="1"/>
  <c r="AM468" i="1"/>
  <c r="AM222" i="1"/>
  <c r="AL222" i="1"/>
  <c r="AL416" i="1"/>
  <c r="AM416" i="1"/>
  <c r="AM449" i="1"/>
  <c r="AL449" i="1"/>
  <c r="AM888" i="1"/>
  <c r="AL888" i="1"/>
  <c r="AM394" i="1"/>
  <c r="AL394" i="1"/>
  <c r="AM328" i="1"/>
  <c r="AL328" i="1"/>
  <c r="AM667" i="1"/>
  <c r="AL667" i="1"/>
  <c r="AM317" i="1"/>
  <c r="AL317" i="1"/>
  <c r="AL434" i="1"/>
  <c r="AM434" i="1"/>
  <c r="AL155" i="1"/>
  <c r="AM155" i="1"/>
  <c r="AM858" i="1"/>
  <c r="AL858" i="1"/>
  <c r="AM140" i="1"/>
  <c r="AL140" i="1"/>
  <c r="AM379" i="1"/>
  <c r="AL379" i="1"/>
  <c r="AM735" i="1"/>
  <c r="AL735" i="1"/>
  <c r="AM262" i="1"/>
  <c r="AL262" i="1"/>
  <c r="AL23" i="1"/>
  <c r="AM23" i="1"/>
  <c r="AM582" i="1"/>
  <c r="AL582" i="1"/>
  <c r="AM728" i="1"/>
  <c r="AL728" i="1"/>
  <c r="AM688" i="1"/>
  <c r="AL688" i="1"/>
  <c r="AM816" i="1"/>
  <c r="AL816" i="1"/>
  <c r="AM133" i="1"/>
  <c r="AL133" i="1"/>
  <c r="AM525" i="1"/>
  <c r="AL525" i="1"/>
  <c r="AM343" i="1"/>
  <c r="AL343" i="1"/>
  <c r="AM127" i="1"/>
  <c r="AL127" i="1"/>
  <c r="AL290" i="1"/>
  <c r="AM290" i="1"/>
  <c r="AM497" i="1"/>
  <c r="AL497" i="1"/>
  <c r="AM318" i="1"/>
  <c r="AL318" i="1"/>
  <c r="AL539" i="1"/>
  <c r="AM539" i="1"/>
  <c r="AM732" i="1"/>
  <c r="AL732" i="1"/>
  <c r="AM823" i="1"/>
  <c r="AL823" i="1"/>
  <c r="AM641" i="1"/>
  <c r="AL641" i="1"/>
  <c r="AM776" i="1"/>
  <c r="AL776" i="1"/>
  <c r="AM699" i="1"/>
  <c r="AL699" i="1"/>
  <c r="AL79" i="1"/>
  <c r="AM79" i="1"/>
  <c r="AM391" i="1"/>
  <c r="AL391" i="1"/>
  <c r="AM36" i="1"/>
  <c r="AL36" i="1"/>
  <c r="AM400" i="1"/>
  <c r="AL400" i="1"/>
  <c r="AM693" i="1"/>
  <c r="AL693" i="1"/>
  <c r="AM868" i="1"/>
  <c r="AL868" i="1"/>
  <c r="AL599" i="1"/>
  <c r="AM599" i="1"/>
  <c r="AL755" i="1"/>
  <c r="AM755" i="1"/>
  <c r="AL215" i="1"/>
  <c r="AM215" i="1"/>
  <c r="AM216" i="1"/>
  <c r="AL216" i="1"/>
  <c r="AM439" i="1"/>
  <c r="AL439" i="1"/>
  <c r="AM585" i="1"/>
  <c r="AL585" i="1"/>
  <c r="AM760" i="1"/>
  <c r="AL760" i="1"/>
  <c r="AL684" i="1"/>
  <c r="AM684" i="1"/>
  <c r="AM851" i="1"/>
  <c r="AL851" i="1"/>
  <c r="AL395" i="1"/>
  <c r="AM395" i="1"/>
  <c r="AL66" i="1"/>
  <c r="AM66" i="1"/>
  <c r="AM273" i="1"/>
  <c r="AL273" i="1"/>
  <c r="AM484" i="1"/>
  <c r="AL484" i="1"/>
  <c r="AM232" i="1"/>
  <c r="AL232" i="1"/>
  <c r="AL98" i="1"/>
  <c r="AM98" i="1"/>
  <c r="AM246" i="1"/>
  <c r="AL246" i="1"/>
  <c r="AM381" i="1"/>
  <c r="AL381" i="1"/>
  <c r="AM680" i="1"/>
  <c r="AL680" i="1"/>
  <c r="AM135" i="1"/>
  <c r="AL135" i="1"/>
  <c r="AM564" i="1"/>
  <c r="AL564" i="1"/>
  <c r="AL6" i="1"/>
  <c r="AM6" i="1"/>
  <c r="AM866" i="1"/>
  <c r="AL866" i="1"/>
  <c r="AM207" i="1"/>
  <c r="AL207" i="1"/>
  <c r="AM548" i="1"/>
  <c r="AL548" i="1"/>
  <c r="AM838" i="1"/>
  <c r="AL838" i="1"/>
  <c r="AM186" i="1"/>
  <c r="AL186" i="1"/>
  <c r="AM731" i="1"/>
  <c r="AL731" i="1"/>
  <c r="AM164" i="1"/>
  <c r="AL164" i="1"/>
  <c r="AM414" i="1"/>
  <c r="AL414" i="1"/>
  <c r="AL560" i="1"/>
  <c r="AM560" i="1"/>
  <c r="AM562" i="1"/>
  <c r="AL562" i="1"/>
  <c r="AM593" i="1"/>
  <c r="AL593" i="1"/>
  <c r="AM245" i="1"/>
  <c r="AL245" i="1"/>
  <c r="AM544" i="1"/>
  <c r="AL544" i="1"/>
  <c r="AL432" i="1"/>
  <c r="AM432" i="1"/>
  <c r="AL67" i="1"/>
  <c r="AM67" i="1"/>
  <c r="AM629" i="1"/>
  <c r="AL629" i="1"/>
  <c r="AM212" i="1"/>
  <c r="AL212" i="1"/>
  <c r="AL299" i="1"/>
  <c r="AM299" i="1"/>
  <c r="AM138" i="1"/>
  <c r="AL138" i="1"/>
  <c r="AM339" i="1"/>
  <c r="AL339" i="1"/>
  <c r="AM532" i="1"/>
  <c r="AL532" i="1"/>
  <c r="AL21" i="1"/>
  <c r="AM21" i="1"/>
  <c r="AM648" i="1"/>
  <c r="AL648" i="1"/>
  <c r="AL167" i="1"/>
  <c r="AM167" i="1"/>
  <c r="AM726" i="1"/>
  <c r="AL726" i="1"/>
  <c r="AM872" i="1"/>
  <c r="AL872" i="1"/>
  <c r="AM832" i="1"/>
  <c r="AL832" i="1"/>
  <c r="AM184" i="1"/>
  <c r="AL184" i="1"/>
  <c r="AM65" i="1"/>
  <c r="AL65" i="1"/>
  <c r="AM813" i="1"/>
  <c r="AL813" i="1"/>
  <c r="AM447" i="1"/>
  <c r="AL447" i="1"/>
  <c r="AM130" i="1"/>
  <c r="AL130" i="1"/>
  <c r="AM625" i="1"/>
  <c r="AL625" i="1"/>
  <c r="AL87" i="1"/>
  <c r="AM87" i="1"/>
  <c r="AM734" i="1"/>
  <c r="AL734" i="1"/>
  <c r="AM377" i="1"/>
  <c r="AL377" i="1"/>
  <c r="AM486" i="1"/>
  <c r="AL486" i="1"/>
  <c r="AM365" i="1"/>
  <c r="AL365" i="1"/>
  <c r="AM792" i="1"/>
  <c r="AL792" i="1"/>
  <c r="AL204" i="1"/>
  <c r="AM204" i="1"/>
  <c r="AM460" i="1"/>
  <c r="AL460" i="1"/>
  <c r="AM483" i="1"/>
  <c r="AL483" i="1"/>
  <c r="AL180" i="1"/>
  <c r="AM180" i="1"/>
  <c r="AM547" i="1"/>
  <c r="AL547" i="1"/>
  <c r="AM837" i="1"/>
  <c r="AL837" i="1"/>
  <c r="AL152" i="1"/>
  <c r="AM152" i="1"/>
  <c r="AL314" i="1"/>
  <c r="AM314" i="1"/>
  <c r="AL182" i="1"/>
  <c r="AM182" i="1"/>
  <c r="AL359" i="1"/>
  <c r="AM359" i="1"/>
  <c r="AM360" i="1"/>
  <c r="AL360" i="1"/>
  <c r="AM583" i="1"/>
  <c r="AL583" i="1"/>
  <c r="AM729" i="1"/>
  <c r="AL729" i="1"/>
  <c r="AL206" i="1"/>
  <c r="AM206" i="1"/>
  <c r="AM423" i="1"/>
  <c r="AL423" i="1"/>
  <c r="AL492" i="1"/>
  <c r="AM492" i="1"/>
  <c r="AM84" i="1"/>
  <c r="AL84" i="1"/>
  <c r="AM271" i="1"/>
  <c r="AL271" i="1"/>
  <c r="AM453" i="1"/>
  <c r="AL453" i="1"/>
  <c r="AM628" i="1"/>
  <c r="AL628" i="1"/>
  <c r="AL624" i="1"/>
  <c r="AM624" i="1"/>
  <c r="AL530" i="1"/>
  <c r="AM530" i="1"/>
  <c r="AM58" i="1"/>
  <c r="AL58" i="1"/>
  <c r="AM534" i="1"/>
  <c r="AL534" i="1"/>
  <c r="AM824" i="1"/>
  <c r="AL824" i="1"/>
  <c r="AM331" i="1"/>
  <c r="AL331" i="1"/>
  <c r="AM267" i="1"/>
  <c r="AL267" i="1"/>
  <c r="AL470" i="1"/>
  <c r="AM470" i="1"/>
  <c r="AM782" i="1"/>
  <c r="AL782" i="1"/>
  <c r="AM399" i="1"/>
  <c r="AL399" i="1"/>
  <c r="AM692" i="1"/>
  <c r="AL692" i="1"/>
  <c r="AM151" i="1"/>
  <c r="AL151" i="1"/>
  <c r="AM590" i="1"/>
  <c r="AL590" i="1"/>
  <c r="AL55" i="1"/>
  <c r="AM55" i="1"/>
  <c r="AM82" i="1"/>
  <c r="AL82" i="1"/>
  <c r="AM558" i="1"/>
  <c r="AL558" i="1"/>
  <c r="AL704" i="1"/>
  <c r="AM704" i="1"/>
  <c r="AM706" i="1"/>
  <c r="AL706" i="1"/>
  <c r="AM737" i="1"/>
  <c r="AL737" i="1"/>
  <c r="AM627" i="1"/>
  <c r="AL627" i="1"/>
  <c r="AM201" i="1"/>
  <c r="AL201" i="1"/>
  <c r="AM302" i="1"/>
  <c r="AL302" i="1"/>
  <c r="AM723" i="1"/>
  <c r="AL723" i="1"/>
  <c r="AM452" i="1"/>
  <c r="AL452" i="1"/>
  <c r="AM708" i="1"/>
  <c r="AL708" i="1"/>
  <c r="AL576" i="1"/>
  <c r="AM576" i="1"/>
  <c r="AM132" i="1"/>
  <c r="AL132" i="1"/>
  <c r="AM334" i="1"/>
  <c r="AL334" i="1"/>
  <c r="AM501" i="1"/>
  <c r="AL501" i="1"/>
  <c r="AM676" i="1"/>
  <c r="AL676" i="1"/>
  <c r="AM481" i="1"/>
  <c r="AL481" i="1"/>
  <c r="AM405" i="1"/>
  <c r="AL405" i="1"/>
  <c r="AL311" i="1"/>
  <c r="AM311" i="1"/>
  <c r="AM870" i="1"/>
  <c r="AL870" i="1"/>
  <c r="AM160" i="1"/>
  <c r="AL160" i="1"/>
  <c r="AM100" i="1"/>
  <c r="AL100" i="1"/>
  <c r="AM450" i="1"/>
  <c r="AL450" i="1"/>
  <c r="AL274" i="1"/>
  <c r="AM274" i="1"/>
  <c r="AL540" i="1"/>
  <c r="AM540" i="1"/>
  <c r="AL191" i="1"/>
  <c r="AM191" i="1"/>
  <c r="AM849" i="1"/>
  <c r="AL849" i="1"/>
  <c r="AM711" i="1"/>
  <c r="AL711" i="1"/>
  <c r="AM214" i="1"/>
  <c r="AL214" i="1"/>
  <c r="AM677" i="1"/>
  <c r="AL677" i="1"/>
  <c r="AM464" i="1"/>
  <c r="AL464" i="1"/>
  <c r="AL20" i="1"/>
  <c r="AM20" i="1"/>
  <c r="AM521" i="1"/>
  <c r="AL521" i="1"/>
  <c r="AM181" i="1"/>
  <c r="AL181" i="1"/>
  <c r="AM139" i="1"/>
  <c r="AL139" i="1"/>
  <c r="AM613" i="1"/>
  <c r="AL613" i="1"/>
  <c r="AM750" i="1"/>
  <c r="AL750" i="1"/>
  <c r="N7" i="10"/>
  <c r="H17" i="10" s="1"/>
  <c r="C13" i="10"/>
  <c r="Y2" i="6"/>
  <c r="N2" i="4"/>
  <c r="O2" i="4"/>
  <c r="P2" i="4"/>
  <c r="Q2" i="4"/>
  <c r="R2" i="4"/>
  <c r="S2" i="4"/>
  <c r="T2" i="4"/>
  <c r="U2" i="4"/>
  <c r="V2" i="4"/>
  <c r="W2" i="4"/>
  <c r="X2" i="4"/>
  <c r="Y2" i="4"/>
  <c r="M2" i="4"/>
  <c r="M7" i="4" s="1"/>
  <c r="L2" i="4"/>
  <c r="L7" i="4" s="1"/>
  <c r="K2" i="4"/>
  <c r="K7" i="4" s="1"/>
  <c r="J2" i="4"/>
  <c r="I2" i="4"/>
  <c r="H2" i="4"/>
  <c r="G2" i="4"/>
  <c r="G7" i="4" s="1"/>
  <c r="F2" i="4"/>
  <c r="F7" i="4" s="1"/>
  <c r="E2" i="4"/>
  <c r="E7" i="4" s="1"/>
  <c r="D2" i="4"/>
  <c r="D7" i="4" s="1"/>
  <c r="C2" i="4"/>
  <c r="C7" i="4" s="1"/>
  <c r="B2" i="4"/>
  <c r="G20" i="5"/>
  <c r="AN2" i="1"/>
  <c r="AO2" i="1" s="1"/>
  <c r="I51" i="5" s="1"/>
  <c r="C45" i="5" l="1"/>
  <c r="C52" i="10" s="1"/>
  <c r="I45" i="5"/>
  <c r="I52" i="10" s="1"/>
  <c r="D45" i="5"/>
  <c r="D52" i="10" s="1"/>
  <c r="E45" i="5"/>
  <c r="F45" i="5"/>
  <c r="G45" i="5"/>
  <c r="N51" i="5"/>
  <c r="B45" i="5"/>
  <c r="B52" i="10" s="1"/>
  <c r="L8" i="5"/>
  <c r="L33" i="5" s="1"/>
  <c r="M8" i="5"/>
  <c r="M33" i="5" s="1"/>
  <c r="I8" i="5"/>
  <c r="I33" i="5" s="1"/>
  <c r="D8" i="5"/>
  <c r="D33" i="5" s="1"/>
  <c r="F8" i="5"/>
  <c r="F33" i="5" s="1"/>
  <c r="G8" i="5"/>
  <c r="G33" i="5" s="1"/>
  <c r="J8" i="5"/>
  <c r="J33" i="5" s="1"/>
  <c r="C8" i="5"/>
  <c r="C33" i="5" s="1"/>
  <c r="K8" i="5"/>
  <c r="K33" i="5" s="1"/>
  <c r="E8" i="5"/>
  <c r="E33" i="5" s="1"/>
  <c r="H8" i="5"/>
  <c r="H33" i="5" s="1"/>
  <c r="M9" i="5"/>
  <c r="M34" i="5" s="1"/>
  <c r="I9" i="5"/>
  <c r="I34" i="5" s="1"/>
  <c r="L9" i="5"/>
  <c r="L34" i="5" s="1"/>
  <c r="K9" i="5"/>
  <c r="K34" i="5" s="1"/>
  <c r="J9" i="5"/>
  <c r="J34" i="5" s="1"/>
  <c r="J11" i="5"/>
  <c r="J36" i="5" s="1"/>
  <c r="M11" i="5"/>
  <c r="M36" i="5" s="1"/>
  <c r="K11" i="5"/>
  <c r="K36" i="5" s="1"/>
  <c r="L6" i="5"/>
  <c r="L31" i="5" s="1"/>
  <c r="K6" i="5"/>
  <c r="K31" i="5" s="1"/>
  <c r="J6" i="5"/>
  <c r="J31" i="5" s="1"/>
  <c r="M6" i="5"/>
  <c r="M31" i="5" s="1"/>
  <c r="I6" i="5"/>
  <c r="I31" i="5" s="1"/>
  <c r="B6" i="5"/>
  <c r="B31" i="5" s="1"/>
  <c r="C6" i="5"/>
  <c r="C31" i="5" s="1"/>
  <c r="L13" i="5"/>
  <c r="L38" i="5" s="1"/>
  <c r="K13" i="5"/>
  <c r="K38" i="5" s="1"/>
  <c r="M13" i="5"/>
  <c r="M38" i="5" s="1"/>
  <c r="J13" i="5"/>
  <c r="J38" i="5" s="1"/>
  <c r="I13" i="5"/>
  <c r="I38" i="5" s="1"/>
  <c r="L10" i="5"/>
  <c r="L35" i="5" s="1"/>
  <c r="K10" i="5"/>
  <c r="K35" i="5" s="1"/>
  <c r="J10" i="5"/>
  <c r="J35" i="5" s="1"/>
  <c r="M10" i="5"/>
  <c r="M35" i="5" s="1"/>
  <c r="I11" i="5"/>
  <c r="I24" i="5"/>
  <c r="I10" i="5"/>
  <c r="I23" i="5"/>
  <c r="H20" i="10"/>
  <c r="H21" i="10" s="1"/>
  <c r="H24" i="10"/>
  <c r="H25" i="10" s="1"/>
  <c r="H19" i="10"/>
  <c r="D13" i="10"/>
  <c r="C14" i="10"/>
  <c r="L52" i="10"/>
  <c r="M52" i="10"/>
  <c r="F26" i="5"/>
  <c r="K52" i="10"/>
  <c r="J52" i="10"/>
  <c r="G26" i="5"/>
  <c r="F19" i="5"/>
  <c r="F6" i="5"/>
  <c r="E6" i="5"/>
  <c r="E19" i="5"/>
  <c r="D23" i="5"/>
  <c r="D10" i="5"/>
  <c r="E9" i="5"/>
  <c r="E22" i="5"/>
  <c r="G52" i="10"/>
  <c r="G9" i="5"/>
  <c r="G22" i="5"/>
  <c r="C23" i="5"/>
  <c r="C10" i="5"/>
  <c r="E52" i="10"/>
  <c r="E10" i="5"/>
  <c r="E23" i="5"/>
  <c r="G19" i="5"/>
  <c r="G6" i="5"/>
  <c r="G13" i="5"/>
  <c r="H13" i="5"/>
  <c r="F13" i="5"/>
  <c r="H26" i="5"/>
  <c r="D24" i="5"/>
  <c r="D11" i="5"/>
  <c r="C24" i="5"/>
  <c r="C11" i="5"/>
  <c r="H52" i="10"/>
  <c r="K12" i="5"/>
  <c r="J12" i="5"/>
  <c r="J37" i="5" s="1"/>
  <c r="I12" i="5"/>
  <c r="I37" i="5" s="1"/>
  <c r="E12" i="5"/>
  <c r="E37" i="5" s="1"/>
  <c r="D12" i="5"/>
  <c r="H12" i="5"/>
  <c r="G12" i="5"/>
  <c r="G37" i="5" s="1"/>
  <c r="C12" i="5"/>
  <c r="C37" i="5" s="1"/>
  <c r="L12" i="5"/>
  <c r="M12" i="5"/>
  <c r="B12" i="5"/>
  <c r="F12" i="5"/>
  <c r="H25" i="5"/>
  <c r="D6" i="5"/>
  <c r="D19" i="5"/>
  <c r="B26" i="5"/>
  <c r="B13" i="5"/>
  <c r="H6" i="5"/>
  <c r="H19" i="5"/>
  <c r="D22" i="5"/>
  <c r="D9" i="5"/>
  <c r="B10" i="5"/>
  <c r="B23" i="5"/>
  <c r="C22" i="5"/>
  <c r="C9" i="5"/>
  <c r="G23" i="5"/>
  <c r="G10" i="5"/>
  <c r="H22" i="5"/>
  <c r="H9" i="5"/>
  <c r="B8" i="5"/>
  <c r="B21" i="5"/>
  <c r="N21" i="5" s="1"/>
  <c r="F10" i="5"/>
  <c r="F23" i="5"/>
  <c r="H24" i="5"/>
  <c r="E11" i="5"/>
  <c r="E36" i="5" s="1"/>
  <c r="H11" i="5"/>
  <c r="G11" i="5"/>
  <c r="G36" i="5" s="1"/>
  <c r="F11" i="5"/>
  <c r="F36" i="5" s="1"/>
  <c r="F52" i="10"/>
  <c r="F9" i="5"/>
  <c r="F22" i="5"/>
  <c r="H23" i="5"/>
  <c r="H10" i="5"/>
  <c r="E13" i="5"/>
  <c r="E26" i="5"/>
  <c r="B9" i="5"/>
  <c r="B22" i="5"/>
  <c r="B11" i="5"/>
  <c r="B24" i="5"/>
  <c r="G7" i="5"/>
  <c r="C7" i="5"/>
  <c r="C32" i="5" s="1"/>
  <c r="K7" i="5"/>
  <c r="M7" i="5"/>
  <c r="I7" i="5"/>
  <c r="E7" i="5"/>
  <c r="E32" i="5" s="1"/>
  <c r="F7" i="5"/>
  <c r="F32" i="5" s="1"/>
  <c r="H20" i="5"/>
  <c r="B7" i="5"/>
  <c r="L7" i="5"/>
  <c r="H7" i="5"/>
  <c r="J7" i="5"/>
  <c r="D7" i="5"/>
  <c r="D32" i="5" s="1"/>
  <c r="C26" i="5"/>
  <c r="C13" i="5"/>
  <c r="D13" i="5"/>
  <c r="D26" i="5"/>
  <c r="B7" i="4"/>
  <c r="B34" i="4"/>
  <c r="B16" i="4"/>
  <c r="B25" i="4"/>
  <c r="B43" i="4"/>
  <c r="S16" i="4"/>
  <c r="S25" i="4"/>
  <c r="S43" i="4"/>
  <c r="S34" i="4"/>
  <c r="S7" i="4"/>
  <c r="R25" i="4"/>
  <c r="R43" i="4"/>
  <c r="R34" i="4"/>
  <c r="R16" i="4"/>
  <c r="R7" i="4"/>
  <c r="Q25" i="4"/>
  <c r="Q43" i="4"/>
  <c r="Q34" i="4"/>
  <c r="Q16" i="4"/>
  <c r="Q7" i="4"/>
  <c r="E25" i="4"/>
  <c r="E43" i="4"/>
  <c r="E34" i="4"/>
  <c r="E16" i="4"/>
  <c r="P43" i="4"/>
  <c r="P34" i="4"/>
  <c r="P16" i="4"/>
  <c r="P25" i="4"/>
  <c r="P7" i="4"/>
  <c r="F25" i="4"/>
  <c r="F43" i="4"/>
  <c r="F34" i="4"/>
  <c r="F16" i="4"/>
  <c r="O43" i="4"/>
  <c r="O34" i="4"/>
  <c r="O16" i="4"/>
  <c r="O25" i="4"/>
  <c r="O7" i="4"/>
  <c r="G16" i="4"/>
  <c r="G25" i="4"/>
  <c r="G43" i="4"/>
  <c r="G34" i="4"/>
  <c r="N34" i="4"/>
  <c r="N16" i="4"/>
  <c r="N25" i="4"/>
  <c r="N43" i="4"/>
  <c r="N7" i="4"/>
  <c r="H16" i="4"/>
  <c r="H25" i="4"/>
  <c r="H43" i="4"/>
  <c r="H34" i="4"/>
  <c r="Y44" i="4"/>
  <c r="Y11" i="4"/>
  <c r="Y20" i="4"/>
  <c r="Y34" i="4"/>
  <c r="Y8" i="4"/>
  <c r="Y16" i="4"/>
  <c r="Y35" i="4"/>
  <c r="Y47" i="4"/>
  <c r="Y17" i="4"/>
  <c r="Y25" i="4"/>
  <c r="Y26" i="4"/>
  <c r="Y43" i="4"/>
  <c r="Y7" i="4"/>
  <c r="Y10" i="4" s="1"/>
  <c r="I43" i="4"/>
  <c r="I25" i="4"/>
  <c r="I34" i="4"/>
  <c r="I16" i="4"/>
  <c r="X20" i="4"/>
  <c r="X34" i="4"/>
  <c r="X35" i="4"/>
  <c r="X8" i="4"/>
  <c r="X16" i="4"/>
  <c r="X17" i="4"/>
  <c r="X47" i="4"/>
  <c r="X25" i="4"/>
  <c r="X26" i="4"/>
  <c r="X43" i="4"/>
  <c r="X11" i="4"/>
  <c r="X44" i="4"/>
  <c r="X7" i="4"/>
  <c r="X9" i="4" s="1"/>
  <c r="J34" i="4"/>
  <c r="J16" i="4"/>
  <c r="J25" i="4"/>
  <c r="J43" i="4"/>
  <c r="W20" i="4"/>
  <c r="W34" i="4"/>
  <c r="W35" i="4"/>
  <c r="W8" i="4"/>
  <c r="W25" i="4"/>
  <c r="W47" i="4"/>
  <c r="W16" i="4"/>
  <c r="W17" i="4"/>
  <c r="W26" i="4"/>
  <c r="W43" i="4"/>
  <c r="W44" i="4"/>
  <c r="W11" i="4"/>
  <c r="W7" i="4"/>
  <c r="W10" i="4" s="1"/>
  <c r="K34" i="4"/>
  <c r="K16" i="4"/>
  <c r="K25" i="4"/>
  <c r="K43" i="4"/>
  <c r="V34" i="4"/>
  <c r="V35" i="4"/>
  <c r="V47" i="4"/>
  <c r="V16" i="4"/>
  <c r="V17" i="4"/>
  <c r="V26" i="4"/>
  <c r="V25" i="4"/>
  <c r="V43" i="4"/>
  <c r="V20" i="4"/>
  <c r="V44" i="4"/>
  <c r="V11" i="4"/>
  <c r="V8" i="4"/>
  <c r="V7" i="4"/>
  <c r="V9" i="4" s="1"/>
  <c r="J7" i="4"/>
  <c r="C43" i="4"/>
  <c r="C34" i="4"/>
  <c r="C16" i="4"/>
  <c r="C25" i="4"/>
  <c r="D43" i="4"/>
  <c r="D34" i="4"/>
  <c r="D25" i="4"/>
  <c r="D16" i="4"/>
  <c r="L34" i="4"/>
  <c r="L16" i="4"/>
  <c r="L25" i="4"/>
  <c r="L43" i="4"/>
  <c r="U25" i="4"/>
  <c r="U43" i="4"/>
  <c r="U16" i="4"/>
  <c r="U34" i="4"/>
  <c r="U7" i="4"/>
  <c r="I7" i="4"/>
  <c r="M34" i="4"/>
  <c r="M16" i="4"/>
  <c r="M25" i="4"/>
  <c r="M43" i="4"/>
  <c r="T16" i="4"/>
  <c r="T25" i="4"/>
  <c r="T43" i="4"/>
  <c r="T34" i="4"/>
  <c r="T7" i="4"/>
  <c r="H7" i="4"/>
  <c r="K37" i="5"/>
  <c r="D37" i="5"/>
  <c r="F37" i="5"/>
  <c r="L37" i="5"/>
  <c r="N25" i="5"/>
  <c r="M37" i="5"/>
  <c r="AJ2" i="1"/>
  <c r="AI2" i="1"/>
  <c r="AH2" i="1"/>
  <c r="AG2" i="1"/>
  <c r="AF2" i="1"/>
  <c r="AE2" i="1"/>
  <c r="AD2" i="1"/>
  <c r="AC2" i="1"/>
  <c r="Q2" i="2"/>
  <c r="U35" i="4"/>
  <c r="AA2" i="1"/>
  <c r="U26" i="4" s="1"/>
  <c r="Y2" i="1"/>
  <c r="X2" i="1"/>
  <c r="Y9" i="4" l="1"/>
  <c r="U57" i="4" a="1"/>
  <c r="U57" i="4" s="1"/>
  <c r="U17" i="4"/>
  <c r="X10" i="4"/>
  <c r="I35" i="5"/>
  <c r="U8" i="4"/>
  <c r="U9" i="4" s="1"/>
  <c r="I36" i="5"/>
  <c r="E13" i="10"/>
  <c r="D14" i="10"/>
  <c r="V10" i="4"/>
  <c r="N45" i="5"/>
  <c r="N52" i="10" s="1"/>
  <c r="G57" i="4" a="1"/>
  <c r="G57" i="4" s="1"/>
  <c r="R57" i="4" a="1"/>
  <c r="R57" i="4" s="1"/>
  <c r="C57" i="4" a="1"/>
  <c r="C57" i="4" s="1"/>
  <c r="L57" i="4" a="1"/>
  <c r="L57" i="4" s="1"/>
  <c r="K57" i="4" a="1"/>
  <c r="K57" i="4" s="1"/>
  <c r="O57" i="4" a="1"/>
  <c r="O57" i="4" s="1"/>
  <c r="I57" i="4" a="1"/>
  <c r="I57" i="4" s="1"/>
  <c r="D57" i="4" a="1"/>
  <c r="D57" i="4" s="1"/>
  <c r="B51" i="4" a="1"/>
  <c r="B51" i="4" s="1"/>
  <c r="B47" i="10" s="1"/>
  <c r="B57" i="4" a="1"/>
  <c r="B57" i="4" s="1"/>
  <c r="Q57" i="4" a="1"/>
  <c r="Q57" i="4" s="1"/>
  <c r="S57" i="4" a="1"/>
  <c r="S57" i="4" s="1"/>
  <c r="C51" i="4" a="1"/>
  <c r="C51" i="4" s="1"/>
  <c r="C47" i="10" s="1"/>
  <c r="T57" i="4" a="1"/>
  <c r="T57" i="4" s="1"/>
  <c r="P57" i="4" a="1"/>
  <c r="P57" i="4" s="1"/>
  <c r="H57" i="4" a="1"/>
  <c r="H57" i="4" s="1"/>
  <c r="W9" i="4"/>
  <c r="F57" i="4" a="1"/>
  <c r="F57" i="4" s="1"/>
  <c r="J57" i="4" a="1"/>
  <c r="J57" i="4" s="1"/>
  <c r="E57" i="4" a="1"/>
  <c r="E57" i="4" s="1"/>
  <c r="M57" i="4" a="1"/>
  <c r="M57" i="4" s="1"/>
  <c r="N57" i="4" a="1"/>
  <c r="N57" i="4" s="1"/>
  <c r="W45" i="4"/>
  <c r="W46" i="4"/>
  <c r="V19" i="4"/>
  <c r="V18" i="4"/>
  <c r="X36" i="4"/>
  <c r="X37" i="4"/>
  <c r="X38" i="4"/>
  <c r="Y19" i="4"/>
  <c r="Y18" i="4"/>
  <c r="U36" i="4"/>
  <c r="W19" i="4"/>
  <c r="W18" i="4"/>
  <c r="U18" i="4"/>
  <c r="W29" i="4"/>
  <c r="W27" i="4"/>
  <c r="W28" i="4"/>
  <c r="X46" i="4"/>
  <c r="X45" i="4"/>
  <c r="V38" i="4"/>
  <c r="V36" i="4"/>
  <c r="V37" i="4"/>
  <c r="X29" i="4"/>
  <c r="X27" i="4"/>
  <c r="X28" i="4"/>
  <c r="Y37" i="4"/>
  <c r="Y38" i="4"/>
  <c r="Y36" i="4"/>
  <c r="W38" i="4"/>
  <c r="W36" i="4"/>
  <c r="W37" i="4"/>
  <c r="Y46" i="4"/>
  <c r="Y45" i="4"/>
  <c r="V46" i="4"/>
  <c r="V45" i="4"/>
  <c r="U27" i="4"/>
  <c r="U28" i="4"/>
  <c r="V29" i="4"/>
  <c r="V27" i="4"/>
  <c r="V28" i="4"/>
  <c r="X19" i="4"/>
  <c r="X18" i="4"/>
  <c r="Y27" i="4"/>
  <c r="Y29" i="4"/>
  <c r="Y28" i="4"/>
  <c r="H37" i="5"/>
  <c r="D36" i="5"/>
  <c r="D38" i="5"/>
  <c r="H36" i="5"/>
  <c r="G38" i="5"/>
  <c r="C36" i="5"/>
  <c r="N24" i="5"/>
  <c r="F38" i="5"/>
  <c r="H32" i="5"/>
  <c r="Z2" i="1"/>
  <c r="AB2" i="1" s="1"/>
  <c r="E35" i="5"/>
  <c r="K32" i="5"/>
  <c r="K40" i="5" s="1"/>
  <c r="AB9" i="5"/>
  <c r="AB10" i="5" s="1"/>
  <c r="K14" i="5"/>
  <c r="K52" i="5" s="1"/>
  <c r="I32" i="5"/>
  <c r="I40" i="5" s="1"/>
  <c r="I14" i="5"/>
  <c r="I52" i="5" s="1"/>
  <c r="Z9" i="5"/>
  <c r="Z10" i="5" s="1"/>
  <c r="C35" i="5"/>
  <c r="J32" i="5"/>
  <c r="J40" i="5" s="1"/>
  <c r="AA9" i="5"/>
  <c r="AA10" i="5" s="1"/>
  <c r="J14" i="5"/>
  <c r="J52" i="5" s="1"/>
  <c r="N26" i="5"/>
  <c r="N20" i="5"/>
  <c r="C38" i="5"/>
  <c r="H38" i="5"/>
  <c r="D8" i="4"/>
  <c r="D9" i="4" s="1"/>
  <c r="D17" i="4"/>
  <c r="D18" i="4" s="1"/>
  <c r="D26" i="4"/>
  <c r="D27" i="4" s="1"/>
  <c r="L8" i="4"/>
  <c r="L9" i="4" s="1"/>
  <c r="L17" i="4"/>
  <c r="L18" i="4" s="1"/>
  <c r="L26" i="4"/>
  <c r="L27" i="4" s="1"/>
  <c r="K26" i="4"/>
  <c r="K27" i="4" s="1"/>
  <c r="R17" i="4"/>
  <c r="R18" i="4" s="1"/>
  <c r="R35" i="4"/>
  <c r="R36" i="4" s="1"/>
  <c r="R8" i="4"/>
  <c r="R9" i="4" s="1"/>
  <c r="R26" i="4"/>
  <c r="R27" i="4" s="1"/>
  <c r="B26" i="4"/>
  <c r="B27" i="4" s="1"/>
  <c r="G35" i="4"/>
  <c r="G36" i="4" s="1"/>
  <c r="S8" i="4"/>
  <c r="S9" i="4" s="1"/>
  <c r="S17" i="4"/>
  <c r="S18" i="4" s="1"/>
  <c r="S35" i="4"/>
  <c r="S36" i="4" s="1"/>
  <c r="Q26" i="4"/>
  <c r="Q27" i="4" s="1"/>
  <c r="F26" i="4"/>
  <c r="F27" i="4" s="1"/>
  <c r="I26" i="4"/>
  <c r="I27" i="4" s="1"/>
  <c r="N26" i="4"/>
  <c r="N27" i="4" s="1"/>
  <c r="C17" i="4"/>
  <c r="C18" i="4" s="1"/>
  <c r="C35" i="4"/>
  <c r="C36" i="4" s="1"/>
  <c r="C8" i="4"/>
  <c r="C9" i="4" s="1"/>
  <c r="M35" i="4"/>
  <c r="M36" i="4" s="1"/>
  <c r="M8" i="4"/>
  <c r="M9" i="4" s="1"/>
  <c r="M17" i="4"/>
  <c r="M18" i="4" s="1"/>
  <c r="N8" i="4"/>
  <c r="N9" i="4" s="1"/>
  <c r="N17" i="4"/>
  <c r="N18" i="4" s="1"/>
  <c r="N35" i="4"/>
  <c r="N36" i="4" s="1"/>
  <c r="T8" i="4"/>
  <c r="T9" i="4" s="1"/>
  <c r="T35" i="4"/>
  <c r="T36" i="4" s="1"/>
  <c r="T17" i="4"/>
  <c r="T18" i="4" s="1"/>
  <c r="S26" i="4"/>
  <c r="S27" i="4" s="1"/>
  <c r="L35" i="4"/>
  <c r="L36" i="4" s="1"/>
  <c r="E26" i="4"/>
  <c r="E27" i="4" s="1"/>
  <c r="M26" i="4"/>
  <c r="M27" i="4" s="1"/>
  <c r="T26" i="4"/>
  <c r="T27" i="4" s="1"/>
  <c r="H26" i="4"/>
  <c r="H27" i="4" s="1"/>
  <c r="F17" i="4"/>
  <c r="F18" i="4" s="1"/>
  <c r="F35" i="4"/>
  <c r="F36" i="4" s="1"/>
  <c r="F8" i="4"/>
  <c r="F9" i="4" s="1"/>
  <c r="P35" i="4"/>
  <c r="P36" i="4" s="1"/>
  <c r="P8" i="4"/>
  <c r="P9" i="4" s="1"/>
  <c r="P17" i="4"/>
  <c r="P18" i="4" s="1"/>
  <c r="H17" i="4"/>
  <c r="H18" i="4" s="1"/>
  <c r="H8" i="4"/>
  <c r="H9" i="4" s="1"/>
  <c r="H35" i="4"/>
  <c r="H36" i="4" s="1"/>
  <c r="J8" i="4"/>
  <c r="J9" i="4" s="1"/>
  <c r="J17" i="4"/>
  <c r="J18" i="4" s="1"/>
  <c r="J35" i="4"/>
  <c r="J36" i="4" s="1"/>
  <c r="E35" i="4"/>
  <c r="E36" i="4" s="1"/>
  <c r="E8" i="4"/>
  <c r="E9" i="4" s="1"/>
  <c r="E17" i="4"/>
  <c r="E18" i="4" s="1"/>
  <c r="C26" i="4"/>
  <c r="C27" i="4" s="1"/>
  <c r="K8" i="4"/>
  <c r="K9" i="4" s="1"/>
  <c r="K17" i="4"/>
  <c r="K18" i="4" s="1"/>
  <c r="K35" i="4"/>
  <c r="K36" i="4" s="1"/>
  <c r="O17" i="4"/>
  <c r="O18" i="4" s="1"/>
  <c r="O35" i="4"/>
  <c r="O36" i="4" s="1"/>
  <c r="O8" i="4"/>
  <c r="O9" i="4" s="1"/>
  <c r="I17" i="4"/>
  <c r="I18" i="4" s="1"/>
  <c r="I35" i="4"/>
  <c r="I36" i="4" s="1"/>
  <c r="I8" i="4"/>
  <c r="I9" i="4" s="1"/>
  <c r="J26" i="4"/>
  <c r="J27" i="4" s="1"/>
  <c r="D35" i="4"/>
  <c r="D36" i="4" s="1"/>
  <c r="G8" i="4"/>
  <c r="G9" i="4" s="1"/>
  <c r="G17" i="4"/>
  <c r="G18" i="4" s="1"/>
  <c r="G26" i="4"/>
  <c r="G27" i="4" s="1"/>
  <c r="P26" i="4"/>
  <c r="P27" i="4" s="1"/>
  <c r="B8" i="4"/>
  <c r="B9" i="4" s="1"/>
  <c r="B35" i="4"/>
  <c r="B36" i="4" s="1"/>
  <c r="B17" i="4"/>
  <c r="B18" i="4" s="1"/>
  <c r="AK2" i="1"/>
  <c r="M32" i="5"/>
  <c r="M40" i="5" s="1"/>
  <c r="M14" i="5"/>
  <c r="M52" i="5" s="1"/>
  <c r="AD9" i="5"/>
  <c r="AD10" i="5" s="1"/>
  <c r="O26" i="4"/>
  <c r="O27" i="4" s="1"/>
  <c r="Q35" i="4"/>
  <c r="Q36" i="4" s="1"/>
  <c r="Q8" i="4"/>
  <c r="Q9" i="4" s="1"/>
  <c r="Q17" i="4"/>
  <c r="Q18" i="4" s="1"/>
  <c r="C34" i="5"/>
  <c r="T9" i="5"/>
  <c r="T10" i="5" s="1"/>
  <c r="C14" i="5"/>
  <c r="C52" i="5" s="1"/>
  <c r="B33" i="5"/>
  <c r="N33" i="5" s="1"/>
  <c r="N8" i="5"/>
  <c r="B32" i="5"/>
  <c r="S9" i="5"/>
  <c r="N7" i="5"/>
  <c r="B14" i="5"/>
  <c r="B52" i="5" s="1"/>
  <c r="B36" i="5"/>
  <c r="N11" i="5"/>
  <c r="F35" i="5"/>
  <c r="F34" i="5"/>
  <c r="G32" i="5"/>
  <c r="B35" i="5"/>
  <c r="N10" i="5"/>
  <c r="B37" i="5"/>
  <c r="N12" i="5"/>
  <c r="E34" i="5"/>
  <c r="N23" i="5"/>
  <c r="E14" i="5"/>
  <c r="E52" i="5" s="1"/>
  <c r="E31" i="5"/>
  <c r="V9" i="5"/>
  <c r="V10" i="5" s="1"/>
  <c r="D35" i="5"/>
  <c r="B34" i="5"/>
  <c r="N9" i="5"/>
  <c r="D14" i="5"/>
  <c r="D52" i="5" s="1"/>
  <c r="D31" i="5"/>
  <c r="U9" i="5"/>
  <c r="U10" i="5" s="1"/>
  <c r="N6" i="5"/>
  <c r="F14" i="5"/>
  <c r="F52" i="5" s="1"/>
  <c r="F31" i="5"/>
  <c r="W9" i="5"/>
  <c r="W10" i="5" s="1"/>
  <c r="D34" i="5"/>
  <c r="N22" i="5"/>
  <c r="N19" i="5"/>
  <c r="G14" i="5"/>
  <c r="G52" i="5" s="1"/>
  <c r="G31" i="5"/>
  <c r="X9" i="5"/>
  <c r="X10" i="5" s="1"/>
  <c r="L32" i="5"/>
  <c r="L40" i="5" s="1"/>
  <c r="AC9" i="5"/>
  <c r="AC10" i="5" s="1"/>
  <c r="L14" i="5"/>
  <c r="L52" i="5" s="1"/>
  <c r="E38" i="5"/>
  <c r="G34" i="5"/>
  <c r="H14" i="5"/>
  <c r="H52" i="5" s="1"/>
  <c r="H31" i="5"/>
  <c r="Y9" i="5"/>
  <c r="Y10" i="5" s="1"/>
  <c r="H35" i="5"/>
  <c r="H34" i="5"/>
  <c r="G35" i="5"/>
  <c r="N13" i="5"/>
  <c r="B38" i="5"/>
  <c r="D47" i="10" l="1"/>
  <c r="U44" i="4"/>
  <c r="U45" i="4" s="1"/>
  <c r="F13" i="10"/>
  <c r="E14" i="10"/>
  <c r="N37" i="5"/>
  <c r="N36" i="5"/>
  <c r="E40" i="5"/>
  <c r="C40" i="5"/>
  <c r="H40" i="5"/>
  <c r="N34" i="5"/>
  <c r="F40" i="5"/>
  <c r="N38" i="5"/>
  <c r="G40" i="5"/>
  <c r="E44" i="4"/>
  <c r="E45" i="4" s="1"/>
  <c r="N14" i="5"/>
  <c r="N32" i="5"/>
  <c r="B40" i="5"/>
  <c r="S44" i="4"/>
  <c r="S45" i="4" s="1"/>
  <c r="D40" i="5"/>
  <c r="N31" i="5"/>
  <c r="K44" i="4"/>
  <c r="K45" i="4" s="1"/>
  <c r="F44" i="4"/>
  <c r="F45" i="4" s="1"/>
  <c r="AC15" i="5"/>
  <c r="AC16" i="5" s="1"/>
  <c r="Z15" i="5"/>
  <c r="Z16" i="5" s="1"/>
  <c r="AD15" i="5"/>
  <c r="AD16" i="5" s="1"/>
  <c r="S15" i="5"/>
  <c r="S16" i="5" s="1"/>
  <c r="T15" i="5"/>
  <c r="T16" i="5" s="1"/>
  <c r="AA15" i="5"/>
  <c r="AA16" i="5" s="1"/>
  <c r="S10" i="5"/>
  <c r="Y15" i="5"/>
  <c r="Y16" i="5" s="1"/>
  <c r="W15" i="5"/>
  <c r="W16" i="5" s="1"/>
  <c r="U15" i="5"/>
  <c r="U16" i="5" s="1"/>
  <c r="V15" i="5"/>
  <c r="V16" i="5" s="1"/>
  <c r="AE9" i="5"/>
  <c r="AE10" i="5" s="1"/>
  <c r="AB15" i="5"/>
  <c r="AB16" i="5" s="1"/>
  <c r="X15" i="5"/>
  <c r="X16" i="5" s="1"/>
  <c r="Q44" i="4"/>
  <c r="Q45" i="4" s="1"/>
  <c r="N35" i="5"/>
  <c r="J44" i="4"/>
  <c r="J45" i="4" s="1"/>
  <c r="R44" i="4"/>
  <c r="R45" i="4" s="1"/>
  <c r="AM2" i="1"/>
  <c r="AL2" i="1"/>
  <c r="U29" i="4" s="1"/>
  <c r="N27" i="5"/>
  <c r="I44" i="4"/>
  <c r="I45" i="4" s="1"/>
  <c r="N52" i="5"/>
  <c r="N44" i="4"/>
  <c r="N45" i="4" s="1"/>
  <c r="B28" i="4"/>
  <c r="C44" i="4"/>
  <c r="C45" i="4" s="1"/>
  <c r="I28" i="4"/>
  <c r="T44" i="4"/>
  <c r="T45" i="4" s="1"/>
  <c r="L44" i="4"/>
  <c r="L45" i="4" s="1"/>
  <c r="G44" i="4"/>
  <c r="G45" i="4" s="1"/>
  <c r="O44" i="4"/>
  <c r="O45" i="4" s="1"/>
  <c r="D44" i="4"/>
  <c r="D45" i="4" s="1"/>
  <c r="M44" i="4"/>
  <c r="M45" i="4" s="1"/>
  <c r="P44" i="4"/>
  <c r="P45" i="4" s="1"/>
  <c r="B44" i="4"/>
  <c r="B45" i="4" s="1"/>
  <c r="H44" i="4"/>
  <c r="H45" i="4" s="1"/>
  <c r="B2" i="3"/>
  <c r="AC34" i="1" s="1"/>
  <c r="F2" i="3"/>
  <c r="AG34" i="1" s="1"/>
  <c r="E2" i="3"/>
  <c r="AF34" i="1" s="1"/>
  <c r="D2" i="3"/>
  <c r="AE34" i="1" s="1"/>
  <c r="H2" i="3"/>
  <c r="AI34" i="1" s="1"/>
  <c r="G2" i="3"/>
  <c r="AH34" i="1" s="1"/>
  <c r="I2" i="3"/>
  <c r="AJ34" i="1" s="1"/>
  <c r="C2" i="3"/>
  <c r="AD34" i="1" s="1"/>
  <c r="AK34" i="1" l="1"/>
  <c r="M37" i="4"/>
  <c r="N29" i="4"/>
  <c r="C28" i="4"/>
  <c r="I29" i="4"/>
  <c r="H28" i="4"/>
  <c r="R28" i="4"/>
  <c r="U47" i="4"/>
  <c r="U38" i="4"/>
  <c r="U46" i="4"/>
  <c r="U37" i="4"/>
  <c r="U10" i="4"/>
  <c r="U19" i="4"/>
  <c r="D37" i="4"/>
  <c r="M19" i="4"/>
  <c r="E37" i="4"/>
  <c r="U58" i="4" a="1"/>
  <c r="U58" i="4" s="1"/>
  <c r="M38" i="4"/>
  <c r="G37" i="4"/>
  <c r="O10" i="4"/>
  <c r="J37" i="4"/>
  <c r="S29" i="4"/>
  <c r="E46" i="4"/>
  <c r="K28" i="4"/>
  <c r="M46" i="4"/>
  <c r="E28" i="4"/>
  <c r="H19" i="4"/>
  <c r="N28" i="4"/>
  <c r="M28" i="4"/>
  <c r="I46" i="4"/>
  <c r="E10" i="4"/>
  <c r="E19" i="4"/>
  <c r="I10" i="4"/>
  <c r="I19" i="4"/>
  <c r="O37" i="4"/>
  <c r="I37" i="4"/>
  <c r="F37" i="4"/>
  <c r="E58" i="4" a="1"/>
  <c r="E58" i="4" s="1"/>
  <c r="H10" i="4"/>
  <c r="E29" i="4"/>
  <c r="H29" i="4"/>
  <c r="T37" i="4"/>
  <c r="Q28" i="4"/>
  <c r="O46" i="4"/>
  <c r="O28" i="4"/>
  <c r="D20" i="4"/>
  <c r="M10" i="4"/>
  <c r="O19" i="4"/>
  <c r="P37" i="4"/>
  <c r="P19" i="4"/>
  <c r="G28" i="4"/>
  <c r="D46" i="4"/>
  <c r="K10" i="4"/>
  <c r="G46" i="4"/>
  <c r="K19" i="4"/>
  <c r="K37" i="4"/>
  <c r="S19" i="4"/>
  <c r="G19" i="4"/>
  <c r="G10" i="4"/>
  <c r="K46" i="4"/>
  <c r="D28" i="4"/>
  <c r="H58" i="4" a="1"/>
  <c r="H58" i="4" s="1"/>
  <c r="S10" i="4"/>
  <c r="H37" i="4"/>
  <c r="R10" i="4"/>
  <c r="S37" i="4"/>
  <c r="S46" i="4"/>
  <c r="R46" i="4"/>
  <c r="H46" i="4"/>
  <c r="P10" i="4"/>
  <c r="R37" i="4"/>
  <c r="L28" i="4"/>
  <c r="S28" i="4"/>
  <c r="R19" i="4"/>
  <c r="P58" i="4" a="1"/>
  <c r="P58" i="4" s="1"/>
  <c r="P28" i="4"/>
  <c r="P46" i="4"/>
  <c r="Q46" i="4"/>
  <c r="Q37" i="4"/>
  <c r="Q19" i="4"/>
  <c r="Q10" i="4"/>
  <c r="F58" i="4" a="1"/>
  <c r="F58" i="4" s="1"/>
  <c r="F19" i="4"/>
  <c r="F10" i="4"/>
  <c r="F28" i="4"/>
  <c r="F46" i="4"/>
  <c r="N58" i="4" a="1"/>
  <c r="N58" i="4" s="1"/>
  <c r="N19" i="4"/>
  <c r="L37" i="4"/>
  <c r="D19" i="4"/>
  <c r="N10" i="4"/>
  <c r="N46" i="4"/>
  <c r="T10" i="4"/>
  <c r="T28" i="4"/>
  <c r="N37" i="4"/>
  <c r="T19" i="4"/>
  <c r="L10" i="4"/>
  <c r="M58" i="4" a="1"/>
  <c r="M58" i="4" s="1"/>
  <c r="T46" i="4"/>
  <c r="L19" i="4"/>
  <c r="D10" i="4"/>
  <c r="L46" i="4"/>
  <c r="J46" i="4"/>
  <c r="J10" i="4"/>
  <c r="J19" i="4"/>
  <c r="J28" i="4"/>
  <c r="G13" i="10"/>
  <c r="F14" i="10"/>
  <c r="O58" i="4" a="1"/>
  <c r="O58" i="4" s="1"/>
  <c r="C37" i="4"/>
  <c r="L58" i="4" a="1"/>
  <c r="L58" i="4" s="1"/>
  <c r="T58" i="4" a="1"/>
  <c r="T58" i="4" s="1"/>
  <c r="K58" i="4" a="1"/>
  <c r="K58" i="4" s="1"/>
  <c r="D58" i="4" a="1"/>
  <c r="D58" i="4" s="1"/>
  <c r="R58" i="4" a="1"/>
  <c r="R58" i="4" s="1"/>
  <c r="F29" i="4"/>
  <c r="D38" i="4"/>
  <c r="H38" i="4"/>
  <c r="R29" i="4"/>
  <c r="P29" i="4"/>
  <c r="B29" i="4"/>
  <c r="R11" i="4"/>
  <c r="R20" i="4"/>
  <c r="R38" i="4"/>
  <c r="H11" i="4"/>
  <c r="K29" i="4"/>
  <c r="N40" i="5"/>
  <c r="AM34" i="1" l="1"/>
  <c r="AL34" i="1"/>
  <c r="K20" i="4"/>
  <c r="L38" i="4"/>
  <c r="Q38" i="4"/>
  <c r="F38" i="4"/>
  <c r="G11" i="4"/>
  <c r="C10" i="4"/>
  <c r="F11" i="4"/>
  <c r="U20" i="4"/>
  <c r="O20" i="4"/>
  <c r="Q29" i="4"/>
  <c r="C46" i="4"/>
  <c r="J58" i="4" a="1"/>
  <c r="J58" i="4" s="1"/>
  <c r="C19" i="4"/>
  <c r="G38" i="4"/>
  <c r="P20" i="4"/>
  <c r="S11" i="4"/>
  <c r="E20" i="4"/>
  <c r="C29" i="4"/>
  <c r="U11" i="4"/>
  <c r="T29" i="4"/>
  <c r="H47" i="4"/>
  <c r="T20" i="4"/>
  <c r="F20" i="4"/>
  <c r="P47" i="4"/>
  <c r="O38" i="4"/>
  <c r="Q47" i="4"/>
  <c r="S58" i="4" a="1"/>
  <c r="S58" i="4" s="1"/>
  <c r="M11" i="4"/>
  <c r="S20" i="4"/>
  <c r="I20" i="4"/>
  <c r="T38" i="4"/>
  <c r="L29" i="4"/>
  <c r="T11" i="4"/>
  <c r="J38" i="4"/>
  <c r="S38" i="4"/>
  <c r="M47" i="4"/>
  <c r="S47" i="4"/>
  <c r="I47" i="4"/>
  <c r="G47" i="4"/>
  <c r="O47" i="4"/>
  <c r="J47" i="4"/>
  <c r="E47" i="4"/>
  <c r="R47" i="4"/>
  <c r="E11" i="4"/>
  <c r="I11" i="4"/>
  <c r="D11" i="4"/>
  <c r="H20" i="4"/>
  <c r="E38" i="4"/>
  <c r="P11" i="4"/>
  <c r="O11" i="4"/>
  <c r="M29" i="4"/>
  <c r="D29" i="4"/>
  <c r="F47" i="4"/>
  <c r="K11" i="4"/>
  <c r="N47" i="4"/>
  <c r="K38" i="4"/>
  <c r="K47" i="4"/>
  <c r="L47" i="4"/>
  <c r="D47" i="4"/>
  <c r="P38" i="4"/>
  <c r="G20" i="4"/>
  <c r="Q58" i="4" a="1"/>
  <c r="Q58" i="4" s="1"/>
  <c r="I58" i="4" a="1"/>
  <c r="I58" i="4" s="1"/>
  <c r="I38" i="4"/>
  <c r="J11" i="4"/>
  <c r="G58" i="4" a="1"/>
  <c r="G58" i="4" s="1"/>
  <c r="O29" i="4"/>
  <c r="J29" i="4"/>
  <c r="J20" i="4"/>
  <c r="C52" i="4" a="1"/>
  <c r="C52" i="4" s="1"/>
  <c r="T47" i="4"/>
  <c r="G29" i="4"/>
  <c r="Q20" i="4"/>
  <c r="M20" i="4"/>
  <c r="Q11" i="4"/>
  <c r="L20" i="4"/>
  <c r="L11" i="4"/>
  <c r="N11" i="4"/>
  <c r="N38" i="4"/>
  <c r="N20" i="4"/>
  <c r="H13" i="10"/>
  <c r="G14" i="10"/>
  <c r="B37" i="4"/>
  <c r="B46" i="4"/>
  <c r="B19" i="4"/>
  <c r="B10" i="4"/>
  <c r="B47" i="4" l="1"/>
  <c r="C47" i="4"/>
  <c r="C20" i="4"/>
  <c r="C11" i="4"/>
  <c r="C38" i="4"/>
  <c r="C58" i="4" a="1"/>
  <c r="C58" i="4" s="1"/>
  <c r="H14" i="10"/>
  <c r="I13" i="10"/>
  <c r="B38" i="4"/>
  <c r="B58" i="4" a="1"/>
  <c r="B58" i="4" s="1"/>
  <c r="B52" i="4" a="1"/>
  <c r="B52" i="4" s="1"/>
  <c r="B20" i="4"/>
  <c r="B11" i="4"/>
  <c r="I14" i="10" l="1"/>
  <c r="J13" i="10"/>
  <c r="J14" i="10" l="1"/>
  <c r="K13" i="10"/>
  <c r="K14" i="10" l="1"/>
  <c r="L13" i="10"/>
  <c r="L14" i="10" l="1"/>
  <c r="M13" i="10"/>
  <c r="M14"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<sst xmlns="http://schemas.openxmlformats.org/spreadsheetml/2006/main" count="25961" uniqueCount="2312">
  <si>
    <t>Sector</t>
  </si>
  <si>
    <t>Msg Id</t>
  </si>
  <si>
    <t>Task Owner</t>
  </si>
  <si>
    <t>Redash Status</t>
  </si>
  <si>
    <t>Task Source Status</t>
  </si>
  <si>
    <t>Priority</t>
  </si>
  <si>
    <t>Rank</t>
  </si>
  <si>
    <t>EA #</t>
  </si>
  <si>
    <t>Wire Type</t>
  </si>
  <si>
    <t>Wire Subtype</t>
  </si>
  <si>
    <t>Engine Family</t>
  </si>
  <si>
    <t>RDE Charge Funding</t>
  </si>
  <si>
    <t>Confidence level</t>
  </si>
  <si>
    <t>Hit Date</t>
  </si>
  <si>
    <t>Initial Target Date</t>
  </si>
  <si>
    <t>Target Date</t>
  </si>
  <si>
    <t>Task Complete Date</t>
  </si>
  <si>
    <t>Description</t>
  </si>
  <si>
    <t>Structures SAM Start Date</t>
  </si>
  <si>
    <t>Structures SAM Complete Date</t>
  </si>
  <si>
    <t>PreSAM Start Date</t>
  </si>
  <si>
    <t>PreSAM Complete Date</t>
  </si>
  <si>
    <t>Validation Complete Date</t>
  </si>
  <si>
    <t>Cases &amp; Composites</t>
  </si>
  <si>
    <t>CAS-244418-M0H3V9</t>
  </si>
  <si>
    <t>Nathan Winger</t>
  </si>
  <si>
    <t>Incomplete</t>
  </si>
  <si>
    <t>Active</t>
  </si>
  <si>
    <t>2-Routine</t>
  </si>
  <si>
    <t>25VG077</t>
  </si>
  <si>
    <t>Repair-EA</t>
  </si>
  <si>
    <t>OTC</t>
  </si>
  <si>
    <t>V2500</t>
  </si>
  <si>
    <t>75%</t>
  </si>
  <si>
    <t>JUL2025</t>
  </si>
  <si>
    <t>CAS-255125-D0C5Q3</t>
  </si>
  <si>
    <t>Francisco Astiasaran</t>
  </si>
  <si>
    <t>25KC381</t>
  </si>
  <si>
    <t>PW4000</t>
  </si>
  <si>
    <t>AMO</t>
  </si>
  <si>
    <t>CAS-255127-S4L5X8</t>
  </si>
  <si>
    <t>25KC382</t>
  </si>
  <si>
    <t>CAS-209741-Z2V4Q8</t>
  </si>
  <si>
    <t>Robert Thompson</t>
  </si>
  <si>
    <t>Complete</t>
  </si>
  <si>
    <t>Resolved</t>
  </si>
  <si>
    <t>1-Urgent</t>
  </si>
  <si>
    <t>24CC741</t>
  </si>
  <si>
    <t>PW1000G</t>
  </si>
  <si>
    <t>24K</t>
  </si>
  <si>
    <t>CAS-210991-X5T1R4</t>
  </si>
  <si>
    <t>Dean Catlett</t>
  </si>
  <si>
    <t>24KC238</t>
  </si>
  <si>
    <t>OCE</t>
  </si>
  <si>
    <t>Ferdin Mustafa</t>
  </si>
  <si>
    <t>Closed</t>
  </si>
  <si>
    <t>24FC223</t>
  </si>
  <si>
    <t>PW2000</t>
  </si>
  <si>
    <t>F117</t>
  </si>
  <si>
    <t>24FC238</t>
  </si>
  <si>
    <t>OPERATION'S NEED DATE: 8/2</t>
  </si>
  <si>
    <t>CAS-219511-S5Y8N8</t>
  </si>
  <si>
    <t>24KC295A</t>
  </si>
  <si>
    <t>August</t>
  </si>
  <si>
    <t>MSG-240814-317DA9</t>
  </si>
  <si>
    <t>Saharat Gamalo</t>
  </si>
  <si>
    <t>24KC492</t>
  </si>
  <si>
    <t>Merlin 107652 PW4000-94" Tanker Damaged IMC Rear Lip</t>
  </si>
  <si>
    <t>MSG-250122-40DC69</t>
  </si>
  <si>
    <t>19KC545B</t>
  </si>
  <si>
    <t>EM</t>
  </si>
  <si>
    <t>Jun2025 - Tanker Production QN Support for ESN 729517.  Damage found post-engine green run.</t>
  </si>
  <si>
    <t>CAS-255034-K3Q5D0</t>
  </si>
  <si>
    <t>25KC371</t>
  </si>
  <si>
    <t>24FC277</t>
  </si>
  <si>
    <t>Simliar to 107640</t>
  </si>
  <si>
    <t>Jia Chen</t>
  </si>
  <si>
    <t>24FC375</t>
  </si>
  <si>
    <t>25fc075</t>
  </si>
  <si>
    <t>MSG-250324-8F569F</t>
  </si>
  <si>
    <t>24KC492B</t>
  </si>
  <si>
    <t>50%</t>
  </si>
  <si>
    <t>May2025 ESN 729288  Pratt review current instructions for 288 and seeing if they can be revised to reflect blend repair versus the weld/x-ray requirement.  Ref MERLIN 109710.</t>
  </si>
  <si>
    <t>24KC525B</t>
  </si>
  <si>
    <t>Jul2025</t>
  </si>
  <si>
    <t>MSG-240828-EB3AE2</t>
  </si>
  <si>
    <t>24KC525</t>
  </si>
  <si>
    <t>September - Boeing COPQ, follow up to MSG-240814-317DA9 / MERLIN 107652</t>
  </si>
  <si>
    <t>Open</t>
  </si>
  <si>
    <t>24FC387</t>
  </si>
  <si>
    <t>24FC282</t>
  </si>
  <si>
    <t>25FC099</t>
  </si>
  <si>
    <t>25FC009</t>
  </si>
  <si>
    <t>Apr2025</t>
  </si>
  <si>
    <t>25FC067</t>
  </si>
  <si>
    <t xml:space="preserve">Apr2025 - </t>
  </si>
  <si>
    <t>25FC108</t>
  </si>
  <si>
    <t>Jun2025</t>
  </si>
  <si>
    <t>Austin Bryant</t>
  </si>
  <si>
    <t>25FC140</t>
  </si>
  <si>
    <t>24FC352</t>
  </si>
  <si>
    <t>December 2024 Commitment</t>
  </si>
  <si>
    <t>25FC070</t>
  </si>
  <si>
    <t>25FC089</t>
  </si>
  <si>
    <t>May2025</t>
  </si>
  <si>
    <t>25FC141</t>
  </si>
  <si>
    <t>25FC057</t>
  </si>
  <si>
    <t>25FC061</t>
  </si>
  <si>
    <t>25FC153</t>
  </si>
  <si>
    <t>25FC092</t>
  </si>
  <si>
    <t>25FC159</t>
  </si>
  <si>
    <t>24FC078</t>
  </si>
  <si>
    <t>Equivalent ENC: CAS-192708-Q5V7M8</t>
  </si>
  <si>
    <t>Pedro Iturrino</t>
  </si>
  <si>
    <t>23FC270</t>
  </si>
  <si>
    <t>JAN</t>
  </si>
  <si>
    <t>24FC002</t>
  </si>
  <si>
    <t>CAS-198957-F2V4Y1</t>
  </si>
  <si>
    <t>24FC021</t>
  </si>
  <si>
    <t>FEB2</t>
  </si>
  <si>
    <t>24FC003</t>
  </si>
  <si>
    <t>Jan.</t>
  </si>
  <si>
    <t>24FC047</t>
  </si>
  <si>
    <t>CAS-205562-J4R1J8</t>
  </si>
  <si>
    <t>24KC068</t>
  </si>
  <si>
    <t>IMC salvage for Tanker OEM Production</t>
  </si>
  <si>
    <t>24FC095</t>
  </si>
  <si>
    <t>APR</t>
  </si>
  <si>
    <t>24FC141</t>
  </si>
  <si>
    <t>CAS-212797-M5C7V0</t>
  </si>
  <si>
    <t>Tyler Abusbah</t>
  </si>
  <si>
    <t>24FC162</t>
  </si>
  <si>
    <t>HPC Rear Outer Case - 10th &amp; 14th Stage Bleed Bosses, Weld Repair Oct</t>
  </si>
  <si>
    <t>24FC157</t>
  </si>
  <si>
    <t>CAS-220667-C8J5Y4</t>
  </si>
  <si>
    <t>Orlando Melendez Colon</t>
  </si>
  <si>
    <t>24VG135</t>
  </si>
  <si>
    <t>24FC233</t>
  </si>
  <si>
    <t>HPC REAR OUTER CASE - 14TH STAGE BLEED VALVE FLANGE OVERSIZED BOLTHOLE. Oct</t>
  </si>
  <si>
    <t>24FC117</t>
  </si>
  <si>
    <t>25%</t>
  </si>
  <si>
    <t>The Rear Flange is thicker than the serviceable or repairable limits</t>
  </si>
  <si>
    <t>MSG-240821-EFF837</t>
  </si>
  <si>
    <t>24KC512</t>
  </si>
  <si>
    <t>24FC332</t>
  </si>
  <si>
    <t>Dec</t>
  </si>
  <si>
    <t>24FC334</t>
  </si>
  <si>
    <t>CAS-234135-B9H9Z1</t>
  </si>
  <si>
    <t>24KC739</t>
  </si>
  <si>
    <t>24FC390</t>
  </si>
  <si>
    <t>AMO. Mar2025</t>
  </si>
  <si>
    <t>25FC029</t>
  </si>
  <si>
    <t>MSG-250213-FA477D</t>
  </si>
  <si>
    <t>24KC525A</t>
  </si>
  <si>
    <t>Additional cracks found resulting from 24KC525/- repair process</t>
  </si>
  <si>
    <t>25FC058</t>
  </si>
  <si>
    <t>25FC052</t>
  </si>
  <si>
    <t>HPC REAR CASE ASSEMBLY - START BLEED BOSS AND MIDCASE SEAL GROOVE - REPAIR-11 AND -14, LIMIT EXTENSIONS</t>
  </si>
  <si>
    <t>25FC054</t>
  </si>
  <si>
    <t>25FC060</t>
  </si>
  <si>
    <t>CAS-246290-Y6Z4F3</t>
  </si>
  <si>
    <t>25CC681</t>
  </si>
  <si>
    <t>Mar2025</t>
  </si>
  <si>
    <t>25FC062</t>
  </si>
  <si>
    <t>25FC083</t>
  </si>
  <si>
    <t>25FC081</t>
  </si>
  <si>
    <t>25FC103</t>
  </si>
  <si>
    <t>CAS-248143-B5W0M9</t>
  </si>
  <si>
    <t>25KC269</t>
  </si>
  <si>
    <t>25FC136</t>
  </si>
  <si>
    <t>25FC157</t>
  </si>
  <si>
    <t>25FC058A</t>
  </si>
  <si>
    <t>CAS-256190-V3N6Y5</t>
  </si>
  <si>
    <t>25AC102</t>
  </si>
  <si>
    <t>GP7000</t>
  </si>
  <si>
    <t>Jun2025 DR# 02203582</t>
  </si>
  <si>
    <t>25FC190</t>
  </si>
  <si>
    <t>CAS-163741-T2H8B8</t>
  </si>
  <si>
    <t>22KC646</t>
  </si>
  <si>
    <t>CAS-165815-M4Y1S2</t>
  </si>
  <si>
    <t>23KC390</t>
  </si>
  <si>
    <t>CAS-192478-B0K2T1</t>
  </si>
  <si>
    <t>23KC555</t>
  </si>
  <si>
    <t>MSG-230809-1EA69A</t>
  </si>
  <si>
    <t>23CCQ98</t>
  </si>
  <si>
    <t>PIP</t>
  </si>
  <si>
    <t>January - Evaluate and substantiate continued viability of subject Cat3a DMCs in CIR manual PN 5315653 for applicability GTFA models and run parameters.  Review latest ESW and update as necessary</t>
  </si>
  <si>
    <t>MSG-230927-FA2DFA</t>
  </si>
  <si>
    <t>23VC441</t>
  </si>
  <si>
    <t>feb</t>
  </si>
  <si>
    <t>CAS-196388-L0G1Y1</t>
  </si>
  <si>
    <t>23CCV05</t>
  </si>
  <si>
    <t>30K</t>
  </si>
  <si>
    <t>IDC. June</t>
  </si>
  <si>
    <t>CAS-197405-N1T5T8</t>
  </si>
  <si>
    <t>23KC614</t>
  </si>
  <si>
    <t>CAS-195198-G9T8C2</t>
  </si>
  <si>
    <t>23VG359</t>
  </si>
  <si>
    <t>Apr</t>
  </si>
  <si>
    <t>CAS-200911-V2N2B7</t>
  </si>
  <si>
    <t>23KC658</t>
  </si>
  <si>
    <t>CAS-200647-C0G3W2</t>
  </si>
  <si>
    <t>24KC026</t>
  </si>
  <si>
    <t>MSG-240111-F5E3BB</t>
  </si>
  <si>
    <t>11CC131B</t>
  </si>
  <si>
    <t xml:space="preserve">DEC. Due to DesMet has concerns on the adhesive in 20CCK95A and 11CC131A, some additional validation and testing is needed to confirm tasks applicability. </t>
  </si>
  <si>
    <t>MSG-240117-BC4B80</t>
  </si>
  <si>
    <t>16CC311B</t>
  </si>
  <si>
    <t>MR</t>
  </si>
  <si>
    <t>HPT Case</t>
  </si>
  <si>
    <t>CAS-202845-P9X0S6</t>
  </si>
  <si>
    <t>24CC671</t>
  </si>
  <si>
    <t>IDCMAY</t>
  </si>
  <si>
    <t>CAS-204477-B6P7F6</t>
  </si>
  <si>
    <t>24KC105</t>
  </si>
  <si>
    <t>July</t>
  </si>
  <si>
    <t>MSG-240209-739172</t>
  </si>
  <si>
    <t>23VC522A</t>
  </si>
  <si>
    <t>CAS-206329-W3L9V4</t>
  </si>
  <si>
    <t>24KC094</t>
  </si>
  <si>
    <t>CAS-206596-R2J3W6</t>
  </si>
  <si>
    <t>24CC476</t>
  </si>
  <si>
    <t>MSG-240304-2C6BB7</t>
  </si>
  <si>
    <t>22KC638A</t>
  </si>
  <si>
    <t>CAS-208479-S9T6P8</t>
  </si>
  <si>
    <t>22FC288B</t>
  </si>
  <si>
    <t>May</t>
  </si>
  <si>
    <t>MSG-240126-5A47AC</t>
  </si>
  <si>
    <t>20CCK95C</t>
  </si>
  <si>
    <t>JAN. Utilize learning from 11CC131B to evaluate and substantiate 20CCK95 continued viability of subject DMC for applicability to GTFA models and parameters.</t>
  </si>
  <si>
    <t>24FC082</t>
  </si>
  <si>
    <t>Sept</t>
  </si>
  <si>
    <t>CAS-208608-D5H3S9</t>
  </si>
  <si>
    <t>24VG054</t>
  </si>
  <si>
    <t>CAS-208623-D6W7J1</t>
  </si>
  <si>
    <t>24VG055</t>
  </si>
  <si>
    <t>Mar</t>
  </si>
  <si>
    <t>CAS-209796-H6R0L6</t>
  </si>
  <si>
    <t>24VC110</t>
  </si>
  <si>
    <t>Aug</t>
  </si>
  <si>
    <t>MSG-240126-167421</t>
  </si>
  <si>
    <t>24CCS07</t>
  </si>
  <si>
    <t>January - Task needs to be updated to latest PN....Add Evaluation and substantiation of subject DMCs for applicability to GTFA models and parameters. Ensure repairable limits are within requirements and evaluate options for limit expansion.</t>
  </si>
  <si>
    <t>MSG-240126-C508DD</t>
  </si>
  <si>
    <t>Bruce Zoyaar</t>
  </si>
  <si>
    <t>19CCD54A</t>
  </si>
  <si>
    <t>Task needs to be updated to latest PN....Add Evaluation and substantiation of subject DMCs for applicability to GTFA models and parameters. Ensure repairable limits are within requirements and evaluate options for limit expansion.</t>
  </si>
  <si>
    <t>MSG-240126-DEECB9</t>
  </si>
  <si>
    <t>22CCD52C</t>
  </si>
  <si>
    <t>Evaluate and substantiate continued viability of subject DMCs for applicability to GTFA model and parameters. Ensure stack up allowances with GTFA config as well as repairable limits meet requirements. Evaluate options for limit expansion.</t>
  </si>
  <si>
    <t>24FC099</t>
  </si>
  <si>
    <t>CAS-211414-N2Q5H9</t>
  </si>
  <si>
    <t>24KC233</t>
  </si>
  <si>
    <t>Customer is RSL</t>
  </si>
  <si>
    <t>CAS-212102-W2X7S2</t>
  </si>
  <si>
    <t>24FC168</t>
  </si>
  <si>
    <t xml:space="preserve">August - </t>
  </si>
  <si>
    <t>CAS-215012-B9K9Q1</t>
  </si>
  <si>
    <t>24KC094A</t>
  </si>
  <si>
    <t>CAS-215633-Q7N0D1</t>
  </si>
  <si>
    <t>24KC305</t>
  </si>
  <si>
    <t>CAS-217277-T8T4B2</t>
  </si>
  <si>
    <t>24CCE90</t>
  </si>
  <si>
    <t>July - DIFFUSER INNER CASE ASSEMBLY - W-SEAL PLASMA COAT REPAIR - 21CCM16B LIMIT EXTENSION</t>
  </si>
  <si>
    <t>CAS-216555-R7G0Y8</t>
  </si>
  <si>
    <t>24VCA13</t>
  </si>
  <si>
    <t>CAS-218168-V0N1Y0</t>
  </si>
  <si>
    <t>24CCL61</t>
  </si>
  <si>
    <t>CAS-222485-Z2X4B1</t>
  </si>
  <si>
    <t>James Evans</t>
  </si>
  <si>
    <t>24KC450</t>
  </si>
  <si>
    <t>MSG-240729-99B7C6</t>
  </si>
  <si>
    <t>19KC545A</t>
  </si>
  <si>
    <t>August - ESTO requests EM alignment with QN rework</t>
  </si>
  <si>
    <t>24FC280</t>
  </si>
  <si>
    <t>Similiar to 107422</t>
  </si>
  <si>
    <t>CAS-226425-H0R7C4</t>
  </si>
  <si>
    <t>24KC539</t>
  </si>
  <si>
    <t>CAS-228817-N8C0J4</t>
  </si>
  <si>
    <t>24VC323</t>
  </si>
  <si>
    <t>MSG-240614-A2F783</t>
  </si>
  <si>
    <t>24CCT44</t>
  </si>
  <si>
    <t>DEC. Evaluate and substantiate continued viability of subject DMCs in CIR for applicability GTFA models and run parameters. Additionally ensure DMC is inline with latest ESW and that current inspection limits. Review See comments for guidance..</t>
  </si>
  <si>
    <t>CAS-234012-Z5V0Q5</t>
  </si>
  <si>
    <t>08AC093D</t>
  </si>
  <si>
    <t>Fan Blade Fairing</t>
  </si>
  <si>
    <t>MSG-241119-306769</t>
  </si>
  <si>
    <t>16CCD27A</t>
  </si>
  <si>
    <t xml:space="preserve">This REA was originally submitted as  Discretionary. Please Review convert to EM as necessary and add GTFA applicability evaluating the specific run parameters. Follow GTFA guidance see comments for more information </t>
  </si>
  <si>
    <t>MSG-241121-0491BB</t>
  </si>
  <si>
    <t>24KC492A</t>
  </si>
  <si>
    <t>Crack discovered during post-cold work FPI from 24KC492.  Follow up to MERLIN 107652 (MSG-240814-317DA9).</t>
  </si>
  <si>
    <t>MSG-241119-BA8EB9</t>
  </si>
  <si>
    <t>18CCL05D</t>
  </si>
  <si>
    <t xml:space="preserve">This REA was originally submitted as  Discretionary. Please Review convert to EM as necessary and add GTFA applicability evaluating the specific run parameters. Follow GTFA guidance; see comments for more information </t>
  </si>
  <si>
    <t>MSG-241119-AA4CF4</t>
  </si>
  <si>
    <t>25CC142</t>
  </si>
  <si>
    <t>JAN-This task is to deactivate the subject EA. It was reviewed that this EA is not used by PWAA and as cosmetic repair it is not driven by any VIS. Therefore no need to extend applicability for GTFA Commonality; instead deactivate . Guidance provided</t>
  </si>
  <si>
    <t>MSG-250107-1B344E</t>
  </si>
  <si>
    <t>19CCQ82D</t>
  </si>
  <si>
    <t>Discretionary</t>
  </si>
  <si>
    <t>MSG-ID-20230317140936967-878</t>
  </si>
  <si>
    <t>23CC984</t>
  </si>
  <si>
    <t>FEB - This task supports GTFA validation of Category 3B EM repairs to support AMM development.  Update and validate the subject DMC for GTFA applicability. PW1000G-C-72-11-03-00A-649A-D &amp; PW1000G-C-72-11-03-01A-649A-A Blend Leading Egde.</t>
  </si>
  <si>
    <t>CAS-180327-V7M4M0</t>
  </si>
  <si>
    <t>23FC181</t>
  </si>
  <si>
    <t>June</t>
  </si>
  <si>
    <t>CAS-182115-R9C4C5</t>
  </si>
  <si>
    <t>22CCD52B</t>
  </si>
  <si>
    <t>TIC Inner. mar1</t>
  </si>
  <si>
    <t>CAS-181829-Z9G8R9</t>
  </si>
  <si>
    <t>24VG099</t>
  </si>
  <si>
    <t>CAS-172261-Z6V4V1</t>
  </si>
  <si>
    <t>23KC484</t>
  </si>
  <si>
    <t>CAS-190971-Q1Q9K7</t>
  </si>
  <si>
    <t>23KC618</t>
  </si>
  <si>
    <t>Feb1 KAL ESN P222242</t>
  </si>
  <si>
    <t>CAS-194339-S5F9B3</t>
  </si>
  <si>
    <t>23CCV00</t>
  </si>
  <si>
    <t>IDC - damage to pass through hole, blend repair</t>
  </si>
  <si>
    <t>CAS-197677-V0X2Q5</t>
  </si>
  <si>
    <t>24FC074</t>
  </si>
  <si>
    <t>September</t>
  </si>
  <si>
    <t>CAS-202523-G9Q8M3</t>
  </si>
  <si>
    <t>24CC062</t>
  </si>
  <si>
    <t>24FC015</t>
  </si>
  <si>
    <t>CAS-206116-K0B7Q4</t>
  </si>
  <si>
    <t>11KC492B</t>
  </si>
  <si>
    <t>CAS-206442-C7V7T5</t>
  </si>
  <si>
    <t>11KC489C</t>
  </si>
  <si>
    <t>MSG-240126-610CF9</t>
  </si>
  <si>
    <t>24CC830</t>
  </si>
  <si>
    <t>Evaluate and substantiate continued viability of subject DMCs for applicability to GTFA models and parameters. Ensure repairable limits are within requirements and evaluate options for limit expansion.  Update applicability from "All" to specific PNs</t>
  </si>
  <si>
    <t>CAS-213038-Q3G4J1</t>
  </si>
  <si>
    <t>24CCB34</t>
  </si>
  <si>
    <t>JuneFanR-Blade</t>
  </si>
  <si>
    <t>24FC200</t>
  </si>
  <si>
    <t>CAS-213975-N9Q9J4</t>
  </si>
  <si>
    <t>24KC307</t>
  </si>
  <si>
    <t>CAS-222213-Y6N0V6</t>
  </si>
  <si>
    <t>24KC363A</t>
  </si>
  <si>
    <t>MSG-240614-C81069</t>
  </si>
  <si>
    <t>24CCP24</t>
  </si>
  <si>
    <t>Evaluate and substantiate continued viability of subject DMCs in EMM for applicability GTFA models and run parameters. Where not applicable Process PSAF to change DMC# to be Base Specific. See comments for further instructions.</t>
  </si>
  <si>
    <t>MSG-250110-D57A6D</t>
  </si>
  <si>
    <t>25CC053</t>
  </si>
  <si>
    <t>FEB-Fan Blade PN 5331821</t>
  </si>
  <si>
    <t>CAS-148404-Q1L7D1</t>
  </si>
  <si>
    <t>22CCH21</t>
  </si>
  <si>
    <t>PW800</t>
  </si>
  <si>
    <t>CAS-158869-Z5C9C5</t>
  </si>
  <si>
    <t>17CCI96I</t>
  </si>
  <si>
    <t>FanR-Blade - CIR - Strip &amp; Reapply Polyurethane Erosion Coating</t>
  </si>
  <si>
    <t>CAS-167234-Z5N5X1</t>
  </si>
  <si>
    <t>23CC345</t>
  </si>
  <si>
    <t>IDC  MAR2</t>
  </si>
  <si>
    <t>CAS-176098-V4K5N6</t>
  </si>
  <si>
    <t>23FC158</t>
  </si>
  <si>
    <t>MSG-ID-20230512123251010-172</t>
  </si>
  <si>
    <t>23KC585</t>
  </si>
  <si>
    <t>S/N 9132. May 2024</t>
  </si>
  <si>
    <t>CAS-181701-Q2R9F0</t>
  </si>
  <si>
    <t>23KC515</t>
  </si>
  <si>
    <t>CAS-181064-P9L4R0</t>
  </si>
  <si>
    <t>23AC085</t>
  </si>
  <si>
    <t>CAS-205524-P7J8N0</t>
  </si>
  <si>
    <t>20CC974B</t>
  </si>
  <si>
    <t>AprFanR-Cone</t>
  </si>
  <si>
    <t>CAS-208502-H9D6S5</t>
  </si>
  <si>
    <t>24KC209</t>
  </si>
  <si>
    <t>CAS-218301-W4D3W8</t>
  </si>
  <si>
    <t>24KC363</t>
  </si>
  <si>
    <t>CAS-257437-S8R2J4</t>
  </si>
  <si>
    <t>Joshua Desjardins</t>
  </si>
  <si>
    <t>25AC108</t>
  </si>
  <si>
    <t>DR# 02201923</t>
  </si>
  <si>
    <t>23FC119A</t>
  </si>
  <si>
    <t>CAS-181836-T9D3S7</t>
  </si>
  <si>
    <t>23KC529</t>
  </si>
  <si>
    <t>CAS-190843-V6S2C0</t>
  </si>
  <si>
    <t>23KC580</t>
  </si>
  <si>
    <t>CAS-195500-B7Q3X4</t>
  </si>
  <si>
    <t>23FC329</t>
  </si>
  <si>
    <t>FEB1</t>
  </si>
  <si>
    <t>CAS-196510-G0K6B8</t>
  </si>
  <si>
    <t>22CCG93B</t>
  </si>
  <si>
    <t>Mar2</t>
  </si>
  <si>
    <t>CAS-196528-T0G2Y5</t>
  </si>
  <si>
    <t>23VC493</t>
  </si>
  <si>
    <t>CAS-195545-R6V4J5</t>
  </si>
  <si>
    <t>23KC652</t>
  </si>
  <si>
    <t>CAS-197681-M2J4H7</t>
  </si>
  <si>
    <t>24KC117</t>
  </si>
  <si>
    <t>CAS-203434-K7W1R0</t>
  </si>
  <si>
    <t>24CCD55</t>
  </si>
  <si>
    <t>CAS-207809-D3T5Z9</t>
  </si>
  <si>
    <t>24VC095</t>
  </si>
  <si>
    <t>CAS-209381-B0Y4R1</t>
  </si>
  <si>
    <t>15CCF04G</t>
  </si>
  <si>
    <t>FanR-Blade</t>
  </si>
  <si>
    <t>CAS-211529-V9L0T8</t>
  </si>
  <si>
    <t>24KC201</t>
  </si>
  <si>
    <t>24FC136</t>
  </si>
  <si>
    <t>CAS-214982-X2T0F9</t>
  </si>
  <si>
    <t>24KC295</t>
  </si>
  <si>
    <t>MSG-240111-343FFA</t>
  </si>
  <si>
    <t>21CCM16C</t>
  </si>
  <si>
    <t>Feb - Revise 21CCm16B to allow for larger repair limits. Field data from OTC supports this: 23(CC872/CCL23/CC844/CCH59). 23CCh59 is largest wear. Current repair uses  PWA53-47,and an equivalent is 271-47, consider updating when 53-47 limit reached.</t>
  </si>
  <si>
    <t>MSG-250521-5411ED</t>
  </si>
  <si>
    <t>Alexander Page</t>
  </si>
  <si>
    <t>22CCD52E</t>
  </si>
  <si>
    <t>Planning in support of 2025 TIC Inner Case part recovery</t>
  </si>
  <si>
    <t>CAS-171976-D6F1X2</t>
  </si>
  <si>
    <t>23CCE89</t>
  </si>
  <si>
    <t>17-24K</t>
  </si>
  <si>
    <t>Feb1</t>
  </si>
  <si>
    <t>CAS-178009-N9J0G4</t>
  </si>
  <si>
    <t>20CC288A</t>
  </si>
  <si>
    <t>CAS-181112-G6S7C4</t>
  </si>
  <si>
    <t>22CC864A</t>
  </si>
  <si>
    <t>CAS-189465-B1P5S4</t>
  </si>
  <si>
    <t>23KC469</t>
  </si>
  <si>
    <t>CAS-192003-Z5G6B7</t>
  </si>
  <si>
    <t>20VG063A</t>
  </si>
  <si>
    <t>CAS-194906-Q8W8W5</t>
  </si>
  <si>
    <t>23KC568</t>
  </si>
  <si>
    <t>MAY</t>
  </si>
  <si>
    <t>CAS-195075-Q7X9L7</t>
  </si>
  <si>
    <t>23KC598</t>
  </si>
  <si>
    <t>CAS-197442-L0F0G1</t>
  </si>
  <si>
    <t>23FC349</t>
  </si>
  <si>
    <t>Previous blending or wear puts the case wall below the minimum thickness for the standard blend repair-06. FEB2</t>
  </si>
  <si>
    <t>CAS-198367-T0X0W2</t>
  </si>
  <si>
    <t>24CC330</t>
  </si>
  <si>
    <t>TIC Inner</t>
  </si>
  <si>
    <t>CAS-198498-S8R3Q2</t>
  </si>
  <si>
    <t>23VC555</t>
  </si>
  <si>
    <t>MAR1</t>
  </si>
  <si>
    <t>MSG-231018-4D1648</t>
  </si>
  <si>
    <t>22CCB40C</t>
  </si>
  <si>
    <t>AprUpdate the Current Body Blend Repair on the Flan Blade with extended limits - revise EA 22CCB40A - Extend serviceable limits  - 0.010" and then repairable limits to ???</t>
  </si>
  <si>
    <t>CAS-198816-K4K5R1</t>
  </si>
  <si>
    <t>21CC250D</t>
  </si>
  <si>
    <t>FanR-Blade
June</t>
  </si>
  <si>
    <t>CAS-199019-J5W9H9</t>
  </si>
  <si>
    <t>24KC262</t>
  </si>
  <si>
    <t>End customer is P&amp;W RSL (July 2024 Commitment). Sept</t>
  </si>
  <si>
    <t>CAS-207810-L9N9C1</t>
  </si>
  <si>
    <t>23KC517A</t>
  </si>
  <si>
    <t>CAS-204533-F9R6V0</t>
  </si>
  <si>
    <t>24KC248</t>
  </si>
  <si>
    <t>CAS-212100-L9L0L9</t>
  </si>
  <si>
    <t>24KC269</t>
  </si>
  <si>
    <t>AUG</t>
  </si>
  <si>
    <t>CAS-218041-C7B6D8</t>
  </si>
  <si>
    <t>24KC357</t>
  </si>
  <si>
    <t>MSG-240624-895141</t>
  </si>
  <si>
    <t>24KC368</t>
  </si>
  <si>
    <t>Fan Exit Guide Vane</t>
  </si>
  <si>
    <t>24FC269A</t>
  </si>
  <si>
    <t>MSG-241007-53CB00</t>
  </si>
  <si>
    <t>Brian K Holland</t>
  </si>
  <si>
    <t>24CCS15</t>
  </si>
  <si>
    <t>Evaluate and substantiate continued viability of subject DMCs in EMM and EM for applicability GTFA models and run parameters. Where not applicable Process PSAF to change DMC# to be Base Specific. See comments for guidance</t>
  </si>
  <si>
    <t>CAS-241504-K8D4Q0</t>
  </si>
  <si>
    <t>25KC090</t>
  </si>
  <si>
    <t>Mar 2025 -SRT</t>
  </si>
  <si>
    <t>CAS-256188-B9S2B4</t>
  </si>
  <si>
    <t>25AC098</t>
  </si>
  <si>
    <t>Jun2025 DR# 02206726</t>
  </si>
  <si>
    <t>CAS-161071-K2C4V8</t>
  </si>
  <si>
    <t>15CCH20L</t>
  </si>
  <si>
    <t>FanR-Blade - CIR - Ground Tab Replacement Repair
June</t>
  </si>
  <si>
    <t>CAS-177333-R9W0Q8</t>
  </si>
  <si>
    <t>23KC306</t>
  </si>
  <si>
    <t>CAS-187852-V3P2X4</t>
  </si>
  <si>
    <t>23KC488</t>
  </si>
  <si>
    <t>APR1</t>
  </si>
  <si>
    <t>CAS-194653-F3T5Q1</t>
  </si>
  <si>
    <t>22CCE47A</t>
  </si>
  <si>
    <t>FanR-Blade
Mar2</t>
  </si>
  <si>
    <t>CAS-196152-X1T8H2</t>
  </si>
  <si>
    <t>23KC581</t>
  </si>
  <si>
    <t>CAS-200416-T5T7F9</t>
  </si>
  <si>
    <t>24FC031</t>
  </si>
  <si>
    <t>CAS-202170-D3L0S5</t>
  </si>
  <si>
    <t>24KC023</t>
  </si>
  <si>
    <t>CAS-205005-P8G9D1</t>
  </si>
  <si>
    <t>24KC065</t>
  </si>
  <si>
    <t>CAS-207640-F0D9W5</t>
  </si>
  <si>
    <t>24KC109</t>
  </si>
  <si>
    <t>CAS-218767-G2W0H9</t>
  </si>
  <si>
    <t>24KC387</t>
  </si>
  <si>
    <t>CAS-222023-D1H2V3</t>
  </si>
  <si>
    <t>24KC490</t>
  </si>
  <si>
    <t>CAS-244874-F9L4G4</t>
  </si>
  <si>
    <t>25CC991</t>
  </si>
  <si>
    <t>MSG-250311-6B0069</t>
  </si>
  <si>
    <t>23CCE23A</t>
  </si>
  <si>
    <t xml:space="preserve">Jul2025 - Review 23CCE23 submitted for PW1100G-B-72-51-02-00A-920A-D to determine if there is an impact with this Must Conform EC. Contact RPM for confirmation of next steps. </t>
  </si>
  <si>
    <t>CAS-251791-X2S4G6</t>
  </si>
  <si>
    <t>25KC332</t>
  </si>
  <si>
    <t>CAS-257280-C6F7L0</t>
  </si>
  <si>
    <t>25AC107</t>
  </si>
  <si>
    <t>jUl2025 - DR# 02213434</t>
  </si>
  <si>
    <t>CAS-148405-W3J6L9</t>
  </si>
  <si>
    <t>22CCH22</t>
  </si>
  <si>
    <t>CAS-182120-V6R1X7</t>
  </si>
  <si>
    <t>24KC062</t>
  </si>
  <si>
    <t>23FC318</t>
  </si>
  <si>
    <t>23FC345</t>
  </si>
  <si>
    <t>MAR2</t>
  </si>
  <si>
    <t>23FC376</t>
  </si>
  <si>
    <t>CAS-198935-G6B6Z3</t>
  </si>
  <si>
    <t>24KC029</t>
  </si>
  <si>
    <t>Damage beyond blend limit. Aug</t>
  </si>
  <si>
    <t>CAS-197675-G5F6N5</t>
  </si>
  <si>
    <t>23KC641</t>
  </si>
  <si>
    <t>24FC087</t>
  </si>
  <si>
    <t>24FC140</t>
  </si>
  <si>
    <t>CAS-218948-L8X6B2</t>
  </si>
  <si>
    <t>24FC230</t>
  </si>
  <si>
    <t>CAS-148496-Y9P1T8</t>
  </si>
  <si>
    <t>23CCF88</t>
  </si>
  <si>
    <t>Apr ---------- PW800 update EA15CCC67 borescope plug lock replacement. OTC -</t>
  </si>
  <si>
    <t>CAS-188541-W0M8G7</t>
  </si>
  <si>
    <t>23KC646</t>
  </si>
  <si>
    <t>CAS-190502-X6H1T4</t>
  </si>
  <si>
    <t>23VG298</t>
  </si>
  <si>
    <t>CAS-196404-Z9C4Q8</t>
  </si>
  <si>
    <t>23KC615</t>
  </si>
  <si>
    <t>CAS-200280-J8V5M8</t>
  </si>
  <si>
    <t>24VC008</t>
  </si>
  <si>
    <t>MSG-231215-321AE4</t>
  </si>
  <si>
    <t>24CC229</t>
  </si>
  <si>
    <t>June Index 1 VIS: https://prod61-ews.prattwhitney.com/ietp/PW1000G-77445-25072-00/PW1000G-A-72-41-0211-00A-310A-C.html   Reference OTC 23CC872</t>
  </si>
  <si>
    <t>CAS-208225-L3F8Z8</t>
  </si>
  <si>
    <t>24KC202</t>
  </si>
  <si>
    <t>CAS-209515-V9H4S1</t>
  </si>
  <si>
    <t>24VC118</t>
  </si>
  <si>
    <t>24FC269</t>
  </si>
  <si>
    <t>CAS-221592-N7L2B1</t>
  </si>
  <si>
    <t>24CCL31</t>
  </si>
  <si>
    <t>DIFFUSER INNER CASE ASSEMBLY - W-SEAL PLASMA COAT REPAIR - 21CCM16B LIMIT EXTENSION</t>
  </si>
  <si>
    <t>CAS-224559-P3D6F9</t>
  </si>
  <si>
    <t>24KC523</t>
  </si>
  <si>
    <t>CAS-252538-V1V1F6</t>
  </si>
  <si>
    <t>25AC085</t>
  </si>
  <si>
    <t>DR# 02188219, 02191287, 02191297</t>
  </si>
  <si>
    <t>CAS-148403-H5Q6J7</t>
  </si>
  <si>
    <t>23CCF87</t>
  </si>
  <si>
    <t>EM - PW800 update EA15CCC79 borescope thread chase repair OTC - Apr</t>
  </si>
  <si>
    <t>CAS-173448-K8Z4Z0</t>
  </si>
  <si>
    <t>23CCB42</t>
  </si>
  <si>
    <t>CAS-176621-P9J0X1</t>
  </si>
  <si>
    <t>23KC517</t>
  </si>
  <si>
    <t>CAS-197572-Z0G8R2</t>
  </si>
  <si>
    <t>23VC517</t>
  </si>
  <si>
    <t>CAS-199976-N6W0W6</t>
  </si>
  <si>
    <t>24KC028</t>
  </si>
  <si>
    <t>CAS-200292-X8X0Q5</t>
  </si>
  <si>
    <t>17CCE31A</t>
  </si>
  <si>
    <t>CAS-200561-X6C1R3</t>
  </si>
  <si>
    <t>23FC380</t>
  </si>
  <si>
    <t>CAS-201903-S8T5T1</t>
  </si>
  <si>
    <t>24KC095</t>
  </si>
  <si>
    <t>CAS-207964-W7Y0T3</t>
  </si>
  <si>
    <t>24CC683</t>
  </si>
  <si>
    <t>IDC</t>
  </si>
  <si>
    <t>CAS-236783-S4W5B1</t>
  </si>
  <si>
    <t>24CCY71</t>
  </si>
  <si>
    <t>CAS-247358-W6W6D9</t>
  </si>
  <si>
    <t>25CC872</t>
  </si>
  <si>
    <t>May2025 - FASM: Proposing follow on EM repair given number of occurrences.</t>
  </si>
  <si>
    <t>MSG-250318-098751</t>
  </si>
  <si>
    <t>23CCA12A</t>
  </si>
  <si>
    <t>ASE processed 23CCA12 authorizing PW1100G-A-72-35-01-00A-920A-D to be used as common to 30K/GTFA. Due to Pre- Post SB call out MDE is now updating the DMC to PW1100G-B (30K) and PW1100G-C GTFA Variants. Provide REA to confirm MDE draft. Contact RPM</t>
  </si>
  <si>
    <t>CAS-162920-P9B5W9</t>
  </si>
  <si>
    <t>17CC668A</t>
  </si>
  <si>
    <t>CAS-177728-R3P3F3</t>
  </si>
  <si>
    <t>20CCK95B</t>
  </si>
  <si>
    <t>(Jan.)  Inlet Cap, Inlet Cone</t>
  </si>
  <si>
    <t>CAS-193424-N6V4T2</t>
  </si>
  <si>
    <t>19CC090B</t>
  </si>
  <si>
    <t>CAS-204584-H7R3F1</t>
  </si>
  <si>
    <t>24FC132</t>
  </si>
  <si>
    <t xml:space="preserve">January - </t>
  </si>
  <si>
    <t>CAS-208078-K6V0Q3</t>
  </si>
  <si>
    <t>24AC032</t>
  </si>
  <si>
    <t>Mar2025 Salesforce Case #01933543</t>
  </si>
  <si>
    <t>22FC236B</t>
  </si>
  <si>
    <t>24FC169</t>
  </si>
  <si>
    <t>October - See related case MSG-240611-B8DEE3</t>
  </si>
  <si>
    <t>CAS-214859-P2Q3L5</t>
  </si>
  <si>
    <t>22KC646A</t>
  </si>
  <si>
    <t>Jan</t>
  </si>
  <si>
    <t>CAS-217603-G1Y4X1</t>
  </si>
  <si>
    <t>24CC330B</t>
  </si>
  <si>
    <t>TIC Inner Feb</t>
  </si>
  <si>
    <t>CAS-221073-C0K3L3</t>
  </si>
  <si>
    <t>25KC027</t>
  </si>
  <si>
    <t>MSG-230901-695F67</t>
  </si>
  <si>
    <t>19CC090C</t>
  </si>
  <si>
    <t>Update 19CC090 - PWA 255 ABRADABLE COATING REPLACEMENT to new PN based on EC 22CA136H. Nov</t>
  </si>
  <si>
    <t>CAS-225145-Q1R4L0</t>
  </si>
  <si>
    <t>24VC110A</t>
  </si>
  <si>
    <t>MSG-241008-561166</t>
  </si>
  <si>
    <t>24AC072A</t>
  </si>
  <si>
    <t xml:space="preserve">  1. For SFC-02023004,  work order number is mentioned instead of the fan case serial number. The correct serial number for this case is F550350.   2. For SFC-02002702, wrong fan case serial number is mentioned. The correct serial number for this cas</t>
  </si>
  <si>
    <t>CAS-232095-D6M8L4</t>
  </si>
  <si>
    <t>24AC091</t>
  </si>
  <si>
    <t>CAS-214062-X7R9S3</t>
  </si>
  <si>
    <t>24KC689</t>
  </si>
  <si>
    <t>Tanker OEM to MRO</t>
  </si>
  <si>
    <t>CAS-230100-D7Q5V1</t>
  </si>
  <si>
    <t>24AC100</t>
  </si>
  <si>
    <t>DR # 02063412</t>
  </si>
  <si>
    <t>CAS-233538-Q2F7H5</t>
  </si>
  <si>
    <t>24CCT93A</t>
  </si>
  <si>
    <t>CAS-234347-M1T6S6</t>
  </si>
  <si>
    <t>24CCW70</t>
  </si>
  <si>
    <t>CAS-236435-V2S7R2</t>
  </si>
  <si>
    <t>24KC753</t>
  </si>
  <si>
    <t>MSG-241213-E28CBD</t>
  </si>
  <si>
    <t>Jonathan Roobol</t>
  </si>
  <si>
    <t>24AC091A</t>
  </si>
  <si>
    <t>CONE ASSY, REAR</t>
  </si>
  <si>
    <t>MSG-241217-9135A1</t>
  </si>
  <si>
    <t>21CCE12B</t>
  </si>
  <si>
    <t>CAS-239705-S1J4Y4</t>
  </si>
  <si>
    <t>24AC100A</t>
  </si>
  <si>
    <t>May2025 DR# 02063412</t>
  </si>
  <si>
    <t>MSG-250115-184132</t>
  </si>
  <si>
    <t>22CCD52D</t>
  </si>
  <si>
    <t>25FC020</t>
  </si>
  <si>
    <t>CAS-240565-Q7Q1D4</t>
  </si>
  <si>
    <t>25CC348</t>
  </si>
  <si>
    <t>CAS-229421-X1M1Q9</t>
  </si>
  <si>
    <t>25AC028</t>
  </si>
  <si>
    <t>May2025 - DR # 02060962</t>
  </si>
  <si>
    <t>CAS-256057-Y8T8X8</t>
  </si>
  <si>
    <t>25VG121</t>
  </si>
  <si>
    <t>CAS-191251-Q5T9H9</t>
  </si>
  <si>
    <t>24CC619</t>
  </si>
  <si>
    <t>TIC Inner May</t>
  </si>
  <si>
    <t>CAS-199854-Z4X0D3</t>
  </si>
  <si>
    <t>24CC442</t>
  </si>
  <si>
    <t>IDC - Cracks</t>
  </si>
  <si>
    <t>CAS-202833-N9W3K4</t>
  </si>
  <si>
    <t>24CC104</t>
  </si>
  <si>
    <t>24FC037</t>
  </si>
  <si>
    <t xml:space="preserve">May2025 - Graphic correction </t>
  </si>
  <si>
    <t>CAS-216309-B3F9D2</t>
  </si>
  <si>
    <t>24FC193</t>
  </si>
  <si>
    <t xml:space="preserve">DEC. </t>
  </si>
  <si>
    <t>CAS-201395-C8Q3M7</t>
  </si>
  <si>
    <t>24KC419</t>
  </si>
  <si>
    <t>October</t>
  </si>
  <si>
    <t>CAS-218831-T6H0Q1</t>
  </si>
  <si>
    <t>24KC600</t>
  </si>
  <si>
    <t>November</t>
  </si>
  <si>
    <t>CAS-200793-Q7C8C7</t>
  </si>
  <si>
    <t>24VG252</t>
  </si>
  <si>
    <t>CAS-213876-K2X7Z2</t>
  </si>
  <si>
    <t>24KC591</t>
  </si>
  <si>
    <t>CAS-229086-X7S4H1</t>
  </si>
  <si>
    <t>24KC697</t>
  </si>
  <si>
    <t>CAS-233088-F4M4F1</t>
  </si>
  <si>
    <t>24AC098</t>
  </si>
  <si>
    <t>CAS-230412-W9V3C5</t>
  </si>
  <si>
    <t>24KC706</t>
  </si>
  <si>
    <t>CAS-235278-V0R5V5</t>
  </si>
  <si>
    <t>24CCX42</t>
  </si>
  <si>
    <t>CAS-235936-B8H6P9</t>
  </si>
  <si>
    <t>24KC738</t>
  </si>
  <si>
    <t>CAS-231969-Z3Z2Y8</t>
  </si>
  <si>
    <t>25AC013</t>
  </si>
  <si>
    <t>CAS-229255-K0H2P3</t>
  </si>
  <si>
    <t>25AC011</t>
  </si>
  <si>
    <t>May2025 DR # 02060934</t>
  </si>
  <si>
    <t>CAS-240013-H0C9K8</t>
  </si>
  <si>
    <t>25AC017</t>
  </si>
  <si>
    <t>Apr2025. 01992377, 01982261, 02176385</t>
  </si>
  <si>
    <t>CAS-242010-P1N2F6</t>
  </si>
  <si>
    <t>25KC101</t>
  </si>
  <si>
    <t>CAS-242245-K3M2L8</t>
  </si>
  <si>
    <t>25KC198</t>
  </si>
  <si>
    <t>May2025 RSL</t>
  </si>
  <si>
    <t>CAS-246118-G6Z6G7</t>
  </si>
  <si>
    <t>25VG074</t>
  </si>
  <si>
    <t>CAS-250244-J3V2R7</t>
  </si>
  <si>
    <t>25KC294</t>
  </si>
  <si>
    <t>JUN2025 - RSL</t>
  </si>
  <si>
    <t>CAS-250266-T1P7L0</t>
  </si>
  <si>
    <t>25CCA52</t>
  </si>
  <si>
    <t>30K CIPT</t>
  </si>
  <si>
    <t xml:space="preserve">May2025 </t>
  </si>
  <si>
    <t>CAS-251215-T4H8K6</t>
  </si>
  <si>
    <t>25AC083</t>
  </si>
  <si>
    <t>Jun2025. DR# 02180914</t>
  </si>
  <si>
    <t>CAS-208767-V9H7F2</t>
  </si>
  <si>
    <t>24CCF79</t>
  </si>
  <si>
    <t>JUN2025</t>
  </si>
  <si>
    <t>CAS-208880-Z4N5T5</t>
  </si>
  <si>
    <t>24CCD32</t>
  </si>
  <si>
    <t>TIC Inner oct</t>
  </si>
  <si>
    <t>CAS-215490-Q5R2L7</t>
  </si>
  <si>
    <t>24CCK97</t>
  </si>
  <si>
    <t>apr2025</t>
  </si>
  <si>
    <t>CAS-210584-C0K0S4</t>
  </si>
  <si>
    <t>24CCP26</t>
  </si>
  <si>
    <t>DEC. FanR-Blade</t>
  </si>
  <si>
    <t>CAS-219850-H5Y7Z7</t>
  </si>
  <si>
    <t>24CCM93</t>
  </si>
  <si>
    <t>IDC Jan</t>
  </si>
  <si>
    <t>CAS-225164-X2K8V7</t>
  </si>
  <si>
    <t>24KC552</t>
  </si>
  <si>
    <t>INNER DIFFUSER CASE ASSY - FRONT INNER FLANGE  INNER DIAMETER &amp; FWD FACE COAT REPAIR - REPAIRS -03 &amp; -09 LIMIT EXTENSION</t>
  </si>
  <si>
    <t>CAS-231982-S3F8Y6</t>
  </si>
  <si>
    <t>24CCT93</t>
  </si>
  <si>
    <t>CAS-232838-Y8C3M5</t>
  </si>
  <si>
    <t>24CCV57</t>
  </si>
  <si>
    <t>CAS-234274-Q4Y5B4</t>
  </si>
  <si>
    <t>25KC055</t>
  </si>
  <si>
    <t xml:space="preserve">May2025 - RSL </t>
  </si>
  <si>
    <t>CAS-229543-B3Y2C0</t>
  </si>
  <si>
    <t>25KC079</t>
  </si>
  <si>
    <t>25FC004</t>
  </si>
  <si>
    <t>25FC071</t>
  </si>
  <si>
    <t>CAS-103914-G2Q2W9</t>
  </si>
  <si>
    <t>22KC446</t>
  </si>
  <si>
    <t>October - Follow up to CAS-100081-D8H6Y0: UAL rivet substitution request</t>
  </si>
  <si>
    <t>CAS-155697-S8N7W3</t>
  </si>
  <si>
    <t>22KC509</t>
  </si>
  <si>
    <t>Mar2025 Priority 4 out of set of 4</t>
  </si>
  <si>
    <t>CAS-166155-P4T1W2</t>
  </si>
  <si>
    <t>20CC774C</t>
  </si>
  <si>
    <t>CAS-121777-B4M7K7</t>
  </si>
  <si>
    <t>23VG104</t>
  </si>
  <si>
    <t>March2025</t>
  </si>
  <si>
    <t>CAS-193959-V8Z6F7</t>
  </si>
  <si>
    <t>23CCT38</t>
  </si>
  <si>
    <t>TIC Inner. FEB1</t>
  </si>
  <si>
    <t>CAS-204568-T9M7P1</t>
  </si>
  <si>
    <t>24VG022</t>
  </si>
  <si>
    <t>April2025</t>
  </si>
  <si>
    <t>CAS-173971-N6C4H6</t>
  </si>
  <si>
    <t>24KC524</t>
  </si>
  <si>
    <t xml:space="preserve">November - </t>
  </si>
  <si>
    <t>CAS-213968-Y9S5R1</t>
  </si>
  <si>
    <t>24FC172</t>
  </si>
  <si>
    <t>Nov</t>
  </si>
  <si>
    <t>CAS-229082-R8V3K3</t>
  </si>
  <si>
    <t>24KC602</t>
  </si>
  <si>
    <t>DEC</t>
  </si>
  <si>
    <t>CAS-229507-Z8K4H9</t>
  </si>
  <si>
    <t>24KC710</t>
  </si>
  <si>
    <t>CAS-234013-G6X7T7</t>
  </si>
  <si>
    <t>25VG006</t>
  </si>
  <si>
    <t>CAS-235285-D6F5Y8</t>
  </si>
  <si>
    <t>24CCX50</t>
  </si>
  <si>
    <t>CAS-236327-X6M1Y0</t>
  </si>
  <si>
    <t>24KC749</t>
  </si>
  <si>
    <t>24FC391</t>
  </si>
  <si>
    <t>AMO - Freezer issue</t>
  </si>
  <si>
    <t>MSG-241219-2F3BD9</t>
  </si>
  <si>
    <t>24CCZ02</t>
  </si>
  <si>
    <t>CAS-231792-B2Y8V8</t>
  </si>
  <si>
    <t>25KC035</t>
  </si>
  <si>
    <t>CAS-247522-C9B6C1</t>
  </si>
  <si>
    <t>25KC267</t>
  </si>
  <si>
    <t>CAS-181187-B9Z8W4</t>
  </si>
  <si>
    <t>23VG186</t>
  </si>
  <si>
    <t>CAS-198799-C6F6G6</t>
  </si>
  <si>
    <t>24CC039</t>
  </si>
  <si>
    <t>CAS-209927-K3H2M4</t>
  </si>
  <si>
    <t>16CCE26C</t>
  </si>
  <si>
    <t>CAS-214671-H6L7D1</t>
  </si>
  <si>
    <t>24KC633</t>
  </si>
  <si>
    <t>CAS-225461-Y7H0V1</t>
  </si>
  <si>
    <t>24KC528</t>
  </si>
  <si>
    <t>24FC303</t>
  </si>
  <si>
    <t>CAS-218587-G9J9Y8</t>
  </si>
  <si>
    <t>24CCO85</t>
  </si>
  <si>
    <t xml:space="preserve">TIC Inner Apr2025 Engine need date of 4/16 </t>
  </si>
  <si>
    <t>CAS-230000-L1X5J6</t>
  </si>
  <si>
    <t>24KC622</t>
  </si>
  <si>
    <t>CAS-230304-D5F2L6</t>
  </si>
  <si>
    <t>24CCS22</t>
  </si>
  <si>
    <t>CAS-230144-J7V9B0</t>
  </si>
  <si>
    <t>24CCS45</t>
  </si>
  <si>
    <t>CAS-229369-T0G1B2</t>
  </si>
  <si>
    <t>24KC693</t>
  </si>
  <si>
    <t>CAS-237195-X0G9Q3</t>
  </si>
  <si>
    <t>24CCY96</t>
  </si>
  <si>
    <t>CAS-236047-G8C6R0</t>
  </si>
  <si>
    <t>25VC078</t>
  </si>
  <si>
    <t>CAS-166448-Y3F1V3</t>
  </si>
  <si>
    <t>23CC904</t>
  </si>
  <si>
    <t>IDC. Apr</t>
  </si>
  <si>
    <t>CAS-208201-S2D9L5</t>
  </si>
  <si>
    <t>24KC563</t>
  </si>
  <si>
    <t>February</t>
  </si>
  <si>
    <t>CAS-224723-P9J2Z6</t>
  </si>
  <si>
    <t>24KC269A</t>
  </si>
  <si>
    <t>EA Revision to 24KC269 (CAS-212100-L9L0L9) to allow "no plasma removal necessary" if utilizing a local heat treat. Oct</t>
  </si>
  <si>
    <t>CAS-223587-C4B8V8</t>
  </si>
  <si>
    <t>24FC287</t>
  </si>
  <si>
    <t xml:space="preserve">October - </t>
  </si>
  <si>
    <t>CAS-231303-V2P5L0</t>
  </si>
  <si>
    <t>24KC653</t>
  </si>
  <si>
    <t>MSG-241219-E0D4A1</t>
  </si>
  <si>
    <t>24CCZ03</t>
  </si>
  <si>
    <t>CAS-232720-Q9F9R3</t>
  </si>
  <si>
    <t>25KC037</t>
  </si>
  <si>
    <t>CAS-231786-W6M4G5</t>
  </si>
  <si>
    <t>Ibraheem Farajat</t>
  </si>
  <si>
    <t>25VC104</t>
  </si>
  <si>
    <t>May2025 PSD</t>
  </si>
  <si>
    <t>CAS-239016-Z5M2Q3</t>
  </si>
  <si>
    <t>25VG063</t>
  </si>
  <si>
    <t>CAS-247692-T1L6J1</t>
  </si>
  <si>
    <t>25VC120</t>
  </si>
  <si>
    <t>CAS-246085-W8F6F6</t>
  </si>
  <si>
    <t>25VC131</t>
  </si>
  <si>
    <t>CAS-249276-C4Y3H9</t>
  </si>
  <si>
    <t>25CC882</t>
  </si>
  <si>
    <t>24K CIPT</t>
  </si>
  <si>
    <t>CAS-208345-H5N6Y2</t>
  </si>
  <si>
    <t>24KC135</t>
  </si>
  <si>
    <t>CAS-210588-S8G6T8</t>
  </si>
  <si>
    <t>23CCQ47</t>
  </si>
  <si>
    <t>CAS-208328-F3P5N3</t>
  </si>
  <si>
    <t>24KC377</t>
  </si>
  <si>
    <t>Oct</t>
  </si>
  <si>
    <t>CAS-201983-P9Z3Q3</t>
  </si>
  <si>
    <t>24KC652</t>
  </si>
  <si>
    <t>CAS-222321-T5D3F1</t>
  </si>
  <si>
    <t>24CCR07</t>
  </si>
  <si>
    <t>DIFFUSER INNER CASE ASSEMBLY - INNER CASE WALL - BLEND REPAIR.</t>
  </si>
  <si>
    <t>CAS-228800-Q8C9G6</t>
  </si>
  <si>
    <t>24KC603</t>
  </si>
  <si>
    <t>24FC364</t>
  </si>
  <si>
    <t>CAS-228630-R6J9L1</t>
  </si>
  <si>
    <t>24KC714</t>
  </si>
  <si>
    <t>CAS-232593-T7R8P5</t>
  </si>
  <si>
    <t>24CCX13</t>
  </si>
  <si>
    <t>CAS-242014-G6L7P5</t>
  </si>
  <si>
    <t>25KC204</t>
  </si>
  <si>
    <t>CAS-245978-Y8Q5J4</t>
  </si>
  <si>
    <t>24KC622A</t>
  </si>
  <si>
    <t>Apr2025 - RSL</t>
  </si>
  <si>
    <t>CAS-248540-R7D5Y4</t>
  </si>
  <si>
    <t>25CC847</t>
  </si>
  <si>
    <t>CAS-251591-J9H8J4</t>
  </si>
  <si>
    <t>20CCK95D</t>
  </si>
  <si>
    <t>CAS-182441-V9X0Y1</t>
  </si>
  <si>
    <t>23CCU67</t>
  </si>
  <si>
    <t>Jun2025. Dent on Side of Clip Holes</t>
  </si>
  <si>
    <t>CAS-195395-X8V9C8</t>
  </si>
  <si>
    <t>24CC402</t>
  </si>
  <si>
    <t>CAS-209107-K3H5Y2</t>
  </si>
  <si>
    <t>07FC245A</t>
  </si>
  <si>
    <t>CAS-216436-T3J3W8</t>
  </si>
  <si>
    <t>24CCK38</t>
  </si>
  <si>
    <t>CAS-221701-K9F3V4</t>
  </si>
  <si>
    <t>24VC271</t>
  </si>
  <si>
    <t>CAS-232125-J5N7V3</t>
  </si>
  <si>
    <t>24CCU00</t>
  </si>
  <si>
    <t>CAS-238779-S6R1Y2</t>
  </si>
  <si>
    <t>25CC048</t>
  </si>
  <si>
    <t>CAS-241637-G8B4T7</t>
  </si>
  <si>
    <t>22CCB58B</t>
  </si>
  <si>
    <t>CAS-243400-T2N9Q8</t>
  </si>
  <si>
    <t>15CC044C</t>
  </si>
  <si>
    <t>may2025</t>
  </si>
  <si>
    <t>CAS-114668-R4C2Y4</t>
  </si>
  <si>
    <t>22VG193A</t>
  </si>
  <si>
    <t>CAS-187986-C6Y4Y9</t>
  </si>
  <si>
    <t>23VG263</t>
  </si>
  <si>
    <t>24FC197</t>
  </si>
  <si>
    <t>CAS-216987-J6D9V9</t>
  </si>
  <si>
    <t>24KC370</t>
  </si>
  <si>
    <t>CAS-215781-F5W3G0</t>
  </si>
  <si>
    <t>23KC581A</t>
  </si>
  <si>
    <t>CAS-222747-G7G0T5</t>
  </si>
  <si>
    <t>24CCU07</t>
  </si>
  <si>
    <t>CAS-231938-B9D5W5</t>
  </si>
  <si>
    <t>24CCT98</t>
  </si>
  <si>
    <t>CAS-231818-M1J0B1</t>
  </si>
  <si>
    <t>24CCV37</t>
  </si>
  <si>
    <t>TIC Inner  May2025</t>
  </si>
  <si>
    <t>MSG-241206-7B75B2</t>
  </si>
  <si>
    <t>24KC602A</t>
  </si>
  <si>
    <t>Wrong adhesive used</t>
  </si>
  <si>
    <t>CAS-238778-M0S7S8</t>
  </si>
  <si>
    <t>25CC011</t>
  </si>
  <si>
    <t>25FC017</t>
  </si>
  <si>
    <t>CAS-238384-L1R2X1</t>
  </si>
  <si>
    <t>25VG018</t>
  </si>
  <si>
    <t>CAS-235093-D8W8M8</t>
  </si>
  <si>
    <t>25VC068</t>
  </si>
  <si>
    <t>CAS-242222-K2G8T6</t>
  </si>
  <si>
    <t>25VC095</t>
  </si>
  <si>
    <t>CAS-174703-G7C2M9</t>
  </si>
  <si>
    <t>20VC243A</t>
  </si>
  <si>
    <t>CAS-205374-B9P0H8</t>
  </si>
  <si>
    <t>24KC069</t>
  </si>
  <si>
    <t>CAS-225844-P3K6X8</t>
  </si>
  <si>
    <t>24FC348</t>
  </si>
  <si>
    <t>CAS-234961-C4B3Z1</t>
  </si>
  <si>
    <t>25KC066</t>
  </si>
  <si>
    <t>CAS-241303-V4Z5R3</t>
  </si>
  <si>
    <t>23CCQ12A</t>
  </si>
  <si>
    <t>CAS-241617-C7J8C1</t>
  </si>
  <si>
    <t>20KC439A</t>
  </si>
  <si>
    <t>CAS-242917-K1P0D6</t>
  </si>
  <si>
    <t>25CC407</t>
  </si>
  <si>
    <t>25FC065</t>
  </si>
  <si>
    <t>CAS-242617-B7W1N8</t>
  </si>
  <si>
    <t>25KC258</t>
  </si>
  <si>
    <t>RSL</t>
  </si>
  <si>
    <t>CAS-197438-D0Q5Z6</t>
  </si>
  <si>
    <t>14CC548A</t>
  </si>
  <si>
    <t>Jul2025 TIC Inner</t>
  </si>
  <si>
    <t>CAS-218146-D6N2M2</t>
  </si>
  <si>
    <t>24CCG87</t>
  </si>
  <si>
    <t>LPC 2ND STAGE STATOR CASE ASSEMBLY - REAR FLANGE BOLT HOLE, BLEND REPAIR Apr2025</t>
  </si>
  <si>
    <t>CAS-220562-P7Q7N8</t>
  </si>
  <si>
    <t>24KC717</t>
  </si>
  <si>
    <t>24FC315</t>
  </si>
  <si>
    <t>CAS-231628-F2X9G4</t>
  </si>
  <si>
    <t>24KC680</t>
  </si>
  <si>
    <t>CAS-235323-N9M4X8</t>
  </si>
  <si>
    <t>25KC005</t>
  </si>
  <si>
    <t>Revise rep-24 to allow for using detail 55D064 (Nomex wedge) on older designs</t>
  </si>
  <si>
    <t>CAS-233056-Q1C1R7</t>
  </si>
  <si>
    <t>25KC062</t>
  </si>
  <si>
    <t>CAS-238784-G6K5X7</t>
  </si>
  <si>
    <t>25CC013</t>
  </si>
  <si>
    <t>CAS-236948-F1Z4V5</t>
  </si>
  <si>
    <t>25KC056</t>
  </si>
  <si>
    <t>CAS-241093-F9C6H5</t>
  </si>
  <si>
    <t>15CCH20N</t>
  </si>
  <si>
    <t>CAS-237062-Z0G8J6</t>
  </si>
  <si>
    <t>25KC147</t>
  </si>
  <si>
    <t>CAS-218476-L6P7M5</t>
  </si>
  <si>
    <t>24KC406</t>
  </si>
  <si>
    <t>CAS-217588-R9X6X1</t>
  </si>
  <si>
    <t>23KC614A</t>
  </si>
  <si>
    <t>24FC342</t>
  </si>
  <si>
    <t>CAS-242105-L9H8G4</t>
  </si>
  <si>
    <t>22KC329E</t>
  </si>
  <si>
    <t>CAS-241830-D6H4S7</t>
  </si>
  <si>
    <t>14CCQ28A</t>
  </si>
  <si>
    <t>CAS-243955-X4Q8Y4</t>
  </si>
  <si>
    <t>25CC875</t>
  </si>
  <si>
    <t>Jun2025 - NO. 4 BEARING CASE ASSEMBLY, TIC INNER - PISTON SEAL GROOVE SECTION REPLACEMENT (MR22CCD52D) LIMIT EXTENSION</t>
  </si>
  <si>
    <t>CAS-211841-Y5G5F0</t>
  </si>
  <si>
    <t>23KC414A</t>
  </si>
  <si>
    <t>CAS-223623-Z5Q6J2</t>
  </si>
  <si>
    <t>24KC573</t>
  </si>
  <si>
    <t>24FC336</t>
  </si>
  <si>
    <t>CAS-236766-H3Z3H0</t>
  </si>
  <si>
    <t>25KC093</t>
  </si>
  <si>
    <t>OUTER DIFFUSER CASE ASSEMBLY - BORESCOPE BOSS FACE - SKIM MACHINE REPAIR, EA17KC562 DEVIATION apr2025</t>
  </si>
  <si>
    <t>CAS-241717-P5L9H1</t>
  </si>
  <si>
    <t>25KC130</t>
  </si>
  <si>
    <t>Jun2025 DIFFUSER CASE ASSEMBLY - AFT FLANGE INNER CASE WALL - BLEND REPAIR june2026</t>
  </si>
  <si>
    <t>CAS-249956-F1G7N2</t>
  </si>
  <si>
    <t>25CC937</t>
  </si>
  <si>
    <t>CAS-250691-C2P6V8</t>
  </si>
  <si>
    <t>25CCA13</t>
  </si>
  <si>
    <t>CAS-224334-J6Z0T5</t>
  </si>
  <si>
    <t>24KC597</t>
  </si>
  <si>
    <t>CAS-236764-S7Z9R0</t>
  </si>
  <si>
    <t>25KC116</t>
  </si>
  <si>
    <t>CAS-253030-L4D5M7</t>
  </si>
  <si>
    <t>16CC311C</t>
  </si>
  <si>
    <t>CAS-225693-J9K1Q8</t>
  </si>
  <si>
    <t>24CCT16</t>
  </si>
  <si>
    <t>CAS-228914-H6F9X3</t>
  </si>
  <si>
    <t>24KC667</t>
  </si>
  <si>
    <t>24FC366</t>
  </si>
  <si>
    <t>23FC206A</t>
  </si>
  <si>
    <t>CAS-198657-Z0N8W7</t>
  </si>
  <si>
    <t>23KC626</t>
  </si>
  <si>
    <t>CAS-228253-F6F4Q8</t>
  </si>
  <si>
    <t>25KC179</t>
  </si>
  <si>
    <t>CAS-231811-K6G5V8</t>
  </si>
  <si>
    <t>25KC031</t>
  </si>
  <si>
    <t>STAGE 8 HPC CASE - ANTI ROTATION SHOULDER WELD REPAIR - REPAIR-19 LIMIT EXTENSION apr2025</t>
  </si>
  <si>
    <t>CAS-239834-N1J5X0</t>
  </si>
  <si>
    <t>25KC018</t>
  </si>
  <si>
    <t>CAS-243406-F0R2J6</t>
  </si>
  <si>
    <t>25KC188</t>
  </si>
  <si>
    <t>CAS-248531-Q7B9M9</t>
  </si>
  <si>
    <t>25CC841</t>
  </si>
  <si>
    <t>CAS-226399-L7M2N9</t>
  </si>
  <si>
    <t>24KC620</t>
  </si>
  <si>
    <t>CAS-242013-X7X9J4</t>
  </si>
  <si>
    <t>25KC182</t>
  </si>
  <si>
    <t>CAS-245813-G6F5F3</t>
  </si>
  <si>
    <t>25KC195</t>
  </si>
  <si>
    <t>MSG-250618-BC655C</t>
  </si>
  <si>
    <t>25CCA53A</t>
  </si>
  <si>
    <t>Jul2025 Revise 25CCA53 to use PN 5328673-01</t>
  </si>
  <si>
    <t>CAS-230281-L6Z8H8</t>
  </si>
  <si>
    <t>24KC708</t>
  </si>
  <si>
    <t>CAS-233136-Z0S2N5</t>
  </si>
  <si>
    <t>25KC026</t>
  </si>
  <si>
    <t>CAS-239259-K3N5X1</t>
  </si>
  <si>
    <t>25KC034</t>
  </si>
  <si>
    <t>COPQ</t>
  </si>
  <si>
    <t>CAS-225133-C1Q8B4</t>
  </si>
  <si>
    <t>14CC211E</t>
  </si>
  <si>
    <t>CAS-231526-D7H6X3</t>
  </si>
  <si>
    <t>24KC675</t>
  </si>
  <si>
    <t>CAS-246791-Y4T7G9</t>
  </si>
  <si>
    <t>25CC721</t>
  </si>
  <si>
    <t>May2025 FanR-Blade</t>
  </si>
  <si>
    <t>CAS-231692-S7W4C9</t>
  </si>
  <si>
    <t>24KC683</t>
  </si>
  <si>
    <t>CAS-236068-H0M9H5</t>
  </si>
  <si>
    <t>14CC326F</t>
  </si>
  <si>
    <t>CAS-194913-R6J8V2</t>
  </si>
  <si>
    <t>20CC682B</t>
  </si>
  <si>
    <t>May2025 GTFA-2</t>
  </si>
  <si>
    <t>CAS-250258-S3Q1J5</t>
  </si>
  <si>
    <t>25CCA23</t>
  </si>
  <si>
    <t>CAS-253656-B2S1X2</t>
  </si>
  <si>
    <t>25CCC52</t>
  </si>
  <si>
    <t>Jun2025. AF2.0</t>
  </si>
  <si>
    <t>CAS-236588-C1G8F3</t>
  </si>
  <si>
    <t>22CCB40D</t>
  </si>
  <si>
    <t>CAS-236065-V0M2F8</t>
  </si>
  <si>
    <t>25CC317</t>
  </si>
  <si>
    <t>TIC Inner May2025</t>
  </si>
  <si>
    <t>CAS-232704-N8L6G7</t>
  </si>
  <si>
    <t>14CC211F</t>
  </si>
  <si>
    <t>CAS-255564-G5X7B8</t>
  </si>
  <si>
    <t>25CCE20</t>
  </si>
  <si>
    <t>Jun2025 AF2.0</t>
  </si>
  <si>
    <t>CAS-248219-Q2B4T6</t>
  </si>
  <si>
    <t>25CC813</t>
  </si>
  <si>
    <t>CAS-137967-M4X7D1</t>
  </si>
  <si>
    <t>23VG044</t>
  </si>
  <si>
    <t>CAS-167770-F5F8X8</t>
  </si>
  <si>
    <t>13CC675G</t>
  </si>
  <si>
    <t>CAS-170367-Z9L4L5</t>
  </si>
  <si>
    <t>23CC455</t>
  </si>
  <si>
    <t>Inlet Cone Assembly</t>
  </si>
  <si>
    <t>CAS-172546-N4G9G2</t>
  </si>
  <si>
    <t>23KC199</t>
  </si>
  <si>
    <t>CAS-174457-H7N9M6</t>
  </si>
  <si>
    <t>23VG105</t>
  </si>
  <si>
    <t>CAS-157208-Z3N2C1</t>
  </si>
  <si>
    <t>23VG214</t>
  </si>
  <si>
    <t>CAS-182452-B7Y6S8</t>
  </si>
  <si>
    <t>23VG212</t>
  </si>
  <si>
    <t>CAS-188088-V4W3L7</t>
  </si>
  <si>
    <t>24VG087</t>
  </si>
  <si>
    <t>CAS-191008-B3K4J5</t>
  </si>
  <si>
    <t>23VG318</t>
  </si>
  <si>
    <t>CAS-194518-X9Q7C0</t>
  </si>
  <si>
    <t>23KC557</t>
  </si>
  <si>
    <t>CAS-194343-N2X4Z7</t>
  </si>
  <si>
    <t>23VC504</t>
  </si>
  <si>
    <t>mar</t>
  </si>
  <si>
    <t>CAS-197411-M9B7N6</t>
  </si>
  <si>
    <t>23VC522</t>
  </si>
  <si>
    <t>CAS-197939-X4R5Q9</t>
  </si>
  <si>
    <t>23VC549</t>
  </si>
  <si>
    <t>CAS-195179-X7R6C6</t>
  </si>
  <si>
    <t>23VG360</t>
  </si>
  <si>
    <t>CAS-202537-Y6G2L4</t>
  </si>
  <si>
    <t>23CCY61</t>
  </si>
  <si>
    <t>CAS-203158-R3M0V9</t>
  </si>
  <si>
    <t>24VG013</t>
  </si>
  <si>
    <t>24FC029</t>
  </si>
  <si>
    <t>CAS-205118-V6X5V2</t>
  </si>
  <si>
    <t>24VG128</t>
  </si>
  <si>
    <t>CAS-205525-C5B7F5</t>
  </si>
  <si>
    <t>24KC073</t>
  </si>
  <si>
    <t>CAS-205427-C1Y4X2</t>
  </si>
  <si>
    <t>24CC020</t>
  </si>
  <si>
    <t>MSG-240207-5C9FBC</t>
  </si>
  <si>
    <t>24AC014</t>
  </si>
  <si>
    <t>MayInlet Cone Rear Segment Assembly</t>
  </si>
  <si>
    <t>MSG-240122-C2A1EB</t>
  </si>
  <si>
    <t>22KC506B</t>
  </si>
  <si>
    <t>Vane-Base Replacement (112");  PMO priority ACMT support</t>
  </si>
  <si>
    <t>CAS-206430-X7F9T8</t>
  </si>
  <si>
    <t>24AC001</t>
  </si>
  <si>
    <t>Salesforce Case # 01929301November 2024 Commitment</t>
  </si>
  <si>
    <t>MSG-240222-03CA51</t>
  </si>
  <si>
    <t>24CC685</t>
  </si>
  <si>
    <t>CAS-208752-K5M9S5</t>
  </si>
  <si>
    <t>24CC621</t>
  </si>
  <si>
    <t>CAS-196187-G4J4P3</t>
  </si>
  <si>
    <t>24KC317</t>
  </si>
  <si>
    <t>CAS-210139-Z4V3C0</t>
  </si>
  <si>
    <t>24CCO36</t>
  </si>
  <si>
    <t>CAS-211088-Q8M1L7</t>
  </si>
  <si>
    <t>24KC193</t>
  </si>
  <si>
    <t>June 2024 Commitment</t>
  </si>
  <si>
    <t>CAS-210916-G4W6F7</t>
  </si>
  <si>
    <t>24CC330A</t>
  </si>
  <si>
    <t>TIC Inner. May</t>
  </si>
  <si>
    <t>CAS-212348-P3N0P1</t>
  </si>
  <si>
    <t>24KC237</t>
  </si>
  <si>
    <t>24FC129</t>
  </si>
  <si>
    <t>CAS-206648-K3P6L0</t>
  </si>
  <si>
    <t>24KC559</t>
  </si>
  <si>
    <t>Feb</t>
  </si>
  <si>
    <t>CAS-213706-T5T4R9</t>
  </si>
  <si>
    <t>23VG359A</t>
  </si>
  <si>
    <t>CAS-213175-W3L4X6</t>
  </si>
  <si>
    <t>11KC579A</t>
  </si>
  <si>
    <t>CAS-213179-Q4T1V7</t>
  </si>
  <si>
    <t>20KC204A</t>
  </si>
  <si>
    <t>CAS-205656-P5F6V8</t>
  </si>
  <si>
    <t>24VCA32</t>
  </si>
  <si>
    <t>CAS-213828-D5B6R2</t>
  </si>
  <si>
    <t>24FC182</t>
  </si>
  <si>
    <t>CAS-217665-G5Z6Z2</t>
  </si>
  <si>
    <t>15CCH20M</t>
  </si>
  <si>
    <t>CAS-215383-S8J9W4</t>
  </si>
  <si>
    <t>24CCF89</t>
  </si>
  <si>
    <t>CAS-218295-H2J1Z7</t>
  </si>
  <si>
    <t>24CCF52</t>
  </si>
  <si>
    <t>CAS-216982-N4T7D5</t>
  </si>
  <si>
    <t>24CCG57</t>
  </si>
  <si>
    <t>MSG-240702-26FD9E</t>
  </si>
  <si>
    <t>24CCB06A</t>
  </si>
  <si>
    <t>Update location of blend area</t>
  </si>
  <si>
    <t>CAS-219868-T9J7F0</t>
  </si>
  <si>
    <t>24CCG67</t>
  </si>
  <si>
    <t>DDM: 24185J1ESF</t>
  </si>
  <si>
    <t>CAS-218565-M1Y7V5</t>
  </si>
  <si>
    <t>17CC494D</t>
  </si>
  <si>
    <t>CAS-211369-S2T0P2</t>
  </si>
  <si>
    <t>24CCK42</t>
  </si>
  <si>
    <t>CAS-216563-Z1N9T6</t>
  </si>
  <si>
    <t>24AC058</t>
  </si>
  <si>
    <t>CAS-202842-Y9F8T8</t>
  </si>
  <si>
    <t>11CC453A</t>
  </si>
  <si>
    <t>CAS-222341-F9M2W1</t>
  </si>
  <si>
    <t>24CCK45</t>
  </si>
  <si>
    <t>CAS-215778-R7F8V0</t>
  </si>
  <si>
    <t>24FC298</t>
  </si>
  <si>
    <t>CAS-208685-V1N5Y8</t>
  </si>
  <si>
    <t>24VG191</t>
  </si>
  <si>
    <t>CAS-218822-F2T8Z6</t>
  </si>
  <si>
    <t>24CCL93</t>
  </si>
  <si>
    <t>24FC270</t>
  </si>
  <si>
    <t>CAS-223728-M3Q8C7</t>
  </si>
  <si>
    <t>24AC068</t>
  </si>
  <si>
    <t>24FC276</t>
  </si>
  <si>
    <t>CAS-224149-W0R7V3</t>
  </si>
  <si>
    <t>24CCM37</t>
  </si>
  <si>
    <t>CAS-221557-V3M5Y1</t>
  </si>
  <si>
    <t>24VC331</t>
  </si>
  <si>
    <t>CAS-212372-V5R7V0</t>
  </si>
  <si>
    <t>24VG205</t>
  </si>
  <si>
    <t>CAS-218035-M5C2S5</t>
  </si>
  <si>
    <t>24KC601</t>
  </si>
  <si>
    <t>CAS-223532-B7M8N7</t>
  </si>
  <si>
    <t>24VG210</t>
  </si>
  <si>
    <t>CAS-223745-F6H9F6</t>
  </si>
  <si>
    <t>24CCN48</t>
  </si>
  <si>
    <t>CAS-224182-B3H1V1</t>
  </si>
  <si>
    <t>19KC693A</t>
  </si>
  <si>
    <t>CAS-219517-S8Z0M4</t>
  </si>
  <si>
    <t>24CCN72</t>
  </si>
  <si>
    <t>CAS-225158-J7T3F7</t>
  </si>
  <si>
    <t>24CCL61A</t>
  </si>
  <si>
    <t>CAS-223026-M9D3R1</t>
  </si>
  <si>
    <t>24AC072</t>
  </si>
  <si>
    <t>Salesforce Case #02023024</t>
  </si>
  <si>
    <t>CAS-226086-Y8D1X9</t>
  </si>
  <si>
    <t>24VG150</t>
  </si>
  <si>
    <t>oct</t>
  </si>
  <si>
    <t>CAS-214994-P0X2T6</t>
  </si>
  <si>
    <t>24KC574</t>
  </si>
  <si>
    <t>24FC312</t>
  </si>
  <si>
    <t>Mar2025 Commitment</t>
  </si>
  <si>
    <t>MSG-240905-06A993</t>
  </si>
  <si>
    <t>16CCC15D</t>
  </si>
  <si>
    <t>CAS-227201-Y2T3R9</t>
  </si>
  <si>
    <t>24VG234</t>
  </si>
  <si>
    <t>CAS-224787-K5S6S6</t>
  </si>
  <si>
    <t>24KC604</t>
  </si>
  <si>
    <t>CAS-225015-Y9H3F4</t>
  </si>
  <si>
    <t>24KC619</t>
  </si>
  <si>
    <t>CAS-225777-T1N3V5</t>
  </si>
  <si>
    <t>24VG249</t>
  </si>
  <si>
    <t>MSG-250306-B96693</t>
  </si>
  <si>
    <t>08KCH83C</t>
  </si>
  <si>
    <t>CAS-225939-W6R5R6</t>
  </si>
  <si>
    <t>24VG246</t>
  </si>
  <si>
    <t>CAS-229652-K3R4P9</t>
  </si>
  <si>
    <t>24CCR76</t>
  </si>
  <si>
    <t>JAN. FanR-Blade</t>
  </si>
  <si>
    <t>CAS-230158-S1G6F8</t>
  </si>
  <si>
    <t>24KC618</t>
  </si>
  <si>
    <t>Customer assembly kit date/need by for engine build Nov. 13, 2024.</t>
  </si>
  <si>
    <t>MSG-241010-C82DF5</t>
  </si>
  <si>
    <t>20CCC67C</t>
  </si>
  <si>
    <t>Remove proprietary repair from CIR and place in MR</t>
  </si>
  <si>
    <t>CAS-223200-J2D1S5</t>
  </si>
  <si>
    <t>24CCS70</t>
  </si>
  <si>
    <t>CAS-230106-W9F5G7</t>
  </si>
  <si>
    <t>24KC621</t>
  </si>
  <si>
    <t>CAS-230250-S4Y6V8</t>
  </si>
  <si>
    <t>24CCS60</t>
  </si>
  <si>
    <t>CAS-225165-P7D8R3</t>
  </si>
  <si>
    <t>24VG257</t>
  </si>
  <si>
    <t>24FC341</t>
  </si>
  <si>
    <t>November 2024</t>
  </si>
  <si>
    <t>CAS-226693-Q8W8M5</t>
  </si>
  <si>
    <t>24KC681</t>
  </si>
  <si>
    <t>STAGE 9 HPC CASE ASSEMBLY - W-SEAL FLANGE WEAR WELD REPAIR - 09KC807A Limit Extension</t>
  </si>
  <si>
    <t>24FC344</t>
  </si>
  <si>
    <t>CAS-231334-D9N4N5</t>
  </si>
  <si>
    <t>24VG261</t>
  </si>
  <si>
    <t>24FC343</t>
  </si>
  <si>
    <t>CAS-228149-N3K6R9</t>
  </si>
  <si>
    <t>24KC650</t>
  </si>
  <si>
    <t>CAS-231520-H7C1Q0</t>
  </si>
  <si>
    <t>24KC691</t>
  </si>
  <si>
    <t>CAS-188469-S2Y6D0</t>
  </si>
  <si>
    <t>24VG050</t>
  </si>
  <si>
    <t>CAS-228276-D1X1Q5</t>
  </si>
  <si>
    <t>24KC748</t>
  </si>
  <si>
    <t>CAS-231944-C2X6D7</t>
  </si>
  <si>
    <t>24VG264</t>
  </si>
  <si>
    <t>CAS-228292-B3Z6V9</t>
  </si>
  <si>
    <t>24KC688</t>
  </si>
  <si>
    <t>STAGE 9 HPC CASE - AFT FLANGE PLASMA COATING - REPAIR-15 LIMIT EXTENSION</t>
  </si>
  <si>
    <t>CAS-228918-D1V4L6</t>
  </si>
  <si>
    <t>24KC676</t>
  </si>
  <si>
    <t>CAS-232701-C5S6S9</t>
  </si>
  <si>
    <t>14CC214H</t>
  </si>
  <si>
    <t>MSG-241105-D40671</t>
  </si>
  <si>
    <t>24CCF69A</t>
  </si>
  <si>
    <t>CAS-216972-Z8F0V0 (EA 24CCF69) Serial Number Correction</t>
  </si>
  <si>
    <t>CAS-230126-H3F8N3</t>
  </si>
  <si>
    <t>24CCV21</t>
  </si>
  <si>
    <t>CAS-232941-F9G7X6</t>
  </si>
  <si>
    <t>24KC678</t>
  </si>
  <si>
    <t>24FC367</t>
  </si>
  <si>
    <t>CAS-233720-S0Y7Q4</t>
  </si>
  <si>
    <t>17CC373B</t>
  </si>
  <si>
    <t>CAS-233872-Z4P1L6</t>
  </si>
  <si>
    <t>24CCW42</t>
  </si>
  <si>
    <t>CAS-227281-Q5D3L9</t>
  </si>
  <si>
    <t>25KC061</t>
  </si>
  <si>
    <t>April - 2025 - RSL</t>
  </si>
  <si>
    <t>CAS-234153-M1T2C8</t>
  </si>
  <si>
    <t>24KC715</t>
  </si>
  <si>
    <t>CAS-231645-Y6Q0Z3</t>
  </si>
  <si>
    <t>24KC736</t>
  </si>
  <si>
    <t>CAS-233181-H6K3G6</t>
  </si>
  <si>
    <t>25VG050</t>
  </si>
  <si>
    <t>CAS-226540-J9M2J2</t>
  </si>
  <si>
    <t>24VC391</t>
  </si>
  <si>
    <t>CAS-235581-Z0Z1V4</t>
  </si>
  <si>
    <t>25KC021</t>
  </si>
  <si>
    <t>CAS-229260-K7V5G2</t>
  </si>
  <si>
    <t>24CCX68</t>
  </si>
  <si>
    <t xml:space="preserve">Jun2025 DIFFUSER INNER CASE ASSEMBLY - INNER CASE WALL - WELD REPAIR (VENDOR APPLICATION) </t>
  </si>
  <si>
    <t>CAS-235235-W5C8S1</t>
  </si>
  <si>
    <t>24VG277</t>
  </si>
  <si>
    <t>CAS-235649-X2K2F5</t>
  </si>
  <si>
    <t>24VG282</t>
  </si>
  <si>
    <t>CAS-235912-H9V1N6</t>
  </si>
  <si>
    <t>24VG280</t>
  </si>
  <si>
    <t>CAS-236908-Q6S5D8</t>
  </si>
  <si>
    <t>24CCY60</t>
  </si>
  <si>
    <t>24FC396</t>
  </si>
  <si>
    <t>CAS-236655-K6R7K2</t>
  </si>
  <si>
    <t>25VG003</t>
  </si>
  <si>
    <t>CAS-230008-W3P2Z8</t>
  </si>
  <si>
    <t>25KC003</t>
  </si>
  <si>
    <t>CAS-231183-W9Z9D6</t>
  </si>
  <si>
    <t>25KC170</t>
  </si>
  <si>
    <t>CAS-231962-F8V8T4</t>
  </si>
  <si>
    <t>25KC057</t>
  </si>
  <si>
    <t>CAS-234999-V0P6T0</t>
  </si>
  <si>
    <t>25KC099</t>
  </si>
  <si>
    <t>CAS-236209-X2W7Y8</t>
  </si>
  <si>
    <t>25KC032</t>
  </si>
  <si>
    <t>CAS-237967-D6Z9L0</t>
  </si>
  <si>
    <t>25CC029</t>
  </si>
  <si>
    <t>CAS-234344-V7Q0G9</t>
  </si>
  <si>
    <t>25CC063</t>
  </si>
  <si>
    <t>CAS-234506-G1J1K4</t>
  </si>
  <si>
    <t>25CC089</t>
  </si>
  <si>
    <t>CAS-238771-P8Q1L4</t>
  </si>
  <si>
    <t>25KC060</t>
  </si>
  <si>
    <t>CAS-236887-C2P5G8</t>
  </si>
  <si>
    <t>25KC025</t>
  </si>
  <si>
    <t>CAS-239061-Q1P1B4</t>
  </si>
  <si>
    <t>25KC022</t>
  </si>
  <si>
    <t>CAS-234263-P5S9B5</t>
  </si>
  <si>
    <t>25VC020</t>
  </si>
  <si>
    <t>CAS-236063-K6K9W7</t>
  </si>
  <si>
    <t>25AC009</t>
  </si>
  <si>
    <t>CAS-234520-R7C0D7</t>
  </si>
  <si>
    <t>25CC138</t>
  </si>
  <si>
    <t>DIFFUSER INNER CASE ASSEMBLY - OUTER W-SEAL CHAMFER - BLEND REPAIR</t>
  </si>
  <si>
    <t>CAS-240193-H1P2V1</t>
  </si>
  <si>
    <t>25KC052</t>
  </si>
  <si>
    <t>MSG-250120-D51F5E</t>
  </si>
  <si>
    <t>25KC053</t>
  </si>
  <si>
    <t>MSG-250122-033496</t>
  </si>
  <si>
    <t>24VC343A</t>
  </si>
  <si>
    <t>Typo Correction for CAS-225449-F6K8S2 (EA# 24VC343</t>
  </si>
  <si>
    <t>CAS-238685-P6M7H3</t>
  </si>
  <si>
    <t>25KC083</t>
  </si>
  <si>
    <t>CAS-240883-L1Y8M0</t>
  </si>
  <si>
    <t>25VC031</t>
  </si>
  <si>
    <t>MSG-250123-87C0D4</t>
  </si>
  <si>
    <t>25KC084</t>
  </si>
  <si>
    <t>CAS-233677-R7R4G2</t>
  </si>
  <si>
    <t>25VC040</t>
  </si>
  <si>
    <t>CAS-239994-P3G5F7</t>
  </si>
  <si>
    <t>25CC486</t>
  </si>
  <si>
    <t>CAS-241095-H9J7W3</t>
  </si>
  <si>
    <t>25CC209</t>
  </si>
  <si>
    <t>CAS-241096-N7M6J7</t>
  </si>
  <si>
    <t>25CC212</t>
  </si>
  <si>
    <t>CAS-241572-F5G8T2</t>
  </si>
  <si>
    <t>23CCF32A</t>
  </si>
  <si>
    <t>CAS-240174-X4Z2Z1</t>
  </si>
  <si>
    <t>25KC109</t>
  </si>
  <si>
    <t>CAS-241634-W6K5S0</t>
  </si>
  <si>
    <t>25KC106</t>
  </si>
  <si>
    <t>CAS-241713-X0S5K8</t>
  </si>
  <si>
    <t>24KC299A</t>
  </si>
  <si>
    <t>CAS-238573-K7Z9L6</t>
  </si>
  <si>
    <t>25CC381</t>
  </si>
  <si>
    <t>CAS-242294-N6T8Z7</t>
  </si>
  <si>
    <t>25CC550</t>
  </si>
  <si>
    <t>CAS-243355-S6L3L7</t>
  </si>
  <si>
    <t>25CC209A</t>
  </si>
  <si>
    <t>CAS-242922-K3T7B9</t>
  </si>
  <si>
    <t>23FC181A</t>
  </si>
  <si>
    <t>CAS-242924-M2N8L5</t>
  </si>
  <si>
    <t>22AC041D</t>
  </si>
  <si>
    <t>CAS-242945-L9X4Z5</t>
  </si>
  <si>
    <t>25CC395</t>
  </si>
  <si>
    <t>CAS-225544-W7W6T8</t>
  </si>
  <si>
    <t>09KC556B</t>
  </si>
  <si>
    <t>CAS-243405-P9F6R8</t>
  </si>
  <si>
    <t>25CC430</t>
  </si>
  <si>
    <t>CAS-244176-T4N4M8</t>
  </si>
  <si>
    <t>25KC145</t>
  </si>
  <si>
    <t>Jun2025 STAGE 9 HPC CASE ASSEMBLY - W-SEAL GROOVE WEAR - BLEND REPAIR 06 LIMIT EXTENSION Jun2025</t>
  </si>
  <si>
    <t>CAS-237806-F6V3K2</t>
  </si>
  <si>
    <t>24KC691A</t>
  </si>
  <si>
    <t>CAS-244142-Z6R7D4</t>
  </si>
  <si>
    <t>13CC675H</t>
  </si>
  <si>
    <t>MSG-250224-1DF277</t>
  </si>
  <si>
    <t>13CC671E</t>
  </si>
  <si>
    <t>Add alternative cure for PWA 567-2 on 13CC671C</t>
  </si>
  <si>
    <t>CAS-241620-Q5W5L2</t>
  </si>
  <si>
    <t>25KC169</t>
  </si>
  <si>
    <t>CAS-244906-Q7Q4R9</t>
  </si>
  <si>
    <t>25CC570</t>
  </si>
  <si>
    <t>CAS-245085-J3V6D6</t>
  </si>
  <si>
    <t>25CC564</t>
  </si>
  <si>
    <t>CAS-245700-G6R3V5</t>
  </si>
  <si>
    <t>25CC639</t>
  </si>
  <si>
    <t>CAS-245702-W7M0Q3</t>
  </si>
  <si>
    <t>24KC692A</t>
  </si>
  <si>
    <t>CAS-241369-H8W2W0</t>
  </si>
  <si>
    <t>25KC262</t>
  </si>
  <si>
    <t>Jun2025 RSL</t>
  </si>
  <si>
    <t>CAS-244700-C8J2K7</t>
  </si>
  <si>
    <t>25KC241</t>
  </si>
  <si>
    <t>Jun2025 RSL - Kitting date: April 10</t>
  </si>
  <si>
    <t>CAS-245712-B7M3F3</t>
  </si>
  <si>
    <t>25KC230</t>
  </si>
  <si>
    <t>CAS-245097-R6L5H8</t>
  </si>
  <si>
    <t>25CC746</t>
  </si>
  <si>
    <t>CAS-245228-F5F7F8</t>
  </si>
  <si>
    <t>25CC751</t>
  </si>
  <si>
    <t>25FC068</t>
  </si>
  <si>
    <t>CAS-237959-Y4V7W9</t>
  </si>
  <si>
    <t>25KC232</t>
  </si>
  <si>
    <t>24FC342A</t>
  </si>
  <si>
    <t>CAS-245986-Z2X8Z9</t>
  </si>
  <si>
    <t>25VG089</t>
  </si>
  <si>
    <t>MSG-250410-AAAE8B</t>
  </si>
  <si>
    <t>25KC231</t>
  </si>
  <si>
    <t>CAS-248935-C8L7Q1</t>
  </si>
  <si>
    <t>25CC955</t>
  </si>
  <si>
    <t>jul2025</t>
  </si>
  <si>
    <t>CAS-249976-M5W9D6</t>
  </si>
  <si>
    <t>25KC265</t>
  </si>
  <si>
    <t>CAS-250130-M9C7C3</t>
  </si>
  <si>
    <t>25CC957</t>
  </si>
  <si>
    <t>25FC105</t>
  </si>
  <si>
    <t>CAS-250667-C5R6N6</t>
  </si>
  <si>
    <t>24CCG87A</t>
  </si>
  <si>
    <t>Jun2025 LPC 2ND STAGE STATOR CASE ASSEMBLY - REAR FLANGE BOLT HOLE, BLEND REPAIR Jun2025</t>
  </si>
  <si>
    <t>CAS-250346-T0F3Z8</t>
  </si>
  <si>
    <t>25KC284</t>
  </si>
  <si>
    <t>CAS-250349-B0V2P6</t>
  </si>
  <si>
    <t>25FC111</t>
  </si>
  <si>
    <t>CAS-250351-J0H3B1</t>
  </si>
  <si>
    <t>25CCA53</t>
  </si>
  <si>
    <t>CAS-250960-J5P0D3</t>
  </si>
  <si>
    <t>25KC291</t>
  </si>
  <si>
    <t>CAS-251331-K3H7X9</t>
  </si>
  <si>
    <t>25CCA59</t>
  </si>
  <si>
    <t>FASM: AF2.0 need priority</t>
  </si>
  <si>
    <t>CAS-250133-F2M6S1</t>
  </si>
  <si>
    <t>25CCB41</t>
  </si>
  <si>
    <t>CAS-252780-S8J3T9</t>
  </si>
  <si>
    <t>25CCB97</t>
  </si>
  <si>
    <t>May2025. AF2.0</t>
  </si>
  <si>
    <t>CAS-253681-Y8N3Q5</t>
  </si>
  <si>
    <t>FASM Prioritize. May2025. AF2.0</t>
  </si>
  <si>
    <t>24KC492C</t>
  </si>
  <si>
    <t>Reference MSG-240814-317DA9, MSG-241121-0491BB &amp; MSG-250324-8F569F.</t>
  </si>
  <si>
    <t>CAS-250645-M5X7X8</t>
  </si>
  <si>
    <t>25AC086</t>
  </si>
  <si>
    <t xml:space="preserve">JUL2025 - DR# 02210156 </t>
  </si>
  <si>
    <t>CAS-251099-P3H0J4</t>
  </si>
  <si>
    <t>25KC337</t>
  </si>
  <si>
    <t>CAS-253819-G8W4M7</t>
  </si>
  <si>
    <t>25KC351</t>
  </si>
  <si>
    <t>CAS-254582-L2R8V9</t>
  </si>
  <si>
    <t>25KC372</t>
  </si>
  <si>
    <t>CAS-253955-D8X2N1</t>
  </si>
  <si>
    <t>25KC388</t>
  </si>
  <si>
    <t>Aug2025</t>
  </si>
  <si>
    <t>CAS-172127-G9L4F4</t>
  </si>
  <si>
    <t>3-Medium</t>
  </si>
  <si>
    <t>21CCL34A</t>
  </si>
  <si>
    <t>CAS-179279-H5P1Q4</t>
  </si>
  <si>
    <t>23KC502</t>
  </si>
  <si>
    <t>CAS-187068-V6Z7F6</t>
  </si>
  <si>
    <t>23CCK33</t>
  </si>
  <si>
    <t>TIC Inner. Apr</t>
  </si>
  <si>
    <t>CAS-194229-G8V7Y6</t>
  </si>
  <si>
    <t>23VC473</t>
  </si>
  <si>
    <t>CAS-201228-P6L9F1</t>
  </si>
  <si>
    <t>24VC174</t>
  </si>
  <si>
    <t>24FC007</t>
  </si>
  <si>
    <t>Feb.</t>
  </si>
  <si>
    <t>CAS-204029-B9X4Z1</t>
  </si>
  <si>
    <t>24AC013</t>
  </si>
  <si>
    <t>CAS-204884-Y7L5Y9</t>
  </si>
  <si>
    <t>24CC316</t>
  </si>
  <si>
    <t>Apr FanR-Blade</t>
  </si>
  <si>
    <t>CAS-209535-P6J0Y9</t>
  </si>
  <si>
    <t>24CCB14</t>
  </si>
  <si>
    <t>AUG / TIC Inner</t>
  </si>
  <si>
    <t>CAS-193348-V8Z9T6</t>
  </si>
  <si>
    <t>23KC535</t>
  </si>
  <si>
    <t>24FC179</t>
  </si>
  <si>
    <t>CAS-217957-H2K6R6</t>
  </si>
  <si>
    <t>24KC348</t>
  </si>
  <si>
    <t>24FC323</t>
  </si>
  <si>
    <t>CAS-195505-H3L5N2</t>
  </si>
  <si>
    <t>23FC333</t>
  </si>
  <si>
    <t>CAS-194652-S7Y1L5</t>
  </si>
  <si>
    <t>24CC221</t>
  </si>
  <si>
    <t>CAS-205386-Y3B6M7</t>
  </si>
  <si>
    <t>24CC318</t>
  </si>
  <si>
    <t>CAS-206119-D9Y3P2</t>
  </si>
  <si>
    <t>24CC532</t>
  </si>
  <si>
    <t>MSG-240126-085933</t>
  </si>
  <si>
    <t>24CC760</t>
  </si>
  <si>
    <t xml:space="preserve">Evaluate and substantiate continued viability of subject DMCs for applicability to GTFA model and parameters. Ensure stack up allowances with GTFA config as well as repairable limits meet requirements. Evaluate options for limit expansion.  </t>
  </si>
  <si>
    <t>24FC248</t>
  </si>
  <si>
    <t>CAS-235579-N5G0S8</t>
  </si>
  <si>
    <t>24CCX47</t>
  </si>
  <si>
    <t>CAS-187920-C2T7Y8</t>
  </si>
  <si>
    <t>23VC419</t>
  </si>
  <si>
    <t>23FC321</t>
  </si>
  <si>
    <t>CAS-194237-W6C3C8</t>
  </si>
  <si>
    <t>23KC536</t>
  </si>
  <si>
    <t>mar2</t>
  </si>
  <si>
    <t>CAS-200286-L6L1T3</t>
  </si>
  <si>
    <t>15CC044B</t>
  </si>
  <si>
    <t>CAS-203441-P6B2Y1</t>
  </si>
  <si>
    <t>22AC041C</t>
  </si>
  <si>
    <t>Mar1</t>
  </si>
  <si>
    <t>CAS-212227-M3Y0X1</t>
  </si>
  <si>
    <t>24KC236</t>
  </si>
  <si>
    <t>CAS-225453-W6D3M8</t>
  </si>
  <si>
    <t>24VC293</t>
  </si>
  <si>
    <t>CAS-148407-P1G5G2</t>
  </si>
  <si>
    <t>22CCH24</t>
  </si>
  <si>
    <t>CAS-177004-Q0Q7L8</t>
  </si>
  <si>
    <t>23VC294</t>
  </si>
  <si>
    <t>CAS-187831-X7G5J9</t>
  </si>
  <si>
    <t>23CCL23</t>
  </si>
  <si>
    <t>CAS-190430-B8D7R0</t>
  </si>
  <si>
    <t>23VG285</t>
  </si>
  <si>
    <t>CAS-198103-P8B1G1</t>
  </si>
  <si>
    <t>24CC309</t>
  </si>
  <si>
    <t>TIC Inner Oct</t>
  </si>
  <si>
    <t>CAS-178536-C4R6D7</t>
  </si>
  <si>
    <t>24KC052</t>
  </si>
  <si>
    <t>CAS-211269-P7N1V8</t>
  </si>
  <si>
    <t>24CC887</t>
  </si>
  <si>
    <t>CAS-209903-G9F6B0</t>
  </si>
  <si>
    <t>24KC260</t>
  </si>
  <si>
    <t>CAS-215084-K2G4L4</t>
  </si>
  <si>
    <t>24KC352</t>
  </si>
  <si>
    <t>CAS-182240-L0K8H7</t>
  </si>
  <si>
    <t>23CCH59</t>
  </si>
  <si>
    <t>CAS-189770-Z1K2H2</t>
  </si>
  <si>
    <t>23KC493</t>
  </si>
  <si>
    <t>KAL ESN P729196</t>
  </si>
  <si>
    <t>CAS-190423-P6S3R8</t>
  </si>
  <si>
    <t>23CCY08</t>
  </si>
  <si>
    <t>TIC Inner - Dents</t>
  </si>
  <si>
    <t>CAS-196710-P7R1Z3</t>
  </si>
  <si>
    <t>24KC003</t>
  </si>
  <si>
    <t>CAS-184493-M5D2B6</t>
  </si>
  <si>
    <t>23CCJ88</t>
  </si>
  <si>
    <t>CAS-200376-T3W8V8</t>
  </si>
  <si>
    <t>17CC450A</t>
  </si>
  <si>
    <t>CAS-206203-T9C9K7</t>
  </si>
  <si>
    <t>24KC085</t>
  </si>
  <si>
    <t>CAS-209519-H6S3P4</t>
  </si>
  <si>
    <t>24VC111</t>
  </si>
  <si>
    <t>CAS-225449-F6K8S2</t>
  </si>
  <si>
    <t>24VC343</t>
  </si>
  <si>
    <t>CAS-150161-P2T8F7</t>
  </si>
  <si>
    <t>23VG045</t>
  </si>
  <si>
    <t>Jun</t>
  </si>
  <si>
    <t>CAS-207647-N1B8M8</t>
  </si>
  <si>
    <t>24KC123</t>
  </si>
  <si>
    <t>CAS-221006-B7X0Q2</t>
  </si>
  <si>
    <t>24KC520</t>
  </si>
  <si>
    <t>CAS-224557-W2Q3G6</t>
  </si>
  <si>
    <t>24CCT07</t>
  </si>
  <si>
    <t>FanR-Cone</t>
  </si>
  <si>
    <t>CAS-148402-Q9J3K8</t>
  </si>
  <si>
    <t>23CCF86</t>
  </si>
  <si>
    <t>Apr - Add PW800 to EA14CC218 helicoil insert replacement OTC -</t>
  </si>
  <si>
    <t>CAS-202950-T4J8X6</t>
  </si>
  <si>
    <t>24KC033</t>
  </si>
  <si>
    <t>24FC098</t>
  </si>
  <si>
    <t>CAS-221395-Y2J4L0</t>
  </si>
  <si>
    <t>24KC484</t>
  </si>
  <si>
    <t>24FC304</t>
  </si>
  <si>
    <t>CAS-188654-J5F6P8</t>
  </si>
  <si>
    <t>20KC162A</t>
  </si>
  <si>
    <t>24FC016</t>
  </si>
  <si>
    <t>CAS-190328-J7B7P5</t>
  </si>
  <si>
    <t>24KC285</t>
  </si>
  <si>
    <t>CAS-197927-M7N5J8</t>
  </si>
  <si>
    <t>24KC048</t>
  </si>
  <si>
    <t>CAS-231518-B0W3L1</t>
  </si>
  <si>
    <t>24KC692</t>
  </si>
  <si>
    <t>MSG-231025-8D1C23</t>
  </si>
  <si>
    <t>23CCT88</t>
  </si>
  <si>
    <t xml:space="preserve">August - Create a companion EA to remove and replace the locking inserts on the PW812 ODC. </t>
  </si>
  <si>
    <t>CAS-212750-T3V4R5</t>
  </si>
  <si>
    <t>24KC265</t>
  </si>
  <si>
    <t>CAS-203327-X3F3Z7</t>
  </si>
  <si>
    <t>19KC208A</t>
  </si>
  <si>
    <t>ref. EA19KC208</t>
  </si>
  <si>
    <t>MSG-240425-917379</t>
  </si>
  <si>
    <t>24CCB60</t>
  </si>
  <si>
    <t>create a CIR repair similar to 24CCA00, 24CC837, and RTN17CC494A</t>
  </si>
  <si>
    <t>MSG-231018-74799E</t>
  </si>
  <si>
    <t>21CCG57B</t>
  </si>
  <si>
    <t>(Mar1.)Develop a Scrape repair on the Leading Edge KOZ for Fan blade</t>
  </si>
  <si>
    <t>CAS-194101-H0Q1P8</t>
  </si>
  <si>
    <t>23KC216A</t>
  </si>
  <si>
    <t>CAS-208467-F4R0B7</t>
  </si>
  <si>
    <t>13CC672B</t>
  </si>
  <si>
    <t>23FC379</t>
  </si>
  <si>
    <t>JAN. Equivalent Eaglenet CAS-168582-W2W5G6</t>
  </si>
  <si>
    <t>CAS-147632-G2F3W5</t>
  </si>
  <si>
    <t>22FC129</t>
  </si>
  <si>
    <t>CAS-171328-L1N6V2</t>
  </si>
  <si>
    <t>17CC823B</t>
  </si>
  <si>
    <t>MSG-231003-EC44B9</t>
  </si>
  <si>
    <t>23CCX41</t>
  </si>
  <si>
    <t>October - Evaluate and substantiate continued viability of subject Cat3a DMCs in EM manual PN 5316992 for applicability GTFA models and run parameters. Ensure 310A and 361A repairable limits are within requirements and evaluate options for limit expa</t>
  </si>
  <si>
    <t>CAS-188278-C5C9R1</t>
  </si>
  <si>
    <t>23VG336</t>
  </si>
  <si>
    <t>April</t>
  </si>
  <si>
    <t>MSG-231005-F3894C</t>
  </si>
  <si>
    <t>23VC481</t>
  </si>
  <si>
    <t>CAS-196553-R6F6Z1</t>
  </si>
  <si>
    <t>15CCF90H</t>
  </si>
  <si>
    <t>Mar2FanR-Blade</t>
  </si>
  <si>
    <t>CAS-201595-K8H8V1</t>
  </si>
  <si>
    <t>23CCN72A</t>
  </si>
  <si>
    <t>Fan Exit Fairing</t>
  </si>
  <si>
    <t>MSG-231220-D8267F</t>
  </si>
  <si>
    <t>23CCN24A</t>
  </si>
  <si>
    <t>JuneFan Exit Fairing Left</t>
  </si>
  <si>
    <t>CAS-203204-V4V8L7</t>
  </si>
  <si>
    <t>24CC077</t>
  </si>
  <si>
    <t>TIC Inner. Sept</t>
  </si>
  <si>
    <t>MSG-240222-99D6CC</t>
  </si>
  <si>
    <t>24CC604</t>
  </si>
  <si>
    <t>Evaluate and substantiate continued viability of subject DMCs in CIR manual PN 5315653 for applicability GTFA models and run parameters.  Make updates to repair encompassing latest best practices. See comments for task details.</t>
  </si>
  <si>
    <t>MSG-240222-FC795D</t>
  </si>
  <si>
    <t>24CC663</t>
  </si>
  <si>
    <t>MayEvaluate and substantiate continued viability of subject DMCs in CIR manual PN 5315653 for applicability GTFA models and run parameters.  Make updates to repair encompassing latest best practices. See comments for task details.</t>
  </si>
  <si>
    <t>CAS-200450-M1N6H5</t>
  </si>
  <si>
    <t>24KC330</t>
  </si>
  <si>
    <t>CAS-214861-X3X8K1</t>
  </si>
  <si>
    <t>21CC001B</t>
  </si>
  <si>
    <t>CAS-216697-H2L6H4</t>
  </si>
  <si>
    <t>24AC048</t>
  </si>
  <si>
    <t>24FC237</t>
  </si>
  <si>
    <t>CAS-221807-S7V9G3</t>
  </si>
  <si>
    <t>15CC200B</t>
  </si>
  <si>
    <t>CAS-222020-W9L2T2</t>
  </si>
  <si>
    <t>08AC093C</t>
  </si>
  <si>
    <t>CAS-223735-R4V6W5</t>
  </si>
  <si>
    <t>24AC071</t>
  </si>
  <si>
    <t>MSG-241003-B75D5C</t>
  </si>
  <si>
    <t>24FC325</t>
  </si>
  <si>
    <t>This MSG-ID is a request to update the retaining plate installation for PW2000 and F117 fan cases. Upon reviewing tech data for MERLIN 108585, Design Metallurgy recommended updating this repair to help increase corrosion resistance. It is used at OEM</t>
  </si>
  <si>
    <t>CAS-224677-V2R2D9</t>
  </si>
  <si>
    <t>24FC346</t>
  </si>
  <si>
    <t>CAS-146301-W9F6M7</t>
  </si>
  <si>
    <t>4-Low</t>
  </si>
  <si>
    <t>22KC450</t>
  </si>
  <si>
    <t>CAS-206479-F5R6R2</t>
  </si>
  <si>
    <t>20KC029B</t>
  </si>
  <si>
    <t>CAS-210576-W1F5G8</t>
  </si>
  <si>
    <t>24FC111</t>
  </si>
  <si>
    <t>CAS-211867-R1Q7Z1</t>
  </si>
  <si>
    <t>10KC217A</t>
  </si>
  <si>
    <t>CAS-136128-V2S2P5</t>
  </si>
  <si>
    <t>21FC082</t>
  </si>
  <si>
    <t>CAS-200224-Z0W3H1</t>
  </si>
  <si>
    <t>23CCX71</t>
  </si>
  <si>
    <t>CAS-203862-B4J4J6</t>
  </si>
  <si>
    <t>24CC153</t>
  </si>
  <si>
    <t>CAS-142872-H4Y8T4</t>
  </si>
  <si>
    <t>22CCB60</t>
  </si>
  <si>
    <t>CAS-175126-V8D0D5</t>
  </si>
  <si>
    <t>23KC221</t>
  </si>
  <si>
    <t>CAS-205295-M4K8G8</t>
  </si>
  <si>
    <t>24CC503</t>
  </si>
  <si>
    <t>CAS-209262-D0F3M3</t>
  </si>
  <si>
    <t>24KC161</t>
  </si>
  <si>
    <t>CAS-210160-T9P9C8</t>
  </si>
  <si>
    <t>24KC210</t>
  </si>
  <si>
    <t>CAS-209264-H3Q9P9</t>
  </si>
  <si>
    <t>19AC009A</t>
  </si>
  <si>
    <t>CAS-211668-N0W8Y6</t>
  </si>
  <si>
    <t>24FC119</t>
  </si>
  <si>
    <t>24FC033</t>
  </si>
  <si>
    <t>CAS-211672-W5Y1S9</t>
  </si>
  <si>
    <t>24FC126</t>
  </si>
  <si>
    <t>CAS-211709-M8Z7F3</t>
  </si>
  <si>
    <t>24KC217</t>
  </si>
  <si>
    <t>CAS-194329-P1D2M5</t>
  </si>
  <si>
    <t>24KC286</t>
  </si>
  <si>
    <t>Aug.</t>
  </si>
  <si>
    <t>CAS-193361-Y3K7D4</t>
  </si>
  <si>
    <t>24VG003</t>
  </si>
  <si>
    <t>Damaged Stage 5 anti-rotation pin. FEB1</t>
  </si>
  <si>
    <t>23FC052C</t>
  </si>
  <si>
    <t>F117 HPC Front Case</t>
  </si>
  <si>
    <t>24FC069</t>
  </si>
  <si>
    <t>24FC105</t>
  </si>
  <si>
    <t>CAS-212433-Z5V5H1</t>
  </si>
  <si>
    <t>14CC326D</t>
  </si>
  <si>
    <t>CAS-209275-J5G4Y8</t>
  </si>
  <si>
    <t>15KC385A</t>
  </si>
  <si>
    <t>24FC083</t>
  </si>
  <si>
    <t>CAS-216540-J4N1V2</t>
  </si>
  <si>
    <t>24KC332</t>
  </si>
  <si>
    <t>CAS-201883-Q5S8R2</t>
  </si>
  <si>
    <t>24KC279</t>
  </si>
  <si>
    <t>CAS-206911-R6K5S7</t>
  </si>
  <si>
    <t>14CC728D</t>
  </si>
  <si>
    <t>MSG-240313-FF23DC</t>
  </si>
  <si>
    <t>19CC210B</t>
  </si>
  <si>
    <t>August Validates the applicability of DMC PW1000G-C-72-21-0421-02A-920A-C (RTN19CC210) for GTFA use.  DDM ID associated with EA needs revision driving this task separate from MSG-240222-FC795D</t>
  </si>
  <si>
    <t>MSG-240404-BFDCA6</t>
  </si>
  <si>
    <t>17CC494C</t>
  </si>
  <si>
    <t>CAS-211955-R2D9R1</t>
  </si>
  <si>
    <t>24CC966</t>
  </si>
  <si>
    <t>CAS-212076-M1Z9M3</t>
  </si>
  <si>
    <t>24CCB02</t>
  </si>
  <si>
    <t>CAS-213046-W6N7N4</t>
  </si>
  <si>
    <t>24CCB06</t>
  </si>
  <si>
    <t>CAS-215639-C4Y7T4</t>
  </si>
  <si>
    <t>24CCE01</t>
  </si>
  <si>
    <t>CAS-216687-V4Z4V6</t>
  </si>
  <si>
    <t>20AC089A</t>
  </si>
  <si>
    <t>CAS-217675-C2B4M8</t>
  </si>
  <si>
    <t>24CCF26</t>
  </si>
  <si>
    <t>MSG-240612-F5D401</t>
  </si>
  <si>
    <t>24CCG69</t>
  </si>
  <si>
    <t>Sept.Follow up to CAS-216877-B8Y3P8, CTS did not move forward with adding an AAI to the inspection for this damage.</t>
  </si>
  <si>
    <t>CAS-220551-Z6L1T8</t>
  </si>
  <si>
    <t>24CCK82</t>
  </si>
  <si>
    <t>TIC Inner. Aug</t>
  </si>
  <si>
    <t>MSG-241009-D1FAAB</t>
  </si>
  <si>
    <t>15CCH27E</t>
  </si>
  <si>
    <t>Change P05-437 to P05-493A or B</t>
  </si>
  <si>
    <t>CAS-236198-R9S6M5</t>
  </si>
  <si>
    <t>24CCX72</t>
  </si>
  <si>
    <t>CAS-201529-L3G9F6</t>
  </si>
  <si>
    <t>Hold</t>
  </si>
  <si>
    <t>24KC053</t>
  </si>
  <si>
    <t>CAS-234143-V0Z5L9</t>
  </si>
  <si>
    <t>Backlog</t>
  </si>
  <si>
    <t>24KC573A</t>
  </si>
  <si>
    <t>MSG-ID-20220725154448800-536</t>
  </si>
  <si>
    <t>10CC087D</t>
  </si>
  <si>
    <t>CAS-163681-W5N7W1</t>
  </si>
  <si>
    <t>22CCN53</t>
  </si>
  <si>
    <t>CAS-190168-Q2Y7Y1</t>
  </si>
  <si>
    <t>23KC474</t>
  </si>
  <si>
    <t>RDAF</t>
  </si>
  <si>
    <t>MSG-230905-1D4ABA</t>
  </si>
  <si>
    <t>23CCP97</t>
  </si>
  <si>
    <t>JulyThis MSG-ID is created to continue the work on developing a Wear Pad Seal Repair based on a request originating in ENC CAS-185905-L6Z0R8</t>
  </si>
  <si>
    <t>CAS-189836-N5D0L1</t>
  </si>
  <si>
    <t>13CC675F</t>
  </si>
  <si>
    <t>CAS-190578-K8M1F2</t>
  </si>
  <si>
    <t>23CCO56</t>
  </si>
  <si>
    <t>CAS-192997-Q2K8Z7</t>
  </si>
  <si>
    <t>15CC612F</t>
  </si>
  <si>
    <t>CAS-195063-K0C5X3</t>
  </si>
  <si>
    <t>22CCB58A</t>
  </si>
  <si>
    <t>CAS-193989-L2V7Q4</t>
  </si>
  <si>
    <t>23FC338</t>
  </si>
  <si>
    <t>CAS-196123-M2Q5N6</t>
  </si>
  <si>
    <t>15CC383B</t>
  </si>
  <si>
    <t>CAS-196181-R5Y2K7</t>
  </si>
  <si>
    <t>17CCE87B</t>
  </si>
  <si>
    <t>CAS-197431-M7V7W9</t>
  </si>
  <si>
    <t>23KC597</t>
  </si>
  <si>
    <t>CAS-199094-M1P4B8</t>
  </si>
  <si>
    <t>23KC627</t>
  </si>
  <si>
    <t>CAS-200364-Y6Y1L5</t>
  </si>
  <si>
    <t>23KC645</t>
  </si>
  <si>
    <t>CAS-200981-C9W1J4</t>
  </si>
  <si>
    <t>23CCX87</t>
  </si>
  <si>
    <t>MSG-231220-C6870A</t>
  </si>
  <si>
    <t>23CC383A</t>
  </si>
  <si>
    <t>CAS-201875-Q7H5X8</t>
  </si>
  <si>
    <t>23CCY37</t>
  </si>
  <si>
    <t>CAS-201672-D5D5Z7</t>
  </si>
  <si>
    <t>24CC085</t>
  </si>
  <si>
    <t>CAS-201974-X4W2D2</t>
  </si>
  <si>
    <t>24KC014</t>
  </si>
  <si>
    <t>CAS-202964-S0K0C8</t>
  </si>
  <si>
    <t>24KC018</t>
  </si>
  <si>
    <t>CAS-200108-D4X8T4</t>
  </si>
  <si>
    <t>24FC011</t>
  </si>
  <si>
    <t>CAS-203872-S8Q2T0</t>
  </si>
  <si>
    <t>20KC183F</t>
  </si>
  <si>
    <t>MSG-240502-0C6C4D</t>
  </si>
  <si>
    <t>Camille M Henriquez</t>
  </si>
  <si>
    <t>24VC031</t>
  </si>
  <si>
    <t>MSG-240502-3BF5BF</t>
  </si>
  <si>
    <t>24VC032</t>
  </si>
  <si>
    <t>CAS-203574-W5R9S2</t>
  </si>
  <si>
    <t>24CC329</t>
  </si>
  <si>
    <t>MSG-240130-5480EF</t>
  </si>
  <si>
    <t>24CC157</t>
  </si>
  <si>
    <t>This MSG ID was created to replace CAS-204131-M8J3D1. The original ENC was submitted under the wrong Engine Model.</t>
  </si>
  <si>
    <t>CAS-205390-N9W1H7</t>
  </si>
  <si>
    <t>24CC354</t>
  </si>
  <si>
    <t>CAS-205339-J3L0Y5</t>
  </si>
  <si>
    <t>24KC066</t>
  </si>
  <si>
    <t>MSG-240201-9E2A9C</t>
  </si>
  <si>
    <t>24FC038</t>
  </si>
  <si>
    <t>(Mar1.)This request came in from the PW2000 Program to add a blend repair for the 1B0240-01 and 1B0241-01 Titanium liners to the engine manual.</t>
  </si>
  <si>
    <t>CAS-205836-W0G9Y2</t>
  </si>
  <si>
    <t>24CC467</t>
  </si>
  <si>
    <t>CAS-206240-P6K8B0</t>
  </si>
  <si>
    <t>24CC381</t>
  </si>
  <si>
    <t>CAS-206357-L1V0V7</t>
  </si>
  <si>
    <t>24KC082</t>
  </si>
  <si>
    <t>CAS-206794-Z8P7K6</t>
  </si>
  <si>
    <t>24CC429</t>
  </si>
  <si>
    <t>24FC061</t>
  </si>
  <si>
    <t>CAS-206848-X0V7W4</t>
  </si>
  <si>
    <t>24CC453</t>
  </si>
  <si>
    <t>CAS-207956-H5G9V9</t>
  </si>
  <si>
    <t>24CC534</t>
  </si>
  <si>
    <t>CAS-207971-S0Z5Z5</t>
  </si>
  <si>
    <t>22KC329D</t>
  </si>
  <si>
    <t>CAS-209784-W6T9T3</t>
  </si>
  <si>
    <t>15CCB11E</t>
  </si>
  <si>
    <t>CAS-209256-W2R0P6</t>
  </si>
  <si>
    <t>24FC096</t>
  </si>
  <si>
    <t>CAS-209627-C1Y5F6</t>
  </si>
  <si>
    <t>24CC779</t>
  </si>
  <si>
    <t>MayFanR-Cone</t>
  </si>
  <si>
    <t>CAS-209929-W1N0F7</t>
  </si>
  <si>
    <t>14CC214G</t>
  </si>
  <si>
    <t>CAS-210050-V2F9D8</t>
  </si>
  <si>
    <t>24KC179</t>
  </si>
  <si>
    <t>CAS-211034-P1F1L6</t>
  </si>
  <si>
    <t>24KC216</t>
  </si>
  <si>
    <t>CAS-211037-F6R8P6</t>
  </si>
  <si>
    <t>24KC219</t>
  </si>
  <si>
    <t>CAS-211300-T1H8H2</t>
  </si>
  <si>
    <t>24CC889</t>
  </si>
  <si>
    <t>CAS-210811-B5T3S7</t>
  </si>
  <si>
    <t>24CC955</t>
  </si>
  <si>
    <t>DDM: 2410329NLE</t>
  </si>
  <si>
    <t>CAS-211868-H8M0G0</t>
  </si>
  <si>
    <t>10KC218A</t>
  </si>
  <si>
    <t>CAS-212236-S9W7F9</t>
  </si>
  <si>
    <t>24KC322</t>
  </si>
  <si>
    <t>SEP</t>
  </si>
  <si>
    <t>CAS-212540-D9D1J7</t>
  </si>
  <si>
    <t>24KC227</t>
  </si>
  <si>
    <t>CAS-212758-Q2W2C0</t>
  </si>
  <si>
    <t>24CCA25</t>
  </si>
  <si>
    <t xml:space="preserve">DDM ID: 24109T9YNE	</t>
  </si>
  <si>
    <t>CAS-213852-Y4W4P6</t>
  </si>
  <si>
    <t>24CCB62</t>
  </si>
  <si>
    <t>MSG-240503-E8C473</t>
  </si>
  <si>
    <t>24KC209A</t>
  </si>
  <si>
    <t>This task is to revise a typo in the part marking step for 24KC209</t>
  </si>
  <si>
    <t>CAS-211677-T7S6M2</t>
  </si>
  <si>
    <t>24CCC09</t>
  </si>
  <si>
    <t>CAS-213657-J0Z8Z5</t>
  </si>
  <si>
    <t>24CCC96</t>
  </si>
  <si>
    <t>CAS-214997-T5R6J8</t>
  </si>
  <si>
    <t>24KC299</t>
  </si>
  <si>
    <t>CAS-211912-F1J1D6</t>
  </si>
  <si>
    <t>24CCC67</t>
  </si>
  <si>
    <t>24FC175</t>
  </si>
  <si>
    <t>HPC REAR OUTER CASE - 14TH STAGE TURBINE COOLING AIR BOSS - PLASMA REPAIR-13 LIMIT EXTENSION</t>
  </si>
  <si>
    <t>CAS-215334-H5D3P9</t>
  </si>
  <si>
    <t>24CCC94</t>
  </si>
  <si>
    <t>CAS-213274-M6L9G9</t>
  </si>
  <si>
    <t>24CCD63</t>
  </si>
  <si>
    <t>DIFFUSER INNER CASE ASSEMBLY - OUTER W-SEAL CHAMFER BLEND REPAIR - PLASMA COAT REPAIR MR21CCM16B LIMIT EXTENSION. Jan</t>
  </si>
  <si>
    <t>CAS-217571-Z9S8K1</t>
  </si>
  <si>
    <t>24CCE35</t>
  </si>
  <si>
    <t>CAS-213687-B8X9B9</t>
  </si>
  <si>
    <t>24KC327</t>
  </si>
  <si>
    <t>CAS-216873-P8V6Q5</t>
  </si>
  <si>
    <t>24CCD90</t>
  </si>
  <si>
    <t>24FC199</t>
  </si>
  <si>
    <t>24FC202</t>
  </si>
  <si>
    <t>CAS-217394-P8P8B6</t>
  </si>
  <si>
    <t>11CC024B</t>
  </si>
  <si>
    <t>CAS-217591-X5X7V3</t>
  </si>
  <si>
    <t>24CCE67</t>
  </si>
  <si>
    <t>CAS-215773-B5V4M0</t>
  </si>
  <si>
    <t>24KC353</t>
  </si>
  <si>
    <t>CAS-214681-S0M0R1</t>
  </si>
  <si>
    <t>24CCF55</t>
  </si>
  <si>
    <t>CAS-216966-W3K1G1</t>
  </si>
  <si>
    <t>24CCF93</t>
  </si>
  <si>
    <t>24FC211</t>
  </si>
  <si>
    <t>CAS-216972-Z8F0V0</t>
  </si>
  <si>
    <t>24CCF69</t>
  </si>
  <si>
    <t>CAS-219156-V6N4W9</t>
  </si>
  <si>
    <t>24CCG06</t>
  </si>
  <si>
    <t>CAS-217383-B7L2B4</t>
  </si>
  <si>
    <t>24KC336</t>
  </si>
  <si>
    <t>CAS-217724-N5Q7P0</t>
  </si>
  <si>
    <t>24CCH07</t>
  </si>
  <si>
    <t>CAS-217931-K1Q9Q9</t>
  </si>
  <si>
    <t>24KC339</t>
  </si>
  <si>
    <t>CAS-219834-K2N6Y8</t>
  </si>
  <si>
    <t>24CCG49</t>
  </si>
  <si>
    <t>CAS-218946-K9S2D8</t>
  </si>
  <si>
    <t>24KC391</t>
  </si>
  <si>
    <t>CAS-219014-W2P2P6</t>
  </si>
  <si>
    <t>24KC408</t>
  </si>
  <si>
    <t>CAS-219709-M9Z5K1</t>
  </si>
  <si>
    <t>20CC288B</t>
  </si>
  <si>
    <t>CAS-219712-N4Y2B1</t>
  </si>
  <si>
    <t>14CC326E</t>
  </si>
  <si>
    <t>CAS-221424-V7L5Y5</t>
  </si>
  <si>
    <t>24KC433</t>
  </si>
  <si>
    <t>CAS-222006-F9X7F5</t>
  </si>
  <si>
    <t>24CCK19</t>
  </si>
  <si>
    <t>CAS-220441-Y4Y8T4</t>
  </si>
  <si>
    <t>24KC436</t>
  </si>
  <si>
    <t>CAS-220442-D4K1V9</t>
  </si>
  <si>
    <t>24KC437</t>
  </si>
  <si>
    <t>CAS-221173-N1D6M0</t>
  </si>
  <si>
    <t>24KC464</t>
  </si>
  <si>
    <t>Nov. STAGE 8 HPC CASE - FRONT SNAP COAT REPAIR - REPAIR-10 LIMIT EXTENSION</t>
  </si>
  <si>
    <t>CAS-219769-Y0R1N0</t>
  </si>
  <si>
    <t>24KC385</t>
  </si>
  <si>
    <t>CAS-222853-F8K3C4</t>
  </si>
  <si>
    <t>23KC456B</t>
  </si>
  <si>
    <t>CAS-223762-R8Y6P8</t>
  </si>
  <si>
    <t>20KC472A</t>
  </si>
  <si>
    <t>CAS-223341-K7W5N3</t>
  </si>
  <si>
    <t>24CCN44</t>
  </si>
  <si>
    <t>24FC278</t>
  </si>
  <si>
    <t>CAS-222068-J5D8G6</t>
  </si>
  <si>
    <t>24VC275</t>
  </si>
  <si>
    <t>24FC297</t>
  </si>
  <si>
    <t>CAS-217369-J8R1R1</t>
  </si>
  <si>
    <t>24KC334</t>
  </si>
  <si>
    <t>CAS-223384-X8W2T5</t>
  </si>
  <si>
    <t>24KC545</t>
  </si>
  <si>
    <t>CAS-225372-M4C7W4</t>
  </si>
  <si>
    <t>20CCH78A</t>
  </si>
  <si>
    <t>CAS-226385-V3R5F1</t>
  </si>
  <si>
    <t>24KC570</t>
  </si>
  <si>
    <t>CAS-223370-J5W3J6</t>
  </si>
  <si>
    <t>24KC623</t>
  </si>
  <si>
    <t>CAS-227019-P5R2P1</t>
  </si>
  <si>
    <t>24CCL61B</t>
  </si>
  <si>
    <t>24FC311</t>
  </si>
  <si>
    <t>CAS-223618-X3Z1R4</t>
  </si>
  <si>
    <t>24CCQ20</t>
  </si>
  <si>
    <t>CAS-227957-G0L9H4</t>
  </si>
  <si>
    <t>14KC692C</t>
  </si>
  <si>
    <t>24FC318</t>
  </si>
  <si>
    <t>MSG-241002-4B4DC3</t>
  </si>
  <si>
    <t>Peter Morell</t>
  </si>
  <si>
    <t>24CCG49A</t>
  </si>
  <si>
    <t>CAS-229990-H9N5C8</t>
  </si>
  <si>
    <t>24CCS42</t>
  </si>
  <si>
    <t>CAS-227709-H1W7B8</t>
  </si>
  <si>
    <t>24KC642</t>
  </si>
  <si>
    <t>CAS-227384-R0B5J5</t>
  </si>
  <si>
    <t>24KC648</t>
  </si>
  <si>
    <t>24FC358</t>
  </si>
  <si>
    <t>CAS-233805-S4P1G1</t>
  </si>
  <si>
    <t>24KC703</t>
  </si>
  <si>
    <t>CAS-234862-G5B1Z6</t>
  </si>
  <si>
    <t>24CCT93B</t>
  </si>
  <si>
    <t>CAS-235582-R6N4G0</t>
  </si>
  <si>
    <t>24FC377</t>
  </si>
  <si>
    <t>CAS-233966-V6L9H8</t>
  </si>
  <si>
    <t>24KC744</t>
  </si>
  <si>
    <t>CAS-230774-J3N2T6</t>
  </si>
  <si>
    <t>24KC747</t>
  </si>
  <si>
    <t>MSG-241205-9586E5</t>
  </si>
  <si>
    <t>24KC751</t>
  </si>
  <si>
    <t>Temp Controlled Material Exceeding Out Time</t>
  </si>
  <si>
    <t>CAS-239247-D6G9D9</t>
  </si>
  <si>
    <t>25CC111</t>
  </si>
  <si>
    <t>CAS-238114-N6K9C1</t>
  </si>
  <si>
    <t>20CCD50A</t>
  </si>
  <si>
    <t>CAS-240006-X0M8K4</t>
  </si>
  <si>
    <t>25KC051</t>
  </si>
  <si>
    <t>PreSAM TAT</t>
  </si>
  <si>
    <t>SAM TAT</t>
  </si>
  <si>
    <t>Total Str TAT</t>
  </si>
  <si>
    <t>Total Task TAT</t>
  </si>
  <si>
    <t>NoSTR Total Task TAT</t>
  </si>
  <si>
    <t>Complete Date</t>
  </si>
  <si>
    <t>Hold Gate</t>
  </si>
  <si>
    <t>Hold Reason</t>
  </si>
  <si>
    <t>Hold Start Date</t>
  </si>
  <si>
    <t>Hold End Date</t>
  </si>
  <si>
    <t>Hold Duration</t>
  </si>
  <si>
    <t>Repair Evaluation Review</t>
  </si>
  <si>
    <t>Shop Info</t>
  </si>
  <si>
    <t>Old Draft EA</t>
  </si>
  <si>
    <t>Functional Design Review</t>
  </si>
  <si>
    <t>Structures SAM</t>
  </si>
  <si>
    <t>CIPT</t>
  </si>
  <si>
    <t>Draft EA</t>
  </si>
  <si>
    <t>Field Data Collection</t>
  </si>
  <si>
    <t>ReCAP</t>
  </si>
  <si>
    <t>CTS Info</t>
  </si>
  <si>
    <t>Task Plan</t>
  </si>
  <si>
    <t>Structures Pre-SAM</t>
  </si>
  <si>
    <t>Triage</t>
  </si>
  <si>
    <t>Initial Design Review</t>
  </si>
  <si>
    <t>Design / Metallurgy</t>
  </si>
  <si>
    <t>Program Budget</t>
  </si>
  <si>
    <t>MPE Testing Pending</t>
  </si>
  <si>
    <t>ED&amp;L</t>
  </si>
  <si>
    <t>CIPT Structures</t>
  </si>
  <si>
    <t>Final Design Review</t>
  </si>
  <si>
    <t>Final Validation</t>
  </si>
  <si>
    <t>Final Validation Pending DAA</t>
  </si>
  <si>
    <t>Structures EA Review</t>
  </si>
  <si>
    <t>DSP Feedback - EA Draft Process</t>
  </si>
  <si>
    <t>Core Structures Pending</t>
  </si>
  <si>
    <t>Pending Industrial Waterline</t>
  </si>
  <si>
    <t>RSL Customer PO</t>
  </si>
  <si>
    <t>Engine Model Applicability</t>
  </si>
  <si>
    <t>Technology Dev.</t>
  </si>
  <si>
    <t>Pending PMO Authorization</t>
  </si>
  <si>
    <t>Triage Hold TAT</t>
  </si>
  <si>
    <t>Task Plan Hold TAT</t>
  </si>
  <si>
    <t>IDR Hold TAT</t>
  </si>
  <si>
    <t>ReCap Hold TAT</t>
  </si>
  <si>
    <t>DraftEA Hold TAT</t>
  </si>
  <si>
    <t>Pre-SAM Hold TAT</t>
  </si>
  <si>
    <t>SAM Hold TAT</t>
  </si>
  <si>
    <t>FDR Hold TAT</t>
  </si>
  <si>
    <t>Total Hold TAT</t>
  </si>
  <si>
    <t>NoHold NoSTR Total Adjusted TAT</t>
  </si>
  <si>
    <t>OTD</t>
  </si>
  <si>
    <t>OTD PassFail</t>
  </si>
  <si>
    <t>First Day of Month</t>
  </si>
  <si>
    <t>Last Day of Month</t>
  </si>
  <si>
    <t>Month</t>
  </si>
  <si>
    <t>Total Tasks</t>
  </si>
  <si>
    <t>Avg Task TAT</t>
  </si>
  <si>
    <t>Avg Hold TAT</t>
  </si>
  <si>
    <t>Avg Adjusted TAT</t>
  </si>
  <si>
    <t>Repair-EA Tasks, All Task Owners</t>
  </si>
  <si>
    <t>GTF Repair-EA Tasks, All Task Owners</t>
  </si>
  <si>
    <t>MCE Repair-EA Tasks, All Task Owners</t>
  </si>
  <si>
    <t>MinusHold Total Task TAT</t>
  </si>
  <si>
    <t>All Tasks</t>
  </si>
  <si>
    <t>All Tasks Minus STR TAT</t>
  </si>
  <si>
    <t>Case Closure per Month</t>
  </si>
  <si>
    <t>Project Engineers</t>
  </si>
  <si>
    <t>Jul</t>
  </si>
  <si>
    <t>Sep</t>
  </si>
  <si>
    <t>Total Deliveries</t>
  </si>
  <si>
    <t>2025 C&amp;C Min Plan vs Actuals (Repair Count)</t>
  </si>
  <si>
    <t>Total</t>
  </si>
  <si>
    <t xml:space="preserve"> Min Plan</t>
  </si>
  <si>
    <t>Actual Tasks</t>
  </si>
  <si>
    <t>Difference</t>
  </si>
  <si>
    <t>2025 C&amp;C Min Plan vs Actuals Cumulative</t>
  </si>
  <si>
    <t>Individual OTD%</t>
  </si>
  <si>
    <t>% Complete</t>
  </si>
  <si>
    <t>Average</t>
  </si>
  <si>
    <t>Case Completed by Initial TD per Month</t>
  </si>
  <si>
    <t>Total Case Closure per Month (Regardless of TaskOwner)</t>
  </si>
  <si>
    <t>Total Count</t>
  </si>
  <si>
    <t>Outside Team</t>
  </si>
  <si>
    <t>Row Labels</t>
  </si>
  <si>
    <t>Grand Total</t>
  </si>
  <si>
    <t>2024</t>
  </si>
  <si>
    <t>2025</t>
  </si>
  <si>
    <t>Column Labels</t>
  </si>
  <si>
    <t>Average of Total Task TAT</t>
  </si>
  <si>
    <t>Average of MinusHold Total Task TAT</t>
  </si>
  <si>
    <t>Total Average of Total Task TAT</t>
  </si>
  <si>
    <t>Total Average of MinusHold Total Task TAT</t>
  </si>
  <si>
    <t>Program</t>
  </si>
  <si>
    <t>Total 2025</t>
  </si>
  <si>
    <t>Total 2024</t>
  </si>
  <si>
    <t>All Total</t>
  </si>
  <si>
    <t>FEB2025</t>
  </si>
  <si>
    <t>JAN2025</t>
  </si>
  <si>
    <t>MAR2025</t>
  </si>
  <si>
    <t>APR2025</t>
  </si>
  <si>
    <t>MAY2025</t>
  </si>
  <si>
    <t>AUG2025</t>
  </si>
  <si>
    <t>SEP2025</t>
  </si>
  <si>
    <t>OCT2025</t>
  </si>
  <si>
    <t>NOV2025</t>
  </si>
  <si>
    <t>DEC2025</t>
  </si>
  <si>
    <t>Wire SubType</t>
  </si>
  <si>
    <t>Count of Msg Id</t>
  </si>
  <si>
    <t>(blank)</t>
  </si>
  <si>
    <t>Review Gate</t>
  </si>
  <si>
    <t>Return By</t>
  </si>
  <si>
    <t>Return Date</t>
  </si>
  <si>
    <t>Return Category</t>
  </si>
  <si>
    <t>Return Description</t>
  </si>
  <si>
    <t>Is Technical Impact</t>
  </si>
  <si>
    <t>Sean Squire</t>
  </si>
  <si>
    <t>Tech Data</t>
  </si>
  <si>
    <t>10-Repair Method/Template/Instructions</t>
  </si>
  <si>
    <t>false</t>
  </si>
  <si>
    <t>Cover Page</t>
  </si>
  <si>
    <t>03-Models</t>
  </si>
  <si>
    <t>Team Center</t>
  </si>
  <si>
    <t>21-Substantiation</t>
  </si>
  <si>
    <t>Thomas A Vetere</t>
  </si>
  <si>
    <t>true</t>
  </si>
  <si>
    <t>Jorge L Pardo</t>
  </si>
  <si>
    <t>Question</t>
  </si>
  <si>
    <t>Clarification</t>
  </si>
  <si>
    <t>Adam Lozon</t>
  </si>
  <si>
    <t>Pre EA General</t>
  </si>
  <si>
    <t>Repair Plan-Substantiation</t>
  </si>
  <si>
    <t>Patton Conroy</t>
  </si>
  <si>
    <t>Repair Plan-Redline</t>
  </si>
  <si>
    <t>14-Figure dimensions</t>
  </si>
  <si>
    <t>08-Prerequisites</t>
  </si>
  <si>
    <t>23-Endorsements/Workflow/Signoff-sheet</t>
  </si>
  <si>
    <t>22-SAM/ Analysis Memos</t>
  </si>
  <si>
    <t>Jason Field</t>
  </si>
  <si>
    <t>25FC026</t>
  </si>
  <si>
    <t>Vincent Ybanez</t>
  </si>
  <si>
    <t>13-Figure illustrations</t>
  </si>
  <si>
    <t>19-Reference Information</t>
  </si>
  <si>
    <t>Background</t>
  </si>
  <si>
    <t>25FC035</t>
  </si>
  <si>
    <t>20-Full Event Description</t>
  </si>
  <si>
    <t>05-Applicable PNs / SNs</t>
  </si>
  <si>
    <t>09-Repair parameters/Detail info/Sequencing</t>
  </si>
  <si>
    <t>11-Ref to tech data/Specs/SPOPs/PWAs/Tools</t>
  </si>
  <si>
    <t>Stephen Brannan</t>
  </si>
  <si>
    <t>07-Action Statement</t>
  </si>
  <si>
    <t>02-Page Numbering</t>
  </si>
  <si>
    <t>Jason Siefker</t>
  </si>
  <si>
    <t>25FC178</t>
  </si>
  <si>
    <t>Jeremy Thayer</t>
  </si>
  <si>
    <t>Structural Analysis (Structures use only)</t>
  </si>
  <si>
    <t>SA01-FEA model</t>
  </si>
  <si>
    <t>04-Subject/Part Name/Feature/Repair</t>
  </si>
  <si>
    <t>01-EA No./Task Type/Rev</t>
  </si>
  <si>
    <t>CAS-185794-L4N4N6</t>
  </si>
  <si>
    <t>24KC699</t>
  </si>
  <si>
    <t>Paul A DeCrescente</t>
  </si>
  <si>
    <t>Jeffrey W Craycraft</t>
  </si>
  <si>
    <t>16-Note to MDE/Warnings/Cautions/Notes</t>
  </si>
  <si>
    <t>CAS-203710-G4V1R3</t>
  </si>
  <si>
    <t>SA08-Fracture analysis (Material, flaw/plate size, etc)</t>
  </si>
  <si>
    <t>24VG011</t>
  </si>
  <si>
    <t>SAM Documentation (Structures use only)</t>
  </si>
  <si>
    <t>SD04-Repair Requirements/Repair Figure</t>
  </si>
  <si>
    <t>SA03-Assumed repair dimensions</t>
  </si>
  <si>
    <t>CAS-209896-J6Z1M3</t>
  </si>
  <si>
    <t>Derek W Anderson</t>
  </si>
  <si>
    <t>24CC866</t>
  </si>
  <si>
    <t>Michael F Cavaliere</t>
  </si>
  <si>
    <t>Patrick Mayabb</t>
  </si>
  <si>
    <t>CAS-229081-F9V7Q4</t>
  </si>
  <si>
    <t>Repair Plan-Background Data</t>
  </si>
  <si>
    <t>24VC404</t>
  </si>
  <si>
    <t>Dialogue</t>
  </si>
  <si>
    <t>Repair Response</t>
  </si>
  <si>
    <t>Michael Karnas</t>
  </si>
  <si>
    <t>Luis Mendez Cuevas</t>
  </si>
  <si>
    <t>SD01-Title Block (P/N, S/N, Material, Engine applicability)</t>
  </si>
  <si>
    <t>SA06-LCF analysis (Material, Life Curve, debits, etc)</t>
  </si>
  <si>
    <t>CAS-232690-Y1P9M3</t>
  </si>
  <si>
    <t>Jesse Os</t>
  </si>
  <si>
    <t>24KC718</t>
  </si>
  <si>
    <t>CAS-235126-D1M2F0</t>
  </si>
  <si>
    <t>25KC065</t>
  </si>
  <si>
    <t>CAS-235134-L1Z0K4</t>
  </si>
  <si>
    <t>25CC803</t>
  </si>
  <si>
    <t>CAS-235286-N4T3Z8</t>
  </si>
  <si>
    <t>25KC292</t>
  </si>
  <si>
    <t>CAS-235452-Z9Y2Y2</t>
  </si>
  <si>
    <t>25CC862</t>
  </si>
  <si>
    <t>Nathaniel Drisdelle</t>
  </si>
  <si>
    <t>Chase Poage</t>
  </si>
  <si>
    <t>CAS-237615-J5V1Z8</t>
  </si>
  <si>
    <t>25KC341</t>
  </si>
  <si>
    <t>17-Non-technical DDM file errors</t>
  </si>
  <si>
    <t>CAS-238783-X9Q1S8</t>
  </si>
  <si>
    <t>25KC189</t>
  </si>
  <si>
    <t>CAS-239036-W5Q5P3</t>
  </si>
  <si>
    <t>25KC312</t>
  </si>
  <si>
    <t>CAS-239524-J7D2H8</t>
  </si>
  <si>
    <t>25CC077</t>
  </si>
  <si>
    <t>CAS-239530-J8H6Z3</t>
  </si>
  <si>
    <t>25KC102</t>
  </si>
  <si>
    <t>CAS-240814-K0N5J7</t>
  </si>
  <si>
    <t>25KC095</t>
  </si>
  <si>
    <t>CAS-241467-W7Y2S0</t>
  </si>
  <si>
    <t>25VG061</t>
  </si>
  <si>
    <t>CAS-241995-P1P4M6</t>
  </si>
  <si>
    <t>Roldan Guillen</t>
  </si>
  <si>
    <t>25KC134</t>
  </si>
  <si>
    <t>06-ATA Numbers</t>
  </si>
  <si>
    <t>CAS-242168-D1G7V1</t>
  </si>
  <si>
    <t>Peter Boudreau</t>
  </si>
  <si>
    <t>25KC123</t>
  </si>
  <si>
    <t>CAS-242930-S1B2J5</t>
  </si>
  <si>
    <t>25KC172</t>
  </si>
  <si>
    <t>CAS-245227-F3D8V2</t>
  </si>
  <si>
    <t>25VC127</t>
  </si>
  <si>
    <t>David Ahrens</t>
  </si>
  <si>
    <t>CAS-246427-W1S4P5</t>
  </si>
  <si>
    <t>25VC192</t>
  </si>
  <si>
    <t>CAS-246568-G4T9N1</t>
  </si>
  <si>
    <t>17CCI96J</t>
  </si>
  <si>
    <t>CAS-247249-V9B8K3</t>
  </si>
  <si>
    <t>25KC353</t>
  </si>
  <si>
    <t>Andres Cedeno</t>
  </si>
  <si>
    <t>CAS-248241-P8Y5N4</t>
  </si>
  <si>
    <t>19CC141A</t>
  </si>
  <si>
    <t>CAS-248566-R0P9G0</t>
  </si>
  <si>
    <t>25VC155</t>
  </si>
  <si>
    <t>CAS-248726-F5K6L6</t>
  </si>
  <si>
    <t>25CCB26</t>
  </si>
  <si>
    <t>CAS-250257-G4H5R9</t>
  </si>
  <si>
    <t>25KC357</t>
  </si>
  <si>
    <t>CAS-250631-C1J9K1</t>
  </si>
  <si>
    <t>SD06-Incorrect/Missing Information</t>
  </si>
  <si>
    <t>25CCD08</t>
  </si>
  <si>
    <t>CAS-250793-H3Z8S3</t>
  </si>
  <si>
    <t>25KC314</t>
  </si>
  <si>
    <t>CAS-251201-F1K1N3</t>
  </si>
  <si>
    <t>25KC339</t>
  </si>
  <si>
    <t>CAS-251242-F2D7B3</t>
  </si>
  <si>
    <t>24AC058A</t>
  </si>
  <si>
    <t>CAS-251247-C4C7M2</t>
  </si>
  <si>
    <t>25KC402</t>
  </si>
  <si>
    <t>CAS-251254-P0R0B1</t>
  </si>
  <si>
    <t>25CCC18</t>
  </si>
  <si>
    <t>CAS-251780-Y6W7X5</t>
  </si>
  <si>
    <t>25KC345</t>
  </si>
  <si>
    <t>CAS-252305-J6N0W5</t>
  </si>
  <si>
    <t>17KC562A</t>
  </si>
  <si>
    <t>CAS-252777-L9T8J9</t>
  </si>
  <si>
    <t>25KC395</t>
  </si>
  <si>
    <t>CAS-253193-W3N7Z5</t>
  </si>
  <si>
    <t>25CCC88</t>
  </si>
  <si>
    <t>CAS-253636-H0Y7P2</t>
  </si>
  <si>
    <t>25KC424</t>
  </si>
  <si>
    <t>CAS-253850-X8Z7H2</t>
  </si>
  <si>
    <t>Daniel Yebo</t>
  </si>
  <si>
    <t>25CCE88</t>
  </si>
  <si>
    <t>CAS-254406-W7B7Y5</t>
  </si>
  <si>
    <t>25KC393</t>
  </si>
  <si>
    <t>CAS-254829-H0M8J4</t>
  </si>
  <si>
    <t>25VC223</t>
  </si>
  <si>
    <t>CAS-255017-D0N7W7</t>
  </si>
  <si>
    <t>25KC418</t>
  </si>
  <si>
    <t>CAS-256045-H6Y7T0</t>
  </si>
  <si>
    <t>25KC398</t>
  </si>
  <si>
    <t>CAS-257300-L1Z8X4</t>
  </si>
  <si>
    <t>25CCF37</t>
  </si>
  <si>
    <t>CAS-258608-V3J5M5</t>
  </si>
  <si>
    <t>MSG-231205-EC1B49</t>
  </si>
  <si>
    <t>Repair Impact Worksheet</t>
  </si>
  <si>
    <t>Count of Return Date</t>
  </si>
  <si>
    <t>All Engineers</t>
  </si>
  <si>
    <t>Total OTD%</t>
  </si>
  <si>
    <t>Median TAT</t>
  </si>
  <si>
    <t>Median TAT Minus Hold</t>
  </si>
  <si>
    <t>Cumulative Min Plan</t>
  </si>
  <si>
    <t>YTD Completed EAs</t>
  </si>
  <si>
    <t xml:space="preserve">YTD Deliveries </t>
  </si>
  <si>
    <t>2025 YTD</t>
  </si>
  <si>
    <t>Engine Program</t>
  </si>
  <si>
    <t>Delivered</t>
  </si>
  <si>
    <t>2025 Goal</t>
  </si>
  <si>
    <t>EA Completion %</t>
  </si>
  <si>
    <t>2025 EA Gap</t>
  </si>
  <si>
    <t>Remaining %</t>
  </si>
  <si>
    <t>Data for Pie Chart</t>
  </si>
  <si>
    <t>Completed EAs</t>
  </si>
  <si>
    <t>Remaining  EAs</t>
  </si>
  <si>
    <t>Total YTD</t>
  </si>
  <si>
    <t>Monthly Lookahead</t>
  </si>
  <si>
    <t>Min Plan</t>
  </si>
  <si>
    <t>Lookahead Tasks Completed</t>
  </si>
  <si>
    <t>Non-Lookahead Tasks Completed</t>
  </si>
  <si>
    <t>GAP to MP</t>
  </si>
  <si>
    <t>TAT</t>
  </si>
  <si>
    <t>Percentage Reduction</t>
  </si>
  <si>
    <t>Avg</t>
  </si>
  <si>
    <t>Median</t>
  </si>
  <si>
    <t>Min Plan Vs Actuals</t>
  </si>
  <si>
    <t xml:space="preserve">                                            </t>
  </si>
  <si>
    <t>2025 Cases &amp; Composites</t>
  </si>
  <si>
    <t>For Cells with this color scheme, manually enter values from the Dashboard.</t>
  </si>
  <si>
    <t>OTD %</t>
  </si>
  <si>
    <t>Goal</t>
  </si>
  <si>
    <t>CAS-250804-X1Q6W5</t>
  </si>
  <si>
    <t>CAS-255270-H7C7M1</t>
  </si>
  <si>
    <t>CAS-255773-G2Q6L0</t>
  </si>
  <si>
    <t>CAS-251130-N3Y4N8</t>
  </si>
  <si>
    <t>25CCA93</t>
  </si>
  <si>
    <t>25FC174</t>
  </si>
  <si>
    <t>Sep2025</t>
  </si>
  <si>
    <t>25FC204</t>
  </si>
  <si>
    <t>25FC207</t>
  </si>
  <si>
    <t>CAS-255144-Z6B5V7</t>
  </si>
  <si>
    <t>25CCE61</t>
  </si>
  <si>
    <t>25CCE98</t>
  </si>
  <si>
    <t>AF2.0</t>
  </si>
  <si>
    <t>CAS-232238-D4N3Q0</t>
  </si>
  <si>
    <t>25AC075</t>
  </si>
  <si>
    <t>25CCE82</t>
  </si>
  <si>
    <t>25KC447</t>
  </si>
  <si>
    <t>Christopher Destefano</t>
  </si>
  <si>
    <t>25FC197</t>
  </si>
  <si>
    <t>25FC184</t>
  </si>
  <si>
    <t>CAS-160237-G1W8W4</t>
  </si>
  <si>
    <t>25KC236</t>
  </si>
  <si>
    <t>CAS-231953-B0Q9P2</t>
  </si>
  <si>
    <t>25KC428</t>
  </si>
  <si>
    <t>CAS-246953-N1L8C3</t>
  </si>
  <si>
    <t>25KC422</t>
  </si>
  <si>
    <t>CAS-247241-B8S3D3</t>
  </si>
  <si>
    <t>25KC253</t>
  </si>
  <si>
    <t>CAS-251991-Y3G0Z4</t>
  </si>
  <si>
    <t>25VC237</t>
  </si>
  <si>
    <t>CAS-252101-Z0P3T2</t>
  </si>
  <si>
    <t>22KC329F</t>
  </si>
  <si>
    <t>CAS-254990-D8P8T1</t>
  </si>
  <si>
    <t>25KC423</t>
  </si>
  <si>
    <t>25CCI16</t>
  </si>
  <si>
    <t>CAS-258781-G7J9D6</t>
  </si>
  <si>
    <t>25CCG46</t>
  </si>
  <si>
    <t>Limit-EA</t>
  </si>
  <si>
    <t>Lookahead</t>
  </si>
  <si>
    <t>Sum</t>
  </si>
  <si>
    <t>Sum of OTD PassFail</t>
  </si>
  <si>
    <t>2025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</si>
</sst>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0.0"/>
    <numFmt numFmtId="166" formatCode="[$-409]mmmm\-yy;@"/>
    <numFmt numFmtId="167" formatCode="0.0%"/>
  </numFmts>
  <fonts count="15" x14ac:knownFonts="1">
    <font>
      <sz val="11"/>
      <color theme="1"/>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b/>
      <sz val="11"/>
      <color theme="0"/>
      <name val="Calibri"/>
      <family val="2"/>
      <scheme val="minor"/>
    </font>
    <font>
      <sz val="11"/>
      <color theme="1"/>
      <name val="Calibri"/>
      <family val="2"/>
    </font>
    <font>
      <sz val="12"/>
      <color theme="1"/>
      <name val="Calibri"/>
      <family val="2"/>
      <scheme val="minor"/>
    </font>
    <font>
      <sz val="24"/>
      <color theme="1"/>
      <name val="Calibri"/>
      <family val="2"/>
      <scheme val="minor"/>
    </font>
    <font>
      <sz val="10"/>
      <color rgb="FF000000"/>
      <name val="Arial"/>
      <family val="2"/>
    </font>
    <font>
      <sz val="11"/>
      <color rgb="FF3F3F76"/>
      <name val="Calibri"/>
      <family val="2"/>
      <scheme val="minor"/>
    </font>
    <font>
      <b/>
      <sz val="11"/>
      <color rgb="FF3F3F76"/>
      <name val="Calibri"/>
      <family val="2"/>
      <scheme val="minor"/>
    </font>
  </fonts>
  <fills count="26">
    <fill>
      <patternFill patternType="none"/>
    </fill>
    <fill>
      <patternFill patternType="gray125"/>
    </fill>
    <fill>
      <patternFill patternType="solid">
        <fgColor rgb="FFFFEB9C"/>
      </patternFill>
    </fill>
    <fill>
      <patternFill patternType="solid">
        <fgColor theme="7"/>
        <bgColor indexed="64"/>
      </patternFill>
    </fill>
    <fill>
      <patternFill patternType="solid">
        <fgColor rgb="FFFFFFCC"/>
      </patternFill>
    </fill>
    <fill>
      <patternFill patternType="solid">
        <fgColor theme="9" tint="0.79998168889431442"/>
        <bgColor indexed="65"/>
      </patternFill>
    </fill>
    <fill>
      <patternFill patternType="solid">
        <fgColor theme="4" tint="0.59999389629810485"/>
        <bgColor indexed="64"/>
      </patternFill>
    </fill>
    <fill>
      <patternFill patternType="solid">
        <fgColor theme="8" tint="0.79998168889431442"/>
        <bgColor indexed="64"/>
      </patternFill>
    </fill>
    <fill>
      <patternFill patternType="solid">
        <fgColor theme="4" tint="0.59999389629810485"/>
        <bgColor indexed="65"/>
      </patternFill>
    </fill>
    <fill>
      <patternFill patternType="solid">
        <fgColor theme="6"/>
      </patternFill>
    </fill>
    <fill>
      <patternFill patternType="solid">
        <fgColor theme="8"/>
      </patternFill>
    </fill>
    <fill>
      <patternFill patternType="solid">
        <fgColor rgb="FF92D050"/>
        <bgColor indexed="64"/>
      </patternFill>
    </fill>
    <fill>
      <patternFill patternType="solid">
        <fgColor rgb="FFFFFFCC"/>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C5D3FF"/>
        <bgColor indexed="64"/>
      </patternFill>
    </fill>
    <fill>
      <patternFill patternType="solid">
        <fgColor theme="3" tint="0.89999084444715716"/>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rgb="FFA3DBFF"/>
        <bgColor indexed="64"/>
      </patternFill>
    </fill>
    <fill>
      <patternFill patternType="solid">
        <fgColor rgb="FF7CEB99"/>
        <bgColor indexed="64"/>
      </patternFill>
    </fill>
    <fill>
      <patternFill patternType="solid">
        <fgColor rgb="FFFFCC99"/>
      </patternFill>
    </fill>
    <fill>
      <patternFill patternType="solid">
        <fgColor theme="5" tint="0.39997558519241921"/>
        <bgColor indexed="64"/>
      </patternFill>
    </fill>
    <fill>
      <patternFill patternType="solid">
        <fgColor theme="9" tint="0.7999816888943144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7F7F7F"/>
      </left>
      <right style="thin">
        <color rgb="FF7F7F7F"/>
      </right>
      <top style="thin">
        <color rgb="FF7F7F7F"/>
      </top>
      <bottom style="medium">
        <color indexed="64"/>
      </bottom>
      <diagonal/>
    </border>
  </borders>
  <cellStyleXfs count="10">
    <xf numFmtId="0" fontId="0" fillId="0" borderId="0"/>
    <xf numFmtId="0" fontId="1" fillId="2" borderId="0" applyNumberFormat="0" applyBorder="0" applyAlignment="0" applyProtection="0"/>
    <xf numFmtId="0" fontId="4" fillId="4" borderId="2" applyNumberFormat="0" applyFont="0" applyAlignment="0" applyProtection="0"/>
    <xf numFmtId="0" fontId="4" fillId="5"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9" fontId="4" fillId="0" borderId="0" applyFont="0" applyFill="0" applyBorder="0" applyAlignment="0" applyProtection="0"/>
    <xf numFmtId="0" fontId="10" fillId="0" borderId="0"/>
    <xf numFmtId="0" fontId="13" fillId="23" borderId="57" applyNumberFormat="0" applyAlignment="0" applyProtection="0"/>
  </cellStyleXfs>
  <cellXfs count="250">
    <xf numFmtId="0" fontId="0" fillId="0" borderId="0" xfId="0"/>
    <xf numFmtId="0" fontId="2" fillId="0" borderId="1" xfId="0" applyFont="1" applyBorder="1" applyAlignment="1">
      <alignment wrapText="1"/>
    </xf>
    <xf numFmtId="164" fontId="0" fillId="0" borderId="0" xfId="0" applyNumberFormat="1"/>
    <xf numFmtId="0" fontId="1" fillId="2" borderId="0" xfId="1"/>
    <xf numFmtId="0" fontId="3" fillId="2" borderId="1" xfId="1" applyFont="1" applyBorder="1" applyAlignment="1">
      <alignment wrapText="1"/>
    </xf>
    <xf numFmtId="0" fontId="2" fillId="3" borderId="1" xfId="0" applyFont="1" applyFill="1" applyBorder="1" applyAlignment="1">
      <alignment wrapText="1"/>
    </xf>
    <xf numFmtId="2" fontId="3" fillId="2" borderId="1" xfId="1" applyNumberFormat="1" applyFont="1" applyBorder="1" applyAlignment="1">
      <alignment wrapText="1"/>
    </xf>
    <xf numFmtId="2" fontId="1" fillId="2" borderId="0" xfId="1" applyNumberFormat="1"/>
    <xf numFmtId="0" fontId="2" fillId="0" borderId="1" xfId="0" applyFont="1" applyBorder="1"/>
    <xf numFmtId="0" fontId="2" fillId="5" borderId="1" xfId="3" applyFont="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0" fillId="4" borderId="2" xfId="2" applyFont="1"/>
    <xf numFmtId="0" fontId="2" fillId="8" borderId="1" xfId="4" applyFont="1" applyBorder="1"/>
    <xf numFmtId="14" fontId="0" fillId="0" borderId="1" xfId="0" applyNumberFormat="1" applyBorder="1"/>
    <xf numFmtId="0" fontId="0" fillId="0" borderId="3" xfId="0" applyBorder="1"/>
    <xf numFmtId="0" fontId="0" fillId="0" borderId="7" xfId="0" applyBorder="1"/>
    <xf numFmtId="2" fontId="0" fillId="0" borderId="0" xfId="0" applyNumberFormat="1"/>
    <xf numFmtId="0" fontId="2" fillId="11" borderId="1" xfId="0" applyFont="1" applyFill="1" applyBorder="1" applyAlignment="1">
      <alignment wrapText="1"/>
    </xf>
    <xf numFmtId="17" fontId="5" fillId="9" borderId="6" xfId="5" applyNumberFormat="1" applyBorder="1"/>
    <xf numFmtId="17" fontId="5" fillId="9" borderId="8" xfId="5" applyNumberFormat="1" applyBorder="1"/>
    <xf numFmtId="17" fontId="5" fillId="9" borderId="1" xfId="5" applyNumberFormat="1" applyBorder="1"/>
    <xf numFmtId="17" fontId="5" fillId="10" borderId="1" xfId="6" applyNumberFormat="1" applyBorder="1"/>
    <xf numFmtId="0" fontId="0" fillId="0" borderId="0" xfId="0" applyAlignment="1">
      <alignment horizontal="center"/>
    </xf>
    <xf numFmtId="0" fontId="0" fillId="0" borderId="0" xfId="0" applyAlignment="1">
      <alignment horizontal="left"/>
    </xf>
    <xf numFmtId="0" fontId="2" fillId="0" borderId="0" xfId="0" applyFont="1"/>
    <xf numFmtId="0" fontId="2" fillId="0" borderId="1" xfId="0" applyFont="1" applyBorder="1" applyAlignment="1">
      <alignment horizontal="center" vertical="center"/>
    </xf>
    <xf numFmtId="0" fontId="0" fillId="0" borderId="1" xfId="0" applyBorder="1"/>
    <xf numFmtId="0" fontId="0" fillId="12" borderId="1" xfId="0"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xf>
    <xf numFmtId="1" fontId="0" fillId="0" borderId="1" xfId="7" applyNumberFormat="1" applyFont="1" applyBorder="1" applyAlignment="1">
      <alignment horizontal="center"/>
    </xf>
    <xf numFmtId="1" fontId="0" fillId="0" borderId="1" xfId="0" applyNumberFormat="1" applyBorder="1" applyAlignment="1">
      <alignment horizontal="center"/>
    </xf>
    <xf numFmtId="1" fontId="2" fillId="0" borderId="1" xfId="0" applyNumberFormat="1" applyFont="1" applyBorder="1" applyAlignment="1">
      <alignment horizontal="center"/>
    </xf>
    <xf numFmtId="1" fontId="0" fillId="12" borderId="1" xfId="7" applyNumberFormat="1" applyFont="1" applyFill="1" applyBorder="1" applyAlignment="1">
      <alignment horizontal="center"/>
    </xf>
    <xf numFmtId="1" fontId="0" fillId="0" borderId="0" xfId="0" applyNumberFormat="1"/>
    <xf numFmtId="0" fontId="2" fillId="0" borderId="0" xfId="0" applyFont="1" applyAlignment="1">
      <alignment horizontal="center"/>
    </xf>
    <xf numFmtId="9" fontId="0" fillId="12" borderId="1" xfId="7" applyFont="1" applyFill="1" applyBorder="1" applyAlignment="1">
      <alignment horizontal="center" vertical="center"/>
    </xf>
    <xf numFmtId="9" fontId="0" fillId="0" borderId="1" xfId="0" applyNumberFormat="1" applyBorder="1" applyAlignment="1">
      <alignment horizontal="center"/>
    </xf>
    <xf numFmtId="9" fontId="0" fillId="0" borderId="0" xfId="7" applyFont="1" applyBorder="1" applyAlignment="1">
      <alignment horizontal="center" vertical="center"/>
    </xf>
    <xf numFmtId="9" fontId="0" fillId="0" borderId="0" xfId="7" applyFont="1" applyBorder="1" applyAlignment="1">
      <alignment horizontal="left" vertical="center"/>
    </xf>
    <xf numFmtId="9" fontId="0" fillId="0" borderId="0" xfId="0" applyNumberFormat="1" applyAlignment="1">
      <alignment horizontal="center"/>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Alignment="1">
      <alignment horizontal="center"/>
    </xf>
    <xf numFmtId="0" fontId="0" fillId="0" borderId="0" xfId="0" applyFill="1" applyBorder="1" applyAlignment="1">
      <alignment horizontal="center"/>
    </xf>
    <xf numFmtId="0" fontId="2" fillId="0" borderId="0" xfId="0" applyFont="1" applyFill="1" applyBorder="1" applyAlignment="1">
      <alignment horizontal="center"/>
    </xf>
    <xf numFmtId="1" fontId="0" fillId="0" borderId="0" xfId="0" applyNumberFormat="1" applyFill="1" applyBorder="1" applyAlignment="1">
      <alignment horizontal="center"/>
    </xf>
    <xf numFmtId="1" fontId="0" fillId="0" borderId="0" xfId="0" applyNumberFormat="1" applyFill="1" applyAlignment="1">
      <alignment horizontal="center"/>
    </xf>
    <xf numFmtId="0" fontId="0" fillId="0" borderId="0" xfId="0" applyFill="1"/>
    <xf numFmtId="0" fontId="0" fillId="0" borderId="1" xfId="0" applyFont="1" applyBorder="1" applyAlignment="1">
      <alignment horizontal="center"/>
    </xf>
    <xf numFmtId="1" fontId="0" fillId="0" borderId="1" xfId="7" applyNumberFormat="1" applyFont="1" applyFill="1" applyBorder="1" applyAlignment="1">
      <alignment horizontal="center"/>
    </xf>
    <xf numFmtId="9" fontId="0" fillId="0" borderId="1" xfId="7" applyFont="1" applyFill="1" applyBorder="1"/>
    <xf numFmtId="9" fontId="2" fillId="0" borderId="1" xfId="7" applyFont="1" applyBorder="1" applyAlignment="1">
      <alignment horizontal="center"/>
    </xf>
    <xf numFmtId="0" fontId="0" fillId="13" borderId="0" xfId="0" applyFill="1"/>
    <xf numFmtId="0" fontId="0" fillId="13" borderId="0" xfId="0" applyFill="1" applyAlignment="1">
      <alignment horizontal="center"/>
    </xf>
    <xf numFmtId="164" fontId="0" fillId="13" borderId="0" xfId="0" applyNumberFormat="1" applyFill="1"/>
    <xf numFmtId="0" fontId="0" fillId="0" borderId="0" xfId="0" pivotButton="1"/>
    <xf numFmtId="165" fontId="0" fillId="0" borderId="0" xfId="0" applyNumberForma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2" fillId="0" borderId="14" xfId="0" applyFont="1" applyBorder="1"/>
    <xf numFmtId="49" fontId="0" fillId="0" borderId="15" xfId="0" applyNumberFormat="1" applyBorder="1"/>
    <xf numFmtId="49" fontId="0" fillId="0" borderId="17" xfId="0" applyNumberFormat="1" applyBorder="1"/>
    <xf numFmtId="49" fontId="0" fillId="0" borderId="16" xfId="0" applyNumberFormat="1" applyBorder="1"/>
    <xf numFmtId="0" fontId="0" fillId="0" borderId="0" xfId="0" applyNumberFormat="1"/>
    <xf numFmtId="0" fontId="0" fillId="0" borderId="0" xfId="0" applyAlignment="1">
      <alignment wrapText="1"/>
    </xf>
    <xf numFmtId="0" fontId="0" fillId="0" borderId="15" xfId="0" applyBorder="1"/>
    <xf numFmtId="0" fontId="0" fillId="0" borderId="17" xfId="0" applyNumberFormat="1" applyBorder="1"/>
    <xf numFmtId="0" fontId="0" fillId="0" borderId="16" xfId="0" applyNumberFormat="1" applyBorder="1"/>
    <xf numFmtId="0" fontId="0" fillId="0" borderId="14" xfId="0" applyBorder="1"/>
    <xf numFmtId="0" fontId="0" fillId="0" borderId="15" xfId="0" applyNumberFormat="1" applyBorder="1"/>
    <xf numFmtId="0" fontId="0" fillId="0" borderId="23" xfId="0" applyNumberFormat="1" applyBorder="1"/>
    <xf numFmtId="0" fontId="0" fillId="0" borderId="25" xfId="0" applyNumberFormat="1" applyBorder="1"/>
    <xf numFmtId="0" fontId="0" fillId="0" borderId="24" xfId="0" applyNumberFormat="1" applyBorder="1"/>
    <xf numFmtId="0" fontId="0" fillId="0" borderId="13" xfId="0" applyBorder="1"/>
    <xf numFmtId="0" fontId="0" fillId="0" borderId="16" xfId="0" applyBorder="1"/>
    <xf numFmtId="0" fontId="0" fillId="0" borderId="28" xfId="0" applyBorder="1"/>
    <xf numFmtId="0" fontId="0" fillId="0" borderId="28" xfId="0" pivotButton="1" applyBorder="1"/>
    <xf numFmtId="0" fontId="0" fillId="0" borderId="28" xfId="0" applyBorder="1" applyAlignment="1">
      <alignment horizontal="left"/>
    </xf>
    <xf numFmtId="0" fontId="0" fillId="0" borderId="28" xfId="0" applyBorder="1" applyAlignment="1">
      <alignment horizontal="left" indent="1"/>
    </xf>
    <xf numFmtId="0" fontId="0" fillId="0" borderId="15" xfId="0" pivotButton="1" applyBorder="1"/>
    <xf numFmtId="0" fontId="0" fillId="0" borderId="1" xfId="0" pivotButton="1" applyBorder="1"/>
    <xf numFmtId="0" fontId="0" fillId="0" borderId="12" xfId="0" applyBorder="1"/>
    <xf numFmtId="14" fontId="0" fillId="0" borderId="0" xfId="0" applyNumberFormat="1" applyBorder="1"/>
    <xf numFmtId="0" fontId="2" fillId="0" borderId="15" xfId="0" applyFont="1" applyBorder="1" applyAlignment="1">
      <alignment horizontal="center" vertical="center"/>
    </xf>
    <xf numFmtId="0" fontId="2" fillId="0" borderId="1" xfId="0" applyFont="1" applyFill="1" applyBorder="1"/>
    <xf numFmtId="0" fontId="2" fillId="0" borderId="0" xfId="0" applyFont="1" applyFill="1" applyBorder="1"/>
    <xf numFmtId="9" fontId="0" fillId="0" borderId="0" xfId="7" applyFont="1" applyFill="1" applyBorder="1"/>
    <xf numFmtId="9" fontId="2" fillId="0" borderId="1" xfId="7" applyFont="1" applyFill="1" applyBorder="1"/>
    <xf numFmtId="0" fontId="0" fillId="15" borderId="0" xfId="0" applyFill="1"/>
    <xf numFmtId="0" fontId="8" fillId="10" borderId="1" xfId="6" applyFont="1" applyBorder="1"/>
    <xf numFmtId="0" fontId="8" fillId="10" borderId="1" xfId="6" applyFont="1" applyBorder="1" applyAlignment="1">
      <alignment wrapText="1"/>
    </xf>
    <xf numFmtId="0" fontId="2" fillId="14" borderId="1" xfId="0" applyFont="1" applyFill="1" applyBorder="1"/>
    <xf numFmtId="0" fontId="0" fillId="0" borderId="9" xfId="0" applyBorder="1"/>
    <xf numFmtId="0" fontId="0" fillId="0" borderId="1" xfId="0" applyBorder="1" applyAlignment="1">
      <alignment wrapText="1"/>
    </xf>
    <xf numFmtId="0" fontId="2" fillId="0" borderId="34" xfId="0" applyFont="1" applyBorder="1"/>
    <xf numFmtId="17" fontId="0" fillId="0" borderId="15" xfId="0" applyNumberFormat="1" applyBorder="1"/>
    <xf numFmtId="17" fontId="0" fillId="0" borderId="0" xfId="0" applyNumberFormat="1" applyBorder="1"/>
    <xf numFmtId="17" fontId="0" fillId="0" borderId="17" xfId="0" applyNumberFormat="1" applyBorder="1"/>
    <xf numFmtId="17" fontId="0" fillId="0" borderId="16" xfId="0" applyNumberFormat="1" applyBorder="1"/>
    <xf numFmtId="0" fontId="2" fillId="0" borderId="37" xfId="0" applyFont="1" applyBorder="1"/>
    <xf numFmtId="0" fontId="2" fillId="0" borderId="35" xfId="0" applyFont="1" applyBorder="1"/>
    <xf numFmtId="0" fontId="2" fillId="0" borderId="35" xfId="0" applyFont="1" applyFill="1" applyBorder="1"/>
    <xf numFmtId="0" fontId="2" fillId="14" borderId="35" xfId="0" applyFont="1" applyFill="1" applyBorder="1"/>
    <xf numFmtId="166" fontId="2" fillId="14" borderId="36" xfId="0" applyNumberFormat="1" applyFont="1" applyFill="1" applyBorder="1"/>
    <xf numFmtId="0" fontId="0" fillId="18" borderId="0" xfId="0" applyFill="1"/>
    <xf numFmtId="0" fontId="2" fillId="0" borderId="1" xfId="0" applyFont="1" applyBorder="1" applyAlignment="1">
      <alignment horizontal="center"/>
    </xf>
    <xf numFmtId="0" fontId="2" fillId="0" borderId="41" xfId="0" applyFont="1" applyBorder="1" applyAlignment="1">
      <alignment horizontal="center"/>
    </xf>
    <xf numFmtId="1" fontId="2" fillId="0" borderId="41" xfId="0" applyNumberFormat="1" applyFont="1" applyBorder="1" applyAlignment="1">
      <alignment horizontal="center"/>
    </xf>
    <xf numFmtId="0" fontId="10" fillId="18" borderId="0" xfId="8" applyFill="1"/>
    <xf numFmtId="1" fontId="0" fillId="0" borderId="50" xfId="0" applyNumberFormat="1" applyBorder="1"/>
    <xf numFmtId="0" fontId="7" fillId="0" borderId="1" xfId="8" applyFont="1" applyBorder="1"/>
    <xf numFmtId="0" fontId="7" fillId="0" borderId="1" xfId="8" applyFont="1" applyBorder="1" applyAlignment="1">
      <alignment horizontal="center"/>
    </xf>
    <xf numFmtId="0" fontId="7" fillId="0" borderId="42" xfId="8" applyFont="1" applyBorder="1"/>
    <xf numFmtId="0" fontId="7" fillId="0" borderId="41" xfId="8" applyFont="1" applyBorder="1" applyAlignment="1">
      <alignment horizontal="center"/>
    </xf>
    <xf numFmtId="1" fontId="0" fillId="0" borderId="41" xfId="0" applyNumberFormat="1" applyBorder="1"/>
    <xf numFmtId="0" fontId="10" fillId="0" borderId="1" xfId="8" applyBorder="1"/>
    <xf numFmtId="0" fontId="10" fillId="18" borderId="1" xfId="8" applyFill="1" applyBorder="1" applyAlignment="1">
      <alignment horizontal="center"/>
    </xf>
    <xf numFmtId="0" fontId="10" fillId="0" borderId="42" xfId="8" applyBorder="1"/>
    <xf numFmtId="0" fontId="10" fillId="18" borderId="41" xfId="8" applyFill="1" applyBorder="1" applyAlignment="1">
      <alignment horizontal="center"/>
    </xf>
    <xf numFmtId="9" fontId="0" fillId="0" borderId="41" xfId="7" applyFont="1" applyBorder="1"/>
    <xf numFmtId="0" fontId="0" fillId="0" borderId="41" xfId="0" applyBorder="1"/>
    <xf numFmtId="0" fontId="12" fillId="18" borderId="0" xfId="8" applyFont="1" applyFill="1" applyAlignment="1">
      <alignment vertical="center"/>
    </xf>
    <xf numFmtId="0" fontId="12" fillId="18" borderId="0" xfId="8" applyFont="1" applyFill="1"/>
    <xf numFmtId="0" fontId="0" fillId="18" borderId="18" xfId="0" applyFill="1" applyBorder="1"/>
    <xf numFmtId="0" fontId="0" fillId="18" borderId="19" xfId="0" applyFill="1" applyBorder="1"/>
    <xf numFmtId="0" fontId="10" fillId="18" borderId="0" xfId="8" applyFill="1" applyAlignment="1">
      <alignment horizontal="left"/>
    </xf>
    <xf numFmtId="1" fontId="0" fillId="0" borderId="41" xfId="7" applyNumberFormat="1" applyFont="1" applyBorder="1"/>
    <xf numFmtId="0" fontId="7" fillId="20" borderId="43" xfId="0" applyFont="1" applyFill="1" applyBorder="1"/>
    <xf numFmtId="1" fontId="0" fillId="20" borderId="45" xfId="7" applyNumberFormat="1" applyFont="1" applyFill="1" applyBorder="1"/>
    <xf numFmtId="0" fontId="7" fillId="20" borderId="0" xfId="0" applyFont="1" applyFill="1"/>
    <xf numFmtId="1" fontId="0" fillId="20" borderId="0" xfId="7" applyNumberFormat="1" applyFont="1" applyFill="1" applyBorder="1"/>
    <xf numFmtId="0" fontId="0" fillId="0" borderId="42" xfId="0" applyBorder="1"/>
    <xf numFmtId="0" fontId="2" fillId="0" borderId="1" xfId="0" applyFont="1" applyBorder="1" applyAlignment="1">
      <alignment horizontal="center" vertical="center" wrapText="1"/>
    </xf>
    <xf numFmtId="0" fontId="2" fillId="0" borderId="41" xfId="0" applyFont="1" applyBorder="1" applyAlignment="1">
      <alignment horizontal="center" vertical="center"/>
    </xf>
    <xf numFmtId="0" fontId="2" fillId="0" borderId="42" xfId="0" applyFont="1" applyBorder="1" applyAlignment="1">
      <alignment horizontal="center" vertical="center" wrapText="1"/>
    </xf>
    <xf numFmtId="0" fontId="0" fillId="0" borderId="41" xfId="0" applyBorder="1" applyAlignment="1">
      <alignment horizontal="center"/>
    </xf>
    <xf numFmtId="0" fontId="9" fillId="18" borderId="0" xfId="0" applyFont="1" applyFill="1"/>
    <xf numFmtId="0" fontId="2" fillId="0" borderId="43" xfId="0" applyFont="1" applyBorder="1" applyAlignment="1">
      <alignment horizontal="center" vertical="center" wrapText="1"/>
    </xf>
    <xf numFmtId="1" fontId="0" fillId="0" borderId="44" xfId="0" applyNumberFormat="1" applyBorder="1" applyAlignment="1">
      <alignment horizontal="center"/>
    </xf>
    <xf numFmtId="0" fontId="0" fillId="0" borderId="45" xfId="0" applyBorder="1" applyAlignment="1">
      <alignment horizontal="center"/>
    </xf>
    <xf numFmtId="0" fontId="10" fillId="0" borderId="0" xfId="8"/>
    <xf numFmtId="0" fontId="10" fillId="0" borderId="0" xfId="8" applyAlignment="1">
      <alignment horizontal="left"/>
    </xf>
    <xf numFmtId="1" fontId="2" fillId="0" borderId="45" xfId="0" applyNumberFormat="1" applyFont="1" applyBorder="1" applyAlignment="1">
      <alignment horizontal="center"/>
    </xf>
    <xf numFmtId="9" fontId="10" fillId="18" borderId="0" xfId="8" applyNumberFormat="1" applyFill="1"/>
    <xf numFmtId="0" fontId="0" fillId="21" borderId="0" xfId="0" applyFill="1"/>
    <xf numFmtId="0" fontId="2" fillId="21" borderId="42" xfId="0" applyFont="1" applyFill="1" applyBorder="1"/>
    <xf numFmtId="0" fontId="2" fillId="21" borderId="43" xfId="0" applyFont="1" applyFill="1" applyBorder="1"/>
    <xf numFmtId="0" fontId="2" fillId="21" borderId="50" xfId="0" applyFont="1" applyFill="1" applyBorder="1" applyAlignment="1">
      <alignment horizontal="center"/>
    </xf>
    <xf numFmtId="0" fontId="7" fillId="21" borderId="43" xfId="8" applyFont="1" applyFill="1" applyBorder="1"/>
    <xf numFmtId="0" fontId="7" fillId="21" borderId="45" xfId="8" applyFont="1" applyFill="1" applyBorder="1" applyAlignment="1">
      <alignment horizontal="center"/>
    </xf>
    <xf numFmtId="0" fontId="7" fillId="21" borderId="1" xfId="8" applyFont="1" applyFill="1" applyBorder="1"/>
    <xf numFmtId="0" fontId="7" fillId="21" borderId="1" xfId="8" applyFont="1" applyFill="1" applyBorder="1" applyAlignment="1">
      <alignment horizontal="center"/>
    </xf>
    <xf numFmtId="0" fontId="7" fillId="22" borderId="49" xfId="0" applyFont="1" applyFill="1" applyBorder="1"/>
    <xf numFmtId="0" fontId="7" fillId="22" borderId="42" xfId="0" applyFont="1" applyFill="1" applyBorder="1"/>
    <xf numFmtId="0" fontId="2" fillId="21" borderId="51" xfId="0" applyFont="1" applyFill="1" applyBorder="1" applyAlignment="1">
      <alignment horizontal="center"/>
    </xf>
    <xf numFmtId="0" fontId="3" fillId="2" borderId="35" xfId="1" applyFont="1" applyBorder="1"/>
    <xf numFmtId="0" fontId="3" fillId="2" borderId="36" xfId="1" applyFont="1" applyBorder="1"/>
    <xf numFmtId="0" fontId="10" fillId="18" borderId="0" xfId="8" applyFill="1" applyBorder="1"/>
    <xf numFmtId="9" fontId="0" fillId="0" borderId="45" xfId="7" applyFont="1" applyBorder="1" applyAlignment="1">
      <alignment horizontal="center"/>
    </xf>
    <xf numFmtId="0" fontId="2" fillId="21" borderId="55" xfId="0" applyFont="1" applyFill="1" applyBorder="1" applyAlignment="1">
      <alignment horizontal="center"/>
    </xf>
    <xf numFmtId="0" fontId="0" fillId="21" borderId="54" xfId="0" applyFill="1" applyBorder="1"/>
    <xf numFmtId="0" fontId="0" fillId="19" borderId="0" xfId="0" applyFill="1"/>
    <xf numFmtId="0" fontId="0" fillId="18" borderId="0" xfId="0" applyFill="1"/>
    <xf numFmtId="0" fontId="13" fillId="23" borderId="57" xfId="9" applyAlignment="1">
      <alignment horizontal="center"/>
    </xf>
    <xf numFmtId="0" fontId="13" fillId="23" borderId="57" xfId="9" applyAlignment="1">
      <alignment horizontal="center" wrapText="1"/>
    </xf>
    <xf numFmtId="0" fontId="2" fillId="21" borderId="58" xfId="0" applyFont="1" applyFill="1" applyBorder="1"/>
    <xf numFmtId="1" fontId="0" fillId="0" borderId="15" xfId="7" applyNumberFormat="1" applyFont="1" applyBorder="1" applyAlignment="1">
      <alignment horizontal="center"/>
    </xf>
    <xf numFmtId="1" fontId="0" fillId="0" borderId="59" xfId="7" applyNumberFormat="1" applyFont="1" applyBorder="1" applyAlignment="1">
      <alignment horizontal="center"/>
    </xf>
    <xf numFmtId="0" fontId="0" fillId="21" borderId="18" xfId="0" applyFill="1" applyBorder="1"/>
    <xf numFmtId="9" fontId="0" fillId="0" borderId="44" xfId="7" applyFont="1" applyBorder="1" applyAlignment="1">
      <alignment horizontal="center"/>
    </xf>
    <xf numFmtId="165" fontId="0" fillId="0" borderId="1" xfId="0" applyNumberFormat="1" applyBorder="1" applyAlignment="1">
      <alignment horizontal="center"/>
    </xf>
    <xf numFmtId="165" fontId="0" fillId="0" borderId="14" xfId="0" applyNumberFormat="1" applyBorder="1" applyAlignment="1">
      <alignment horizontal="center"/>
    </xf>
    <xf numFmtId="165" fontId="0" fillId="0" borderId="56" xfId="0" applyNumberFormat="1" applyBorder="1" applyAlignment="1">
      <alignment horizontal="center"/>
    </xf>
    <xf numFmtId="167" fontId="0" fillId="0" borderId="41" xfId="7" applyNumberFormat="1" applyFont="1" applyBorder="1" applyAlignment="1">
      <alignment horizontal="center"/>
    </xf>
    <xf numFmtId="167" fontId="0" fillId="0" borderId="45" xfId="7" applyNumberFormat="1" applyFont="1" applyBorder="1" applyAlignment="1">
      <alignment horizontal="center"/>
    </xf>
    <xf numFmtId="0" fontId="2" fillId="17" borderId="52" xfId="0" applyFont="1" applyFill="1" applyBorder="1" applyAlignment="1">
      <alignment horizontal="center"/>
    </xf>
    <xf numFmtId="0" fontId="2" fillId="17" borderId="53" xfId="0" applyFont="1" applyFill="1" applyBorder="1" applyAlignment="1">
      <alignment horizontal="center"/>
    </xf>
    <xf numFmtId="9" fontId="0" fillId="0" borderId="1" xfId="7" applyFont="1" applyBorder="1" applyAlignment="1">
      <alignment horizontal="center"/>
    </xf>
    <xf numFmtId="1" fontId="13" fillId="23" borderId="57" xfId="9" applyNumberFormat="1" applyAlignment="1">
      <alignment horizontal="center"/>
    </xf>
    <xf numFmtId="1" fontId="14" fillId="23" borderId="57" xfId="9" applyNumberFormat="1" applyFont="1" applyAlignment="1">
      <alignment horizontal="center"/>
    </xf>
    <xf numFmtId="9" fontId="10" fillId="18" borderId="1" xfId="8" applyNumberFormat="1" applyFill="1" applyBorder="1" applyAlignment="1">
      <alignment horizontal="left"/>
    </xf>
    <xf numFmtId="0" fontId="0" fillId="0" borderId="27" xfId="0" applyNumberFormat="1" applyBorder="1"/>
    <xf numFmtId="0" fontId="0" fillId="0" borderId="28" xfId="0" applyNumberFormat="1" applyBorder="1"/>
    <xf numFmtId="0" fontId="0" fillId="0" borderId="29" xfId="0" applyNumberFormat="1" applyBorder="1"/>
    <xf numFmtId="0" fontId="0" fillId="0" borderId="15"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 xfId="0" applyBorder="1" applyAlignment="1">
      <alignment horizontal="left"/>
    </xf>
    <xf numFmtId="0" fontId="0" fillId="24" borderId="0" xfId="0" applyFill="1"/>
    <xf numFmtId="0" fontId="1" fillId="0" borderId="0" xfId="1" applyFill="1"/>
    <xf numFmtId="0" fontId="0" fillId="0" borderId="2" xfId="2" applyFont="1" applyFill="1"/>
    <xf numFmtId="0" fontId="1" fillId="24" borderId="0" xfId="1" applyFill="1"/>
    <xf numFmtId="0" fontId="0" fillId="24" borderId="2" xfId="2" applyFont="1" applyFill="1"/>
    <xf numFmtId="0" fontId="2" fillId="4" borderId="2" xfId="2" applyFont="1" applyAlignment="1">
      <alignment wrapText="1"/>
    </xf>
    <xf numFmtId="2" fontId="0" fillId="0" borderId="1" xfId="0" applyNumberFormat="1" applyBorder="1"/>
    <xf numFmtId="2" fontId="0" fillId="0" borderId="32" xfId="0" applyNumberFormat="1" applyBorder="1"/>
    <xf numFmtId="2" fontId="0" fillId="0" borderId="31" xfId="0" applyNumberFormat="1" applyBorder="1"/>
    <xf numFmtId="2" fontId="0" fillId="0" borderId="33" xfId="0" applyNumberFormat="1" applyBorder="1"/>
    <xf numFmtId="2" fontId="0" fillId="0" borderId="30" xfId="0" applyNumberFormat="1" applyBorder="1"/>
    <xf numFmtId="0" fontId="2" fillId="24" borderId="1" xfId="0" applyFont="1" applyFill="1" applyBorder="1"/>
    <xf numFmtId="0" fontId="0" fillId="0" borderId="0" xfId="0" applyNumberFormat="1" applyBorder="1"/>
    <xf numFmtId="0" fontId="0" fillId="0" borderId="34" xfId="0" applyNumberFormat="1" applyBorder="1"/>
    <xf numFmtId="0" fontId="0" fillId="0" borderId="26" xfId="0" applyNumberFormat="1" applyBorder="1"/>
    <xf numFmtId="0" fontId="0" fillId="0" borderId="15" xfId="0" applyBorder="1" applyAlignment="1">
      <alignment horizontal="left" indent="1"/>
    </xf>
    <xf numFmtId="0" fontId="0" fillId="0" borderId="17" xfId="0" applyBorder="1" applyAlignment="1">
      <alignment horizontal="left" indent="1"/>
    </xf>
    <xf numFmtId="0" fontId="0" fillId="0" borderId="16" xfId="0" applyBorder="1" applyAlignment="1">
      <alignment horizontal="left" indent="1"/>
    </xf>
    <xf numFmtId="0" fontId="0" fillId="0" borderId="1" xfId="0" applyBorder="1" applyAlignment="1">
      <alignment horizontal="left" indent="1"/>
    </xf>
    <xf numFmtId="0" fontId="0" fillId="0" borderId="34" xfId="0" applyBorder="1"/>
    <xf numFmtId="1" fontId="2" fillId="0" borderId="59" xfId="0" applyNumberFormat="1" applyFont="1" applyBorder="1" applyAlignment="1">
      <alignment horizontal="center"/>
    </xf>
    <xf numFmtId="1" fontId="13" fillId="23" borderId="60" xfId="9" applyNumberFormat="1" applyBorder="1" applyAlignment="1">
      <alignment horizontal="center"/>
    </xf>
    <xf numFmtId="0" fontId="0" fillId="4" borderId="1" xfId="2" applyFont="1" applyBorder="1" applyAlignment="1">
      <alignment horizontal="center"/>
    </xf>
    <xf numFmtId="0" fontId="2" fillId="25" borderId="1" xfId="0" applyFont="1" applyFill="1" applyBorder="1"/>
    <xf numFmtId="0" fontId="3" fillId="2" borderId="9" xfId="1" applyFont="1" applyBorder="1" applyAlignment="1">
      <alignment horizontal="center"/>
    </xf>
    <xf numFmtId="0" fontId="3" fillId="2" borderId="10" xfId="1" applyFont="1" applyBorder="1" applyAlignment="1">
      <alignment horizontal="center"/>
    </xf>
    <xf numFmtId="0" fontId="3" fillId="2" borderId="11" xfId="1" applyFont="1" applyBorder="1" applyAlignment="1">
      <alignment horizontal="center"/>
    </xf>
    <xf numFmtId="0" fontId="3" fillId="2" borderId="3" xfId="1" applyFont="1" applyBorder="1" applyAlignment="1">
      <alignment horizontal="center"/>
    </xf>
    <xf numFmtId="0" fontId="3" fillId="2" borderId="4" xfId="1" applyFont="1" applyBorder="1" applyAlignment="1">
      <alignment horizontal="center"/>
    </xf>
    <xf numFmtId="0" fontId="3" fillId="2" borderId="5" xfId="1" applyFont="1" applyBorder="1" applyAlignment="1">
      <alignment horizontal="center"/>
    </xf>
    <xf numFmtId="0" fontId="2" fillId="16" borderId="1" xfId="0" applyFont="1" applyFill="1" applyBorder="1" applyAlignment="1">
      <alignment horizontal="center"/>
    </xf>
    <xf numFmtId="0" fontId="2" fillId="16" borderId="12" xfId="0" applyFont="1" applyFill="1" applyBorder="1" applyAlignment="1">
      <alignment horizontal="center" wrapText="1"/>
    </xf>
    <xf numFmtId="0" fontId="2" fillId="16" borderId="13" xfId="0" applyFont="1" applyFill="1" applyBorder="1" applyAlignment="1">
      <alignment horizontal="center"/>
    </xf>
    <xf numFmtId="0" fontId="2" fillId="16" borderId="14" xfId="0" applyFont="1" applyFill="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2" fillId="16" borderId="12" xfId="0" applyFont="1" applyFill="1" applyBorder="1" applyAlignment="1">
      <alignment horizontal="center"/>
    </xf>
    <xf numFmtId="0" fontId="11" fillId="19" borderId="46" xfId="8" applyFont="1" applyFill="1" applyBorder="1" applyAlignment="1">
      <alignment horizontal="center"/>
    </xf>
    <xf numFmtId="0" fontId="11" fillId="19" borderId="47" xfId="8" applyFont="1" applyFill="1" applyBorder="1" applyAlignment="1">
      <alignment horizontal="center"/>
    </xf>
    <xf numFmtId="0" fontId="11" fillId="19" borderId="48" xfId="8" applyFont="1" applyFill="1" applyBorder="1" applyAlignment="1">
      <alignment horizontal="center"/>
    </xf>
    <xf numFmtId="0" fontId="11" fillId="19" borderId="20" xfId="8" applyFont="1" applyFill="1" applyBorder="1" applyAlignment="1">
      <alignment horizontal="center"/>
    </xf>
    <xf numFmtId="0" fontId="11" fillId="19" borderId="21" xfId="8" applyFont="1" applyFill="1" applyBorder="1" applyAlignment="1">
      <alignment horizontal="center"/>
    </xf>
    <xf numFmtId="0" fontId="11" fillId="19" borderId="22" xfId="8" applyFont="1" applyFill="1" applyBorder="1" applyAlignment="1">
      <alignment horizontal="center"/>
    </xf>
    <xf numFmtId="0" fontId="2" fillId="21" borderId="49" xfId="0" applyFont="1" applyFill="1" applyBorder="1" applyAlignment="1">
      <alignment horizontal="center"/>
    </xf>
    <xf numFmtId="0" fontId="2" fillId="21" borderId="51" xfId="0" applyFont="1" applyFill="1" applyBorder="1" applyAlignment="1">
      <alignment horizontal="center"/>
    </xf>
    <xf numFmtId="0" fontId="2" fillId="21" borderId="50" xfId="0" applyFont="1" applyFill="1" applyBorder="1" applyAlignment="1">
      <alignment horizontal="center"/>
    </xf>
    <xf numFmtId="0" fontId="2" fillId="21" borderId="38" xfId="0" applyFont="1" applyFill="1" applyBorder="1" applyAlignment="1">
      <alignment horizontal="center"/>
    </xf>
    <xf numFmtId="0" fontId="2" fillId="21" borderId="39" xfId="0" applyFont="1" applyFill="1" applyBorder="1" applyAlignment="1">
      <alignment horizontal="center"/>
    </xf>
    <xf numFmtId="0" fontId="2" fillId="21" borderId="40" xfId="0" applyFont="1" applyFill="1" applyBorder="1" applyAlignment="1">
      <alignment horizontal="center"/>
    </xf>
    <xf numFmtId="0" fontId="11" fillId="19" borderId="18" xfId="8" applyFont="1" applyFill="1" applyBorder="1" applyAlignment="1">
      <alignment horizontal="center"/>
    </xf>
    <xf numFmtId="0" fontId="11" fillId="19" borderId="0" xfId="8" applyFont="1" applyFill="1" applyBorder="1" applyAlignment="1">
      <alignment horizontal="center"/>
    </xf>
    <xf numFmtId="0" fontId="10" fillId="21" borderId="1" xfId="8" applyFill="1" applyBorder="1" applyAlignment="1">
      <alignment horizontal="center"/>
    </xf>
    <xf numFmtId="0" fontId="10" fillId="21" borderId="49" xfId="8" applyFill="1" applyBorder="1" applyAlignment="1">
      <alignment horizontal="center"/>
    </xf>
    <xf numFmtId="0" fontId="10" fillId="21" borderId="50" xfId="8" applyFill="1" applyBorder="1" applyAlignment="1">
      <alignment horizontal="center"/>
    </xf>
    <xf numFmtId="0" fontId="0" fillId="18" borderId="0" xfId="0" applyFill="1"/>
    <xf numFmtId="0" fontId="14" fillId="23" borderId="57" xfId="9" applyFont="1" applyAlignment="1">
      <alignment horizontal="center" wrapText="1"/>
    </xf>
  </cellXfs>
  <cellStyles count="10">
    <cellStyle name="20% - Accent6" xfId="3" builtinId="50"/>
    <cellStyle name="40% - Accent1" xfId="4" builtinId="31"/>
    <cellStyle name="Accent3" xfId="5" builtinId="37"/>
    <cellStyle name="Accent5" xfId="6" builtinId="45"/>
    <cellStyle name="Input" xfId="9" builtinId="20"/>
    <cellStyle name="Neutral" xfId="1" builtinId="28"/>
    <cellStyle name="Normal" xfId="0" builtinId="0"/>
    <cellStyle name="Normal 2" xfId="8" xr:uid="{F6FD8E1C-2E25-4A98-9C10-A456F421C727}"/>
    <cellStyle name="Note" xfId="2" builtinId="10"/>
    <cellStyle name="Percent" xfId="7" builtinId="5"/>
  </cellStyles>
  <dxfs count="100">
    <dxf>
      <border>
        <right style="thin">
          <color indexed="64"/>
        </right>
      </border>
    </dxf>
    <dxf>
      <border>
        <right style="thin">
          <color indexed="64"/>
        </right>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dxf>
    <dxf>
      <alignment wrapText="1"/>
    </dxf>
    <dxf>
      <numFmt numFmtId="165" formatCode="0.0"/>
    </dxf>
  </dxfs>
  <tableStyles count="0" defaultTableStyle="TableStyleMedium2" defaultPivotStyle="PivotStyleLight16"/>
  <colors>
    <mruColors>
      <color rgb="FF69FFAD"/>
      <color rgb="FF000000"/>
      <color rgb="FFFFC000"/>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2025 C&amp;C Min Plan vs Actuals (Repair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OTD!$R$8</c:f>
              <c:strCache>
                <c:ptCount val="1"/>
                <c:pt idx="0">
                  <c:v> Min Plan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OTD!$S$7:$AD$7</c15:sqref>
                  </c15:fullRef>
                </c:ext>
              </c:extLst>
              <c:f>OTD!$S$7:$Y$7</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OTD!$S$8:$AD$8</c15:sqref>
                  </c15:fullRef>
                </c:ext>
              </c:extLst>
              <c:f>OTD!$S$8:$Y$8</c:f>
              <c:numCache>
                <c:formatCode>0</c:formatCode>
                <c:ptCount val="7"/>
                <c:pt idx="0">
                  <c:v>45</c:v>
                </c:pt>
                <c:pt idx="1">
                  <c:v>38</c:v>
                </c:pt>
                <c:pt idx="2">
                  <c:v>38</c:v>
                </c:pt>
                <c:pt idx="3">
                  <c:v>37</c:v>
                </c:pt>
                <c:pt idx="4">
                  <c:v>39</c:v>
                </c:pt>
                <c:pt idx="5">
                  <c:v>40</c:v>
                </c:pt>
                <c:pt idx="6">
                  <c:v>33</c:v>
                </c:pt>
              </c:numCache>
            </c:numRef>
          </c:val>
          <c:smooth val="0"/>
          <c:extLst>
            <c:ext xmlns:c16="http://schemas.microsoft.com/office/drawing/2014/chart" uri="{C3380CC4-5D6E-409C-BE32-E72D297353CC}">
              <c16:uniqueId val="{00000000-3A86-4E59-84D1-D47BC365AA6A}"/>
            </c:ext>
          </c:extLst>
        </c:ser>
        <c:ser>
          <c:idx val="1"/>
          <c:order val="1"/>
          <c:tx>
            <c:strRef>
              <c:f>OTD!$R$9</c:f>
              <c:strCache>
                <c:ptCount val="1"/>
                <c:pt idx="0">
                  <c:v>Actual Tasks</c:v>
                </c:pt>
              </c:strCache>
            </c:strRef>
          </c:tx>
          <c:spPr>
            <a:ln w="31750" cap="rnd">
              <a:solidFill>
                <a:srgbClr val="00B0F0"/>
              </a:solidFill>
              <a:round/>
            </a:ln>
            <a:effectLst/>
          </c:spPr>
          <c:marker>
            <c:symbol val="circle"/>
            <c:size val="17"/>
            <c:spPr>
              <a:solidFill>
                <a:srgbClr val="00B0F0"/>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OTD!$S$7:$AD$7</c15:sqref>
                  </c15:fullRef>
                </c:ext>
              </c:extLst>
              <c:f>OTD!$S$7:$Y$7</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OTD!$S$9:$AD$9</c15:sqref>
                  </c15:fullRef>
                </c:ext>
              </c:extLst>
              <c:f>OTD!$S$9:$Y$9</c:f>
              <c:numCache>
                <c:formatCode>0</c:formatCode>
                <c:ptCount val="7"/>
                <c:pt idx="0">
                  <c:v>48</c:v>
                </c:pt>
                <c:pt idx="1">
                  <c:v>57</c:v>
                </c:pt>
                <c:pt idx="2">
                  <c:v>38</c:v>
                </c:pt>
                <c:pt idx="3">
                  <c:v>42</c:v>
                </c:pt>
                <c:pt idx="4">
                  <c:v>35</c:v>
                </c:pt>
                <c:pt idx="5">
                  <c:v>45</c:v>
                </c:pt>
                <c:pt idx="6">
                  <c:v>43</c:v>
                </c:pt>
              </c:numCache>
            </c:numRef>
          </c:val>
          <c:smooth val="0"/>
          <c:extLst>
            <c:ext xmlns:c16="http://schemas.microsoft.com/office/drawing/2014/chart" uri="{C3380CC4-5D6E-409C-BE32-E72D297353CC}">
              <c16:uniqueId val="{00000001-3A86-4E59-84D1-D47BC365AA6A}"/>
            </c:ext>
          </c:extLst>
        </c:ser>
        <c:dLbls>
          <c:dLblPos val="ctr"/>
          <c:showLegendKey val="0"/>
          <c:showVal val="1"/>
          <c:showCatName val="0"/>
          <c:showSerName val="0"/>
          <c:showPercent val="0"/>
          <c:showBubbleSize val="0"/>
        </c:dLbls>
        <c:hiLowLines>
          <c:spPr>
            <a:ln w="9525">
              <a:solidFill>
                <a:schemeClr val="dk1">
                  <a:lumMod val="35000"/>
                  <a:lumOff val="65000"/>
                </a:schemeClr>
              </a:solidFill>
              <a:prstDash val="dash"/>
            </a:ln>
            <a:effectLst/>
          </c:spPr>
        </c:hiLowLines>
        <c:marker val="1"/>
        <c:smooth val="0"/>
        <c:axId val="1260009152"/>
        <c:axId val="1260003032"/>
      </c:lineChart>
      <c:catAx>
        <c:axId val="12600091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0003032"/>
        <c:crosses val="autoZero"/>
        <c:auto val="1"/>
        <c:lblAlgn val="ctr"/>
        <c:lblOffset val="100"/>
        <c:noMultiLvlLbl val="0"/>
      </c:catAx>
      <c:valAx>
        <c:axId val="1260003032"/>
        <c:scaling>
          <c:orientation val="minMax"/>
        </c:scaling>
        <c:delete val="0"/>
        <c:axPos val="l"/>
        <c:majorGridlines>
          <c:spPr>
            <a:ln w="9525" cap="flat" cmpd="sng" algn="ctr">
              <a:solidFill>
                <a:schemeClr val="tx1">
                  <a:alpha val="5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000915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Cumulative Min Plan</a:t>
            </a:r>
            <a:r>
              <a:rPr lang="en-US" b="1" baseline="0"/>
              <a:t> vs Actuals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OTD!$R$14</c:f>
              <c:strCache>
                <c:ptCount val="1"/>
                <c:pt idx="0">
                  <c:v> Min Plan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OTD!$S$13:$AD$13</c15:sqref>
                  </c15:fullRef>
                </c:ext>
              </c:extLst>
              <c:f>OTD!$S$13:$Y$13</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OTD!$S$14:$AD$14</c15:sqref>
                  </c15:fullRef>
                </c:ext>
              </c:extLst>
              <c:f>OTD!$S$14:$Y$14</c:f>
              <c:numCache>
                <c:formatCode>0</c:formatCode>
                <c:ptCount val="7"/>
                <c:pt idx="0">
                  <c:v>45</c:v>
                </c:pt>
                <c:pt idx="1">
                  <c:v>83</c:v>
                </c:pt>
                <c:pt idx="2">
                  <c:v>121</c:v>
                </c:pt>
                <c:pt idx="3">
                  <c:v>158</c:v>
                </c:pt>
                <c:pt idx="4">
                  <c:v>197</c:v>
                </c:pt>
                <c:pt idx="5">
                  <c:v>237</c:v>
                </c:pt>
                <c:pt idx="6">
                  <c:v>270</c:v>
                </c:pt>
              </c:numCache>
            </c:numRef>
          </c:val>
          <c:extLst>
            <c:ext xmlns:c16="http://schemas.microsoft.com/office/drawing/2014/chart" uri="{C3380CC4-5D6E-409C-BE32-E72D297353CC}">
              <c16:uniqueId val="{00000000-7266-4951-AA3C-B4E284BB3898}"/>
            </c:ext>
          </c:extLst>
        </c:ser>
        <c:ser>
          <c:idx val="1"/>
          <c:order val="1"/>
          <c:tx>
            <c:strRef>
              <c:f>OTD!$R$15</c:f>
              <c:strCache>
                <c:ptCount val="1"/>
                <c:pt idx="0">
                  <c:v>Actual Tasks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OTD!$S$13:$AD$13</c15:sqref>
                  </c15:fullRef>
                </c:ext>
              </c:extLst>
              <c:f>OTD!$S$13:$Y$13</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OTD!$S$15:$AD$15</c15:sqref>
                  </c15:fullRef>
                </c:ext>
              </c:extLst>
              <c:f>OTD!$S$15:$Y$15</c:f>
              <c:numCache>
                <c:formatCode>0</c:formatCode>
                <c:ptCount val="7"/>
                <c:pt idx="0">
                  <c:v>48</c:v>
                </c:pt>
                <c:pt idx="1">
                  <c:v>105</c:v>
                </c:pt>
                <c:pt idx="2">
                  <c:v>143</c:v>
                </c:pt>
                <c:pt idx="3">
                  <c:v>185</c:v>
                </c:pt>
                <c:pt idx="4">
                  <c:v>220</c:v>
                </c:pt>
                <c:pt idx="5">
                  <c:v>265</c:v>
                </c:pt>
                <c:pt idx="6">
                  <c:v>308</c:v>
                </c:pt>
              </c:numCache>
            </c:numRef>
          </c:val>
          <c:extLst>
            <c:ext xmlns:c16="http://schemas.microsoft.com/office/drawing/2014/chart" uri="{C3380CC4-5D6E-409C-BE32-E72D297353CC}">
              <c16:uniqueId val="{00000001-7266-4951-AA3C-B4E284BB3898}"/>
            </c:ext>
          </c:extLst>
        </c:ser>
        <c:dLbls>
          <c:showLegendKey val="0"/>
          <c:showVal val="1"/>
          <c:showCatName val="0"/>
          <c:showSerName val="0"/>
          <c:showPercent val="0"/>
          <c:showBubbleSize val="0"/>
        </c:dLbls>
        <c:gapWidth val="142"/>
        <c:overlap val="-29"/>
        <c:axId val="1297488432"/>
        <c:axId val="1297487712"/>
      </c:barChart>
      <c:lineChart>
        <c:grouping val="standard"/>
        <c:varyColors val="0"/>
        <c:ser>
          <c:idx val="2"/>
          <c:order val="2"/>
          <c:tx>
            <c:strRef>
              <c:f>OTD!$R$16</c:f>
              <c:strCache>
                <c:ptCount val="1"/>
                <c:pt idx="0">
                  <c:v>% Complete</c:v>
                </c:pt>
              </c:strCache>
            </c:strRef>
          </c:tx>
          <c:spPr>
            <a:ln w="28575" cap="rnd">
              <a:solidFill>
                <a:schemeClr val="accent6"/>
              </a:solidFill>
              <a:round/>
            </a:ln>
            <a:effectLst/>
          </c:spPr>
          <c:marker>
            <c:symbol val="circle"/>
            <c:size val="5"/>
            <c:spPr>
              <a:solidFill>
                <a:schemeClr val="accent6"/>
              </a:solidFill>
              <a:ln w="9525">
                <a:solidFill>
                  <a:schemeClr val="tx1"/>
                </a:solidFill>
              </a:ln>
              <a:effectLst/>
            </c:spPr>
          </c:marker>
          <c:dLbls>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OTD!$S$13:$AD$13</c15:sqref>
                  </c15:fullRef>
                </c:ext>
              </c:extLst>
              <c:f>OTD!$S$13:$Y$13</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OTD!$S$16:$AD$16</c15:sqref>
                  </c15:fullRef>
                </c:ext>
              </c:extLst>
              <c:f>OTD!$S$16:$Y$16</c:f>
              <c:numCache>
                <c:formatCode>0%</c:formatCode>
                <c:ptCount val="7"/>
                <c:pt idx="0">
                  <c:v>0.10457516339869281</c:v>
                </c:pt>
                <c:pt idx="1">
                  <c:v>0.22875816993464052</c:v>
                </c:pt>
                <c:pt idx="2">
                  <c:v>0.31154684095860569</c:v>
                </c:pt>
                <c:pt idx="3">
                  <c:v>0.40305010893246185</c:v>
                </c:pt>
                <c:pt idx="4">
                  <c:v>0.47930283224400871</c:v>
                </c:pt>
                <c:pt idx="5">
                  <c:v>0.57734204793028321</c:v>
                </c:pt>
                <c:pt idx="6">
                  <c:v>0.67102396514161222</c:v>
                </c:pt>
              </c:numCache>
            </c:numRef>
          </c:val>
          <c:smooth val="0"/>
          <c:extLst>
            <c:ext xmlns:c16="http://schemas.microsoft.com/office/drawing/2014/chart" uri="{C3380CC4-5D6E-409C-BE32-E72D297353CC}">
              <c16:uniqueId val="{00000004-7266-4951-AA3C-B4E284BB3898}"/>
            </c:ext>
          </c:extLst>
        </c:ser>
        <c:dLbls>
          <c:showLegendKey val="0"/>
          <c:showVal val="1"/>
          <c:showCatName val="0"/>
          <c:showSerName val="0"/>
          <c:showPercent val="0"/>
          <c:showBubbleSize val="0"/>
        </c:dLbls>
        <c:marker val="1"/>
        <c:smooth val="0"/>
        <c:axId val="1297488792"/>
        <c:axId val="1297489512"/>
      </c:lineChart>
      <c:catAx>
        <c:axId val="129748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7712"/>
        <c:crosses val="autoZero"/>
        <c:auto val="1"/>
        <c:lblAlgn val="ctr"/>
        <c:lblOffset val="100"/>
        <c:noMultiLvlLbl val="0"/>
      </c:catAx>
      <c:valAx>
        <c:axId val="1297487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8432"/>
        <c:crosses val="autoZero"/>
        <c:crossBetween val="between"/>
      </c:valAx>
      <c:valAx>
        <c:axId val="1297489512"/>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8792"/>
        <c:crosses val="max"/>
        <c:crossBetween val="between"/>
      </c:valAx>
      <c:catAx>
        <c:axId val="1297488792"/>
        <c:scaling>
          <c:orientation val="minMax"/>
        </c:scaling>
        <c:delete val="1"/>
        <c:axPos val="b"/>
        <c:numFmt formatCode="General" sourceLinked="1"/>
        <c:majorTickMark val="none"/>
        <c:minorTickMark val="none"/>
        <c:tickLblPos val="nextTo"/>
        <c:crossAx val="12974895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2025 C&amp;C Min Plan vs Actuals (Repair Count) - Including Outside 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OTD!$A$57</c:f>
              <c:strCache>
                <c:ptCount val="1"/>
                <c:pt idx="0">
                  <c:v> Min Plan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OTD!$B$56:$M$56</c15:sqref>
                  </c15:fullRef>
                </c:ext>
              </c:extLst>
              <c:f>OTD!$B$56:$H$56</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OTD!$B$57:$M$57</c15:sqref>
                  </c15:fullRef>
                </c:ext>
              </c:extLst>
              <c:f>OTD!$B$57:$H$57</c:f>
              <c:numCache>
                <c:formatCode>0</c:formatCode>
                <c:ptCount val="7"/>
                <c:pt idx="0">
                  <c:v>45</c:v>
                </c:pt>
                <c:pt idx="1">
                  <c:v>38</c:v>
                </c:pt>
                <c:pt idx="2">
                  <c:v>38</c:v>
                </c:pt>
                <c:pt idx="3">
                  <c:v>37</c:v>
                </c:pt>
                <c:pt idx="4">
                  <c:v>39</c:v>
                </c:pt>
                <c:pt idx="5">
                  <c:v>40</c:v>
                </c:pt>
                <c:pt idx="6">
                  <c:v>33</c:v>
                </c:pt>
              </c:numCache>
            </c:numRef>
          </c:val>
          <c:smooth val="0"/>
          <c:extLst>
            <c:ext xmlns:c16="http://schemas.microsoft.com/office/drawing/2014/chart" uri="{C3380CC4-5D6E-409C-BE32-E72D297353CC}">
              <c16:uniqueId val="{00000000-29F1-4D47-AA94-414AD9FC2E34}"/>
            </c:ext>
          </c:extLst>
        </c:ser>
        <c:ser>
          <c:idx val="1"/>
          <c:order val="1"/>
          <c:tx>
            <c:strRef>
              <c:f>OTD!$A$58</c:f>
              <c:strCache>
                <c:ptCount val="1"/>
                <c:pt idx="0">
                  <c:v>Actual Tasks</c:v>
                </c:pt>
              </c:strCache>
            </c:strRef>
          </c:tx>
          <c:spPr>
            <a:ln w="31750" cap="rnd">
              <a:solidFill>
                <a:srgbClr val="00B0F0"/>
              </a:solidFill>
              <a:round/>
            </a:ln>
            <a:effectLst/>
          </c:spPr>
          <c:marker>
            <c:symbol val="circle"/>
            <c:size val="17"/>
            <c:spPr>
              <a:solidFill>
                <a:srgbClr val="00B0F0"/>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OTD!$B$56:$M$56</c15:sqref>
                  </c15:fullRef>
                </c:ext>
              </c:extLst>
              <c:f>OTD!$B$56:$H$56</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OTD!$B$58:$M$58</c15:sqref>
                  </c15:fullRef>
                </c:ext>
              </c:extLst>
              <c:f>OTD!$B$58:$H$58</c:f>
              <c:numCache>
                <c:formatCode>0</c:formatCode>
                <c:ptCount val="7"/>
                <c:pt idx="0">
                  <c:v>54</c:v>
                </c:pt>
                <c:pt idx="1">
                  <c:v>60</c:v>
                </c:pt>
                <c:pt idx="2">
                  <c:v>44</c:v>
                </c:pt>
                <c:pt idx="3">
                  <c:v>51</c:v>
                </c:pt>
                <c:pt idx="4">
                  <c:v>44</c:v>
                </c:pt>
                <c:pt idx="5">
                  <c:v>52</c:v>
                </c:pt>
                <c:pt idx="6">
                  <c:v>44</c:v>
                </c:pt>
              </c:numCache>
            </c:numRef>
          </c:val>
          <c:smooth val="0"/>
          <c:extLst>
            <c:ext xmlns:c16="http://schemas.microsoft.com/office/drawing/2014/chart" uri="{C3380CC4-5D6E-409C-BE32-E72D297353CC}">
              <c16:uniqueId val="{00000001-29F1-4D47-AA94-414AD9FC2E34}"/>
            </c:ext>
          </c:extLst>
        </c:ser>
        <c:dLbls>
          <c:dLblPos val="ctr"/>
          <c:showLegendKey val="0"/>
          <c:showVal val="1"/>
          <c:showCatName val="0"/>
          <c:showSerName val="0"/>
          <c:showPercent val="0"/>
          <c:showBubbleSize val="0"/>
        </c:dLbls>
        <c:hiLowLines>
          <c:spPr>
            <a:ln w="9525">
              <a:solidFill>
                <a:schemeClr val="dk1">
                  <a:lumMod val="35000"/>
                  <a:lumOff val="65000"/>
                </a:schemeClr>
              </a:solidFill>
              <a:prstDash val="dash"/>
            </a:ln>
            <a:effectLst/>
          </c:spPr>
        </c:hiLowLines>
        <c:marker val="1"/>
        <c:smooth val="0"/>
        <c:axId val="1260009152"/>
        <c:axId val="1260003032"/>
      </c:lineChart>
      <c:catAx>
        <c:axId val="12600091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0003032"/>
        <c:crosses val="autoZero"/>
        <c:auto val="1"/>
        <c:lblAlgn val="ctr"/>
        <c:lblOffset val="100"/>
        <c:noMultiLvlLbl val="0"/>
      </c:catAx>
      <c:valAx>
        <c:axId val="1260003032"/>
        <c:scaling>
          <c:orientation val="minMax"/>
        </c:scaling>
        <c:delete val="0"/>
        <c:axPos val="l"/>
        <c:majorGridlines>
          <c:spPr>
            <a:ln w="9525" cap="flat" cmpd="sng" algn="ctr">
              <a:solidFill>
                <a:schemeClr val="tx1">
                  <a:alpha val="5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000915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Cumulative Min Plan</a:t>
            </a:r>
            <a:r>
              <a:rPr lang="en-US" b="1" baseline="0"/>
              <a:t> vs Actuals - Including Outside Tasks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OTD!$A$63</c:f>
              <c:strCache>
                <c:ptCount val="1"/>
                <c:pt idx="0">
                  <c:v> Min Plan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OTD!$B$62:$M$62</c15:sqref>
                  </c15:fullRef>
                </c:ext>
              </c:extLst>
              <c:f>OTD!$B$62:$H$62</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OTD!$B$63:$M$63</c15:sqref>
                  </c15:fullRef>
                </c:ext>
              </c:extLst>
              <c:f>OTD!$B$63:$H$63</c:f>
              <c:numCache>
                <c:formatCode>0</c:formatCode>
                <c:ptCount val="7"/>
                <c:pt idx="0">
                  <c:v>45</c:v>
                </c:pt>
                <c:pt idx="1">
                  <c:v>83</c:v>
                </c:pt>
                <c:pt idx="2">
                  <c:v>121</c:v>
                </c:pt>
                <c:pt idx="3">
                  <c:v>158</c:v>
                </c:pt>
                <c:pt idx="4">
                  <c:v>197</c:v>
                </c:pt>
                <c:pt idx="5">
                  <c:v>237</c:v>
                </c:pt>
                <c:pt idx="6">
                  <c:v>270</c:v>
                </c:pt>
              </c:numCache>
            </c:numRef>
          </c:val>
          <c:extLst>
            <c:ext xmlns:c16="http://schemas.microsoft.com/office/drawing/2014/chart" uri="{C3380CC4-5D6E-409C-BE32-E72D297353CC}">
              <c16:uniqueId val="{00000000-C7CD-4686-B646-547A6F87DD79}"/>
            </c:ext>
          </c:extLst>
        </c:ser>
        <c:ser>
          <c:idx val="1"/>
          <c:order val="1"/>
          <c:tx>
            <c:strRef>
              <c:f>OTD!$A$64</c:f>
              <c:strCache>
                <c:ptCount val="1"/>
                <c:pt idx="0">
                  <c:v>Actual Tasks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OTD!$B$62:$M$62</c15:sqref>
                  </c15:fullRef>
                </c:ext>
              </c:extLst>
              <c:f>OTD!$B$62:$H$62</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OTD!$B$64:$M$64</c15:sqref>
                  </c15:fullRef>
                </c:ext>
              </c:extLst>
              <c:f>OTD!$B$64:$H$64</c:f>
              <c:numCache>
                <c:formatCode>0</c:formatCode>
                <c:ptCount val="7"/>
                <c:pt idx="0">
                  <c:v>54</c:v>
                </c:pt>
                <c:pt idx="1">
                  <c:v>114</c:v>
                </c:pt>
                <c:pt idx="2">
                  <c:v>158</c:v>
                </c:pt>
                <c:pt idx="3">
                  <c:v>209</c:v>
                </c:pt>
                <c:pt idx="4">
                  <c:v>253</c:v>
                </c:pt>
                <c:pt idx="5">
                  <c:v>305</c:v>
                </c:pt>
                <c:pt idx="6">
                  <c:v>349</c:v>
                </c:pt>
              </c:numCache>
            </c:numRef>
          </c:val>
          <c:extLst>
            <c:ext xmlns:c16="http://schemas.microsoft.com/office/drawing/2014/chart" uri="{C3380CC4-5D6E-409C-BE32-E72D297353CC}">
              <c16:uniqueId val="{00000001-C7CD-4686-B646-547A6F87DD79}"/>
            </c:ext>
          </c:extLst>
        </c:ser>
        <c:dLbls>
          <c:showLegendKey val="0"/>
          <c:showVal val="1"/>
          <c:showCatName val="0"/>
          <c:showSerName val="0"/>
          <c:showPercent val="0"/>
          <c:showBubbleSize val="0"/>
        </c:dLbls>
        <c:gapWidth val="142"/>
        <c:overlap val="-29"/>
        <c:axId val="1297488432"/>
        <c:axId val="1297487712"/>
      </c:barChart>
      <c:lineChart>
        <c:grouping val="standard"/>
        <c:varyColors val="0"/>
        <c:ser>
          <c:idx val="2"/>
          <c:order val="2"/>
          <c:tx>
            <c:strRef>
              <c:f>OTD!$A$65</c:f>
              <c:strCache>
                <c:ptCount val="1"/>
                <c:pt idx="0">
                  <c:v>% Complete</c:v>
                </c:pt>
              </c:strCache>
            </c:strRef>
          </c:tx>
          <c:spPr>
            <a:ln w="28575" cap="rnd">
              <a:solidFill>
                <a:schemeClr val="accent6"/>
              </a:solidFill>
              <a:round/>
            </a:ln>
            <a:effectLst/>
          </c:spPr>
          <c:marker>
            <c:symbol val="circle"/>
            <c:size val="5"/>
            <c:spPr>
              <a:solidFill>
                <a:schemeClr val="accent6"/>
              </a:solidFill>
              <a:ln w="9525">
                <a:solidFill>
                  <a:schemeClr val="tx1"/>
                </a:solidFill>
              </a:ln>
              <a:effectLst/>
            </c:spPr>
          </c:marker>
          <c:dLbls>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OTD!$B$62:$M$62</c15:sqref>
                  </c15:fullRef>
                </c:ext>
              </c:extLst>
              <c:f>OTD!$B$62:$H$62</c:f>
              <c:strCache>
                <c:ptCount val="7"/>
                <c:pt idx="0">
                  <c:v>Jan</c:v>
                </c:pt>
                <c:pt idx="1">
                  <c:v>Feb</c:v>
                </c:pt>
                <c:pt idx="2">
                  <c:v>Mar</c:v>
                </c:pt>
                <c:pt idx="3">
                  <c:v>Apr</c:v>
                </c:pt>
                <c:pt idx="4">
                  <c:v>May</c:v>
                </c:pt>
                <c:pt idx="5">
                  <c:v>Jun</c:v>
                </c:pt>
                <c:pt idx="6">
                  <c:v>July</c:v>
                </c:pt>
              </c:strCache>
            </c:strRef>
          </c:cat>
          <c:val>
            <c:numRef>
              <c:extLst>
                <c:ext xmlns:c15="http://schemas.microsoft.com/office/drawing/2012/chart" uri="{02D57815-91ED-43cb-92C2-25804820EDAC}">
                  <c15:fullRef>
                    <c15:sqref>OTD!$B$65:$M$65</c15:sqref>
                  </c15:fullRef>
                </c:ext>
              </c:extLst>
              <c:f>OTD!$B$65:$H$65</c:f>
              <c:numCache>
                <c:formatCode>0%</c:formatCode>
                <c:ptCount val="7"/>
                <c:pt idx="0">
                  <c:v>0.11764705882352941</c:v>
                </c:pt>
                <c:pt idx="1">
                  <c:v>0.24836601307189543</c:v>
                </c:pt>
                <c:pt idx="2">
                  <c:v>0.34422657952069718</c:v>
                </c:pt>
                <c:pt idx="3">
                  <c:v>0.45533769063180829</c:v>
                </c:pt>
                <c:pt idx="4">
                  <c:v>0.55119825708060999</c:v>
                </c:pt>
                <c:pt idx="5">
                  <c:v>0.66448801742919394</c:v>
                </c:pt>
                <c:pt idx="6">
                  <c:v>0.76034858387799564</c:v>
                </c:pt>
              </c:numCache>
            </c:numRef>
          </c:val>
          <c:smooth val="0"/>
          <c:extLst>
            <c:ext xmlns:c16="http://schemas.microsoft.com/office/drawing/2014/chart" uri="{C3380CC4-5D6E-409C-BE32-E72D297353CC}">
              <c16:uniqueId val="{00000002-C7CD-4686-B646-547A6F87DD79}"/>
            </c:ext>
          </c:extLst>
        </c:ser>
        <c:dLbls>
          <c:showLegendKey val="0"/>
          <c:showVal val="1"/>
          <c:showCatName val="0"/>
          <c:showSerName val="0"/>
          <c:showPercent val="0"/>
          <c:showBubbleSize val="0"/>
        </c:dLbls>
        <c:marker val="1"/>
        <c:smooth val="0"/>
        <c:axId val="1297488792"/>
        <c:axId val="1297489512"/>
      </c:lineChart>
      <c:catAx>
        <c:axId val="129748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7712"/>
        <c:crosses val="autoZero"/>
        <c:auto val="1"/>
        <c:lblAlgn val="ctr"/>
        <c:lblOffset val="100"/>
        <c:noMultiLvlLbl val="0"/>
      </c:catAx>
      <c:valAx>
        <c:axId val="1297487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8432"/>
        <c:crosses val="autoZero"/>
        <c:crossBetween val="between"/>
      </c:valAx>
      <c:valAx>
        <c:axId val="1297489512"/>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88792"/>
        <c:crosses val="max"/>
        <c:crossBetween val="between"/>
      </c:valAx>
      <c:catAx>
        <c:axId val="1297488792"/>
        <c:scaling>
          <c:orientation val="minMax"/>
        </c:scaling>
        <c:delete val="1"/>
        <c:axPos val="b"/>
        <c:numFmt formatCode="General" sourceLinked="1"/>
        <c:majorTickMark val="none"/>
        <c:minorTickMark val="none"/>
        <c:tickLblPos val="nextTo"/>
        <c:crossAx val="12974895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rgbClr val="00B050"/>
              </a:solidFill>
              <a:ln w="19050">
                <a:solidFill>
                  <a:srgbClr val="00B050"/>
                </a:solidFill>
              </a:ln>
              <a:effectLst/>
            </c:spPr>
            <c:extLst>
              <c:ext xmlns:c16="http://schemas.microsoft.com/office/drawing/2014/chart" uri="{C3380CC4-5D6E-409C-BE32-E72D297353CC}">
                <c16:uniqueId val="{00000001-C55E-4407-8C1F-C8E80FC2A363}"/>
              </c:ext>
            </c:extLst>
          </c:dPt>
          <c:dPt>
            <c:idx val="1"/>
            <c:bubble3D val="0"/>
            <c:spPr>
              <a:solidFill>
                <a:srgbClr val="00B050">
                  <a:alpha val="25000"/>
                </a:srgbClr>
              </a:solidFill>
              <a:ln w="19050">
                <a:solidFill>
                  <a:schemeClr val="lt1"/>
                </a:solidFill>
              </a:ln>
              <a:effectLst/>
            </c:spPr>
            <c:extLst>
              <c:ext xmlns:c16="http://schemas.microsoft.com/office/drawing/2014/chart" uri="{C3380CC4-5D6E-409C-BE32-E72D297353CC}">
                <c16:uniqueId val="{00000003-C55E-4407-8C1F-C8E80FC2A363}"/>
              </c:ext>
            </c:extLst>
          </c:dPt>
          <c:dPt>
            <c:idx val="2"/>
            <c:bubble3D val="0"/>
            <c:spPr>
              <a:noFill/>
              <a:ln w="19050">
                <a:noFill/>
              </a:ln>
              <a:effectLst/>
            </c:spPr>
            <c:extLst>
              <c:ext xmlns:c16="http://schemas.microsoft.com/office/drawing/2014/chart" uri="{C3380CC4-5D6E-409C-BE32-E72D297353CC}">
                <c16:uniqueId val="{00000005-C55E-4407-8C1F-C8E80FC2A363}"/>
              </c:ext>
            </c:extLst>
          </c:dPt>
          <c:dLbls>
            <c:dLbl>
              <c:idx val="2"/>
              <c:delete val="1"/>
              <c:extLst>
                <c:ext xmlns:c15="http://schemas.microsoft.com/office/drawing/2012/chart" uri="{CE6537A1-D6FC-4f65-9D91-7224C49458BB}"/>
                <c:ext xmlns:c16="http://schemas.microsoft.com/office/drawing/2014/chart" uri="{C3380CC4-5D6E-409C-BE32-E72D297353CC}">
                  <c16:uniqueId val="{00000005-C55E-4407-8C1F-C8E80FC2A3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3"/>
            </c:numLit>
          </c:cat>
          <c:val>
            <c:numLit>
              <c:formatCode>General</c:formatCode>
              <c:ptCount val="3"/>
            </c:numLit>
          </c:val>
          <c:extLst>
            <c:ext xmlns:c16="http://schemas.microsoft.com/office/drawing/2014/chart" uri="{C3380CC4-5D6E-409C-BE32-E72D297353CC}">
              <c16:uniqueId val="{00000006-C55E-4407-8C1F-C8E80FC2A363}"/>
            </c:ext>
          </c:extLst>
        </c:ser>
        <c:dLbls>
          <c:showLegendKey val="0"/>
          <c:showVal val="1"/>
          <c:showCatName val="0"/>
          <c:showSerName val="0"/>
          <c:showPercent val="0"/>
          <c:showBubbleSize val="0"/>
          <c:showLeaderLines val="1"/>
        </c:dLbls>
        <c:firstSliceAng val="27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C&amp;C</a:t>
            </a:r>
            <a:r>
              <a:rPr lang="en-US" baseline="0"/>
              <a:t> YTD Deliveries by Wire Subtype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PerformaceCenter!$E$18</c:f>
              <c:strCache>
                <c:ptCount val="1"/>
                <c:pt idx="0">
                  <c:v>Complete</c:v>
                </c:pt>
              </c:strCache>
            </c:strRef>
          </c:tx>
          <c:dPt>
            <c:idx val="0"/>
            <c:bubble3D val="0"/>
            <c:spPr>
              <a:solidFill>
                <a:schemeClr val="accent1">
                  <a:lumMod val="5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FD-47B2-B7AB-5E3F7FADED1E}"/>
              </c:ext>
            </c:extLst>
          </c:dPt>
          <c:dPt>
            <c:idx val="1"/>
            <c:bubble3D val="0"/>
            <c:spPr>
              <a:solidFill>
                <a:schemeClr val="accent2">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FD-47B2-B7AB-5E3F7FADED1E}"/>
              </c:ext>
            </c:extLst>
          </c:dPt>
          <c:dPt>
            <c:idx val="2"/>
            <c:bubble3D val="0"/>
            <c:spPr>
              <a:solidFill>
                <a:srgbClr val="00B05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FD-47B2-B7AB-5E3F7FADED1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FD-47B2-B7AB-5E3F7FADED1E}"/>
              </c:ext>
            </c:extLst>
          </c:dPt>
          <c:dLbls>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6="http://schemas.microsoft.com/office/drawing/2014/chart" uri="{C3380CC4-5D6E-409C-BE32-E72D297353CC}">
                  <c16:uniqueId val="{00000005-DDFD-47B2-B7AB-5E3F7FADED1E}"/>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6="http://schemas.microsoft.com/office/drawing/2014/chart" uri="{C3380CC4-5D6E-409C-BE32-E72D297353CC}">
                  <c16:uniqueId val="{00000007-DDFD-47B2-B7AB-5E3F7FADED1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PerformaceCenter!$D$19:$D$22</c:f>
              <c:strCache>
                <c:ptCount val="4"/>
                <c:pt idx="0">
                  <c:v>OTC</c:v>
                </c:pt>
                <c:pt idx="1">
                  <c:v>EM</c:v>
                </c:pt>
                <c:pt idx="2">
                  <c:v>MR</c:v>
                </c:pt>
                <c:pt idx="3">
                  <c:v>Discretionary</c:v>
                </c:pt>
              </c:strCache>
            </c:strRef>
          </c:cat>
          <c:val>
            <c:numRef>
              <c:f>PerformaceCenter!$E$19:$E$22</c:f>
              <c:numCache>
                <c:formatCode>General</c:formatCode>
                <c:ptCount val="4"/>
                <c:pt idx="0">
                  <c:v>270</c:v>
                </c:pt>
                <c:pt idx="1">
                  <c:v>60</c:v>
                </c:pt>
                <c:pt idx="2">
                  <c:v>11</c:v>
                </c:pt>
                <c:pt idx="3">
                  <c:v>11</c:v>
                </c:pt>
              </c:numCache>
            </c:numRef>
          </c:val>
          <c:extLst>
            <c:ext xmlns:c16="http://schemas.microsoft.com/office/drawing/2014/chart" uri="{C3380CC4-5D6E-409C-BE32-E72D297353CC}">
              <c16:uniqueId val="{00000008-DDFD-47B2-B7AB-5E3F7FADED1E}"/>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C&amp;C YTD Deliveries</a:t>
            </a:r>
            <a:r>
              <a:rPr lang="en-US" b="1" baseline="0">
                <a:solidFill>
                  <a:sysClr val="windowText" lastClr="000000"/>
                </a:solidFill>
              </a:rPr>
              <a:t> by Engine Program</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PerformaceCenter!$B$18</c:f>
              <c:strCache>
                <c:ptCount val="1"/>
                <c:pt idx="0">
                  <c:v>Delivered</c:v>
                </c:pt>
              </c:strCache>
            </c:strRef>
          </c:tx>
          <c:spPr>
            <a:solidFill>
              <a:schemeClr val="accent1">
                <a:lumMod val="50000"/>
              </a:schemeClr>
            </a:solidFill>
            <a:ln>
              <a:noFill/>
            </a:ln>
            <a:effectLst/>
          </c:spPr>
          <c:invertIfNegative val="0"/>
          <c:dPt>
            <c:idx val="10"/>
            <c:invertIfNegative val="0"/>
            <c:bubble3D val="0"/>
            <c:spPr>
              <a:solidFill>
                <a:schemeClr val="accent1">
                  <a:lumMod val="50000"/>
                </a:schemeClr>
              </a:solidFill>
              <a:ln>
                <a:noFill/>
              </a:ln>
              <a:effectLst/>
            </c:spPr>
            <c:extLst>
              <c:ext xmlns:c16="http://schemas.microsoft.com/office/drawing/2014/chart" uri="{C3380CC4-5D6E-409C-BE32-E72D297353CC}">
                <c16:uniqueId val="{00000001-4E90-49CE-A10F-B5447DF323D6}"/>
              </c:ext>
            </c:extLst>
          </c:dPt>
          <c:dPt>
            <c:idx val="12"/>
            <c:invertIfNegative val="0"/>
            <c:bubble3D val="0"/>
            <c:spPr>
              <a:solidFill>
                <a:schemeClr val="accent4"/>
              </a:solidFill>
              <a:ln>
                <a:noFill/>
              </a:ln>
              <a:effectLst/>
            </c:spPr>
            <c:extLst>
              <c:ext xmlns:c16="http://schemas.microsoft.com/office/drawing/2014/chart" uri="{C3380CC4-5D6E-409C-BE32-E72D297353CC}">
                <c16:uniqueId val="{0000000E-15C0-474B-A5EA-E759E4B634D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PerformaceCenter!$A$19:$A$31</c:f>
              <c:strCache>
                <c:ptCount val="13"/>
                <c:pt idx="0">
                  <c:v>17-24K</c:v>
                </c:pt>
                <c:pt idx="1">
                  <c:v>24K</c:v>
                </c:pt>
                <c:pt idx="2">
                  <c:v>24K CIPT</c:v>
                </c:pt>
                <c:pt idx="3">
                  <c:v>30K</c:v>
                </c:pt>
                <c:pt idx="4">
                  <c:v>30K CIPT</c:v>
                </c:pt>
                <c:pt idx="5">
                  <c:v>AMO</c:v>
                </c:pt>
                <c:pt idx="6">
                  <c:v>F117</c:v>
                </c:pt>
                <c:pt idx="7">
                  <c:v>GP7000</c:v>
                </c:pt>
                <c:pt idx="8">
                  <c:v>OCE</c:v>
                </c:pt>
                <c:pt idx="9">
                  <c:v>PIP</c:v>
                </c:pt>
                <c:pt idx="10">
                  <c:v>V2500</c:v>
                </c:pt>
                <c:pt idx="12">
                  <c:v>Total YTD</c:v>
                </c:pt>
              </c:strCache>
            </c:strRef>
          </c:cat>
          <c:val>
            <c:numRef>
              <c:f>PerformaceCenter!$B$19:$B$31</c:f>
              <c:numCache>
                <c:formatCode>General</c:formatCode>
                <c:ptCount val="13"/>
                <c:pt idx="0">
                  <c:v>0</c:v>
                </c:pt>
                <c:pt idx="1">
                  <c:v>61</c:v>
                </c:pt>
                <c:pt idx="2">
                  <c:v>14</c:v>
                </c:pt>
                <c:pt idx="3">
                  <c:v>22</c:v>
                </c:pt>
                <c:pt idx="4">
                  <c:v>8</c:v>
                </c:pt>
                <c:pt idx="5">
                  <c:v>157</c:v>
                </c:pt>
                <c:pt idx="6">
                  <c:v>24</c:v>
                </c:pt>
                <c:pt idx="7">
                  <c:v>16</c:v>
                </c:pt>
                <c:pt idx="8">
                  <c:v>8</c:v>
                </c:pt>
                <c:pt idx="9">
                  <c:v>14</c:v>
                </c:pt>
                <c:pt idx="10">
                  <c:v>24</c:v>
                </c:pt>
                <c:pt idx="11">
                  <c:v>4</c:v>
                </c:pt>
                <c:pt idx="12">
                  <c:v>352</c:v>
                </c:pt>
              </c:numCache>
            </c:numRef>
          </c:val>
          <c:extLst>
            <c:ext xmlns:c16="http://schemas.microsoft.com/office/drawing/2014/chart" uri="{C3380CC4-5D6E-409C-BE32-E72D297353CC}">
              <c16:uniqueId val="{00000002-4E90-49CE-A10F-B5447DF323D6}"/>
            </c:ext>
          </c:extLst>
        </c:ser>
        <c:dLbls>
          <c:dLblPos val="outEnd"/>
          <c:showLegendKey val="0"/>
          <c:showVal val="1"/>
          <c:showCatName val="0"/>
          <c:showSerName val="0"/>
          <c:showPercent val="0"/>
          <c:showBubbleSize val="0"/>
        </c:dLbls>
        <c:gapWidth val="102"/>
        <c:overlap val="-26"/>
        <c:axId val="1285423856"/>
        <c:axId val="1285424576"/>
      </c:barChart>
      <c:catAx>
        <c:axId val="1285423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85424576"/>
        <c:crosses val="autoZero"/>
        <c:auto val="1"/>
        <c:lblAlgn val="ctr"/>
        <c:lblOffset val="100"/>
        <c:noMultiLvlLbl val="0"/>
      </c:catAx>
      <c:valAx>
        <c:axId val="1285424576"/>
        <c:scaling>
          <c:orientation val="minMax"/>
        </c:scaling>
        <c:delete val="0"/>
        <c:axPos val="l"/>
        <c:majorGridlines>
          <c:spPr>
            <a:ln w="9525" cap="flat" cmpd="sng" algn="ctr">
              <a:gradFill>
                <a:gsLst>
                  <a:gs pos="9000">
                    <a:schemeClr val="accent1">
                      <a:lumMod val="5000"/>
                      <a:lumOff val="95000"/>
                    </a:schemeClr>
                  </a:gs>
                  <a:gs pos="79000">
                    <a:schemeClr val="accent1">
                      <a:lumMod val="45000"/>
                      <a:lumOff val="55000"/>
                    </a:schemeClr>
                  </a:gs>
                  <a:gs pos="99000">
                    <a:schemeClr val="accent1">
                      <a:lumMod val="45000"/>
                      <a:lumOff val="55000"/>
                    </a:schemeClr>
                  </a:gs>
                </a:gsLst>
                <a:lin ang="5400000" scaled="1"/>
              </a:gra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EA Deliveries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42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b="1" i="0" u="none" strike="noStrike" kern="1200" baseline="0">
                <a:solidFill>
                  <a:sysClr val="windowText" lastClr="000000">
                    <a:lumMod val="75000"/>
                    <a:lumOff val="25000"/>
                  </a:sysClr>
                </a:solidFill>
                <a:effectLst/>
              </a:rPr>
              <a:t>2025 C&amp;C Min Plan vs Actuals</a:t>
            </a:r>
          </a:p>
          <a:p>
            <a:pPr>
              <a:defRPr sz="1600"/>
            </a:pPr>
            <a:r>
              <a:rPr lang="en-US" sz="1600" b="1" i="0" u="none" strike="noStrike" kern="1200" baseline="0">
                <a:solidFill>
                  <a:sysClr val="windowText" lastClr="000000">
                    <a:lumMod val="75000"/>
                    <a:lumOff val="25000"/>
                  </a:sysClr>
                </a:solidFill>
                <a:effectLst/>
              </a:rPr>
              <a:t>Repair Count</a:t>
            </a:r>
            <a:endParaRPr lang="en-US" sz="1600" b="1" i="0" u="none" strike="noStrike" kern="1200" baseline="0">
              <a:solidFill>
                <a:sysClr val="windowText" lastClr="000000">
                  <a:lumMod val="75000"/>
                  <a:lumOff val="25000"/>
                </a:sys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PerformaceCenter!$A$6</c:f>
              <c:strCache>
                <c:ptCount val="1"/>
                <c:pt idx="0">
                  <c:v>Min Plan</c:v>
                </c:pt>
              </c:strCache>
            </c:strRef>
          </c:tx>
          <c:spPr>
            <a:ln w="31750" cap="rnd">
              <a:solidFill>
                <a:schemeClr val="accent1">
                  <a:lumMod val="50000"/>
                </a:schemeClr>
              </a:solidFill>
              <a:round/>
            </a:ln>
            <a:effectLst/>
          </c:spPr>
          <c:marker>
            <c:symbol val="circle"/>
            <c:size val="17"/>
            <c:spPr>
              <a:solidFill>
                <a:schemeClr val="accent1">
                  <a:lumMod val="50000"/>
                </a:schemeClr>
              </a:solidFill>
              <a:ln>
                <a:solidFill>
                  <a:schemeClr val="accent1">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PerformaceCenter!$B$5:$M$5</c15:sqref>
                  </c15:fullRef>
                </c:ext>
              </c:extLst>
              <c:f>PerformaceCenter!$B$5:$H$5</c:f>
              <c:strCache>
                <c:ptCount val="7"/>
                <c:pt idx="0">
                  <c:v>Jan</c:v>
                </c:pt>
                <c:pt idx="1">
                  <c:v>Feb</c:v>
                </c:pt>
                <c:pt idx="2">
                  <c:v>Mar</c:v>
                </c:pt>
                <c:pt idx="3">
                  <c:v>Apr</c:v>
                </c:pt>
                <c:pt idx="4">
                  <c:v>May</c:v>
                </c:pt>
                <c:pt idx="5">
                  <c:v>Jun</c:v>
                </c:pt>
                <c:pt idx="6">
                  <c:v>Jul</c:v>
                </c:pt>
              </c:strCache>
            </c:strRef>
          </c:cat>
          <c:val>
            <c:numRef>
              <c:extLst>
                <c:ext xmlns:c15="http://schemas.microsoft.com/office/drawing/2012/chart" uri="{02D57815-91ED-43cb-92C2-25804820EDAC}">
                  <c15:fullRef>
                    <c15:sqref>PerformaceCenter!$B$6:$M$6</c15:sqref>
                  </c15:fullRef>
                </c:ext>
              </c:extLst>
              <c:f>PerformaceCenter!$B$6:$H$6</c:f>
              <c:numCache>
                <c:formatCode>0</c:formatCode>
                <c:ptCount val="7"/>
                <c:pt idx="0">
                  <c:v>45</c:v>
                </c:pt>
                <c:pt idx="1">
                  <c:v>38</c:v>
                </c:pt>
                <c:pt idx="2">
                  <c:v>38</c:v>
                </c:pt>
                <c:pt idx="3">
                  <c:v>37</c:v>
                </c:pt>
                <c:pt idx="4">
                  <c:v>39</c:v>
                </c:pt>
                <c:pt idx="5">
                  <c:v>40</c:v>
                </c:pt>
                <c:pt idx="6">
                  <c:v>33</c:v>
                </c:pt>
              </c:numCache>
            </c:numRef>
          </c:val>
          <c:smooth val="0"/>
          <c:extLst>
            <c:ext xmlns:c16="http://schemas.microsoft.com/office/drawing/2014/chart" uri="{C3380CC4-5D6E-409C-BE32-E72D297353CC}">
              <c16:uniqueId val="{00000000-72BD-417E-9448-81D4107ADEA9}"/>
            </c:ext>
          </c:extLst>
        </c:ser>
        <c:ser>
          <c:idx val="1"/>
          <c:order val="1"/>
          <c:tx>
            <c:strRef>
              <c:f>PerformaceCenter!$A$7</c:f>
              <c:strCache>
                <c:ptCount val="1"/>
                <c:pt idx="0">
                  <c:v>Completed EAs</c:v>
                </c:pt>
              </c:strCache>
            </c:strRef>
          </c:tx>
          <c:spPr>
            <a:ln w="31750" cap="rnd">
              <a:solidFill>
                <a:srgbClr val="00B0F0"/>
              </a:solidFill>
              <a:round/>
            </a:ln>
            <a:effectLst/>
          </c:spPr>
          <c:marker>
            <c:symbol val="circle"/>
            <c:size val="17"/>
            <c:spPr>
              <a:solidFill>
                <a:srgbClr val="00B0F0"/>
              </a:solidFill>
              <a:ln>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PerformaceCenter!$B$5:$M$5</c15:sqref>
                  </c15:fullRef>
                </c:ext>
              </c:extLst>
              <c:f>PerformaceCenter!$B$5:$H$5</c:f>
              <c:strCache>
                <c:ptCount val="7"/>
                <c:pt idx="0">
                  <c:v>Jan</c:v>
                </c:pt>
                <c:pt idx="1">
                  <c:v>Feb</c:v>
                </c:pt>
                <c:pt idx="2">
                  <c:v>Mar</c:v>
                </c:pt>
                <c:pt idx="3">
                  <c:v>Apr</c:v>
                </c:pt>
                <c:pt idx="4">
                  <c:v>May</c:v>
                </c:pt>
                <c:pt idx="5">
                  <c:v>Jun</c:v>
                </c:pt>
                <c:pt idx="6">
                  <c:v>Jul</c:v>
                </c:pt>
              </c:strCache>
            </c:strRef>
          </c:cat>
          <c:val>
            <c:numRef>
              <c:extLst>
                <c:ext xmlns:c15="http://schemas.microsoft.com/office/drawing/2012/chart" uri="{02D57815-91ED-43cb-92C2-25804820EDAC}">
                  <c15:fullRef>
                    <c15:sqref>PerformaceCenter!$B$7:$M$7</c15:sqref>
                  </c15:fullRef>
                </c:ext>
              </c:extLst>
              <c:f>PerformaceCenter!$B$7:$H$7</c:f>
              <c:numCache>
                <c:formatCode>0</c:formatCode>
                <c:ptCount val="7"/>
                <c:pt idx="0">
                  <c:v>54</c:v>
                </c:pt>
                <c:pt idx="1">
                  <c:v>60</c:v>
                </c:pt>
                <c:pt idx="2">
                  <c:v>44</c:v>
                </c:pt>
                <c:pt idx="3">
                  <c:v>51</c:v>
                </c:pt>
                <c:pt idx="4">
                  <c:v>44</c:v>
                </c:pt>
                <c:pt idx="5">
                  <c:v>52</c:v>
                </c:pt>
                <c:pt idx="6">
                  <c:v>44</c:v>
                </c:pt>
              </c:numCache>
            </c:numRef>
          </c:val>
          <c:smooth val="0"/>
          <c:extLst>
            <c:ext xmlns:c16="http://schemas.microsoft.com/office/drawing/2014/chart" uri="{C3380CC4-5D6E-409C-BE32-E72D297353CC}">
              <c16:uniqueId val="{00000001-72BD-417E-9448-81D4107ADEA9}"/>
            </c:ext>
          </c:extLst>
        </c:ser>
        <c:dLbls>
          <c:dLblPos val="ctr"/>
          <c:showLegendKey val="0"/>
          <c:showVal val="1"/>
          <c:showCatName val="0"/>
          <c:showSerName val="0"/>
          <c:showPercent val="0"/>
          <c:showBubbleSize val="0"/>
        </c:dLbls>
        <c:hiLowLines>
          <c:spPr>
            <a:ln w="9525">
              <a:solidFill>
                <a:schemeClr val="dk1">
                  <a:lumMod val="35000"/>
                  <a:lumOff val="65000"/>
                </a:schemeClr>
              </a:solidFill>
              <a:prstDash val="dash"/>
            </a:ln>
            <a:effectLst/>
          </c:spPr>
        </c:hiLowLines>
        <c:marker val="1"/>
        <c:smooth val="0"/>
        <c:axId val="1175315128"/>
        <c:axId val="1175317288"/>
      </c:lineChart>
      <c:catAx>
        <c:axId val="11753151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5317288"/>
        <c:crosses val="autoZero"/>
        <c:auto val="1"/>
        <c:lblAlgn val="ctr"/>
        <c:lblOffset val="100"/>
        <c:noMultiLvlLbl val="0"/>
      </c:catAx>
      <c:valAx>
        <c:axId val="117531728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Repair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5315128"/>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b="1" i="0" u="none" strike="noStrike" kern="1200" baseline="0">
                <a:solidFill>
                  <a:sysClr val="windowText" lastClr="000000">
                    <a:lumMod val="75000"/>
                    <a:lumOff val="25000"/>
                  </a:sysClr>
                </a:solidFill>
                <a:effectLst/>
              </a:rPr>
              <a:t>2025 C&amp;C Min Plan vs Actuals</a:t>
            </a:r>
          </a:p>
          <a:p>
            <a:pPr>
              <a:defRPr sz="1600"/>
            </a:pPr>
            <a:r>
              <a:rPr lang="en-US" sz="1600" b="1" i="0" u="none" strike="noStrike" kern="1200" baseline="0">
                <a:solidFill>
                  <a:sysClr val="windowText" lastClr="000000">
                    <a:lumMod val="75000"/>
                    <a:lumOff val="25000"/>
                  </a:sysClr>
                </a:solidFill>
                <a:effectLst/>
              </a:rPr>
              <a:t>Repair Count</a:t>
            </a:r>
            <a:endParaRPr lang="en-US" sz="16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PerformaceCenter!$A$12</c:f>
              <c:strCache>
                <c:ptCount val="1"/>
                <c:pt idx="0">
                  <c:v>Cumulative Min Plan</c:v>
                </c:pt>
              </c:strCache>
            </c:strRef>
          </c:tx>
          <c:spPr>
            <a:solidFill>
              <a:schemeClr val="accent1">
                <a:lumMod val="50000"/>
              </a:schemeClr>
            </a:solidFill>
            <a:ln w="9525" cap="flat" cmpd="sng" algn="ctr">
              <a:solidFill>
                <a:schemeClr val="accent1">
                  <a:lumMod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PerformaceCenter!$B$11:$M$11</c15:sqref>
                  </c15:fullRef>
                </c:ext>
              </c:extLst>
              <c:f>PerformaceCenter!$B$11:$H$11</c:f>
              <c:strCache>
                <c:ptCount val="7"/>
                <c:pt idx="0">
                  <c:v>Jan</c:v>
                </c:pt>
                <c:pt idx="1">
                  <c:v>Feb</c:v>
                </c:pt>
                <c:pt idx="2">
                  <c:v>Mar</c:v>
                </c:pt>
                <c:pt idx="3">
                  <c:v>Apr</c:v>
                </c:pt>
                <c:pt idx="4">
                  <c:v>May</c:v>
                </c:pt>
                <c:pt idx="5">
                  <c:v>Jun</c:v>
                </c:pt>
                <c:pt idx="6">
                  <c:v>Jul</c:v>
                </c:pt>
              </c:strCache>
            </c:strRef>
          </c:cat>
          <c:val>
            <c:numRef>
              <c:extLst>
                <c:ext xmlns:c15="http://schemas.microsoft.com/office/drawing/2012/chart" uri="{02D57815-91ED-43cb-92C2-25804820EDAC}">
                  <c15:fullRef>
                    <c15:sqref>PerformaceCenter!$B$12:$M$12</c15:sqref>
                  </c15:fullRef>
                </c:ext>
              </c:extLst>
              <c:f>PerformaceCenter!$B$12:$H$12</c:f>
              <c:numCache>
                <c:formatCode>0</c:formatCode>
                <c:ptCount val="7"/>
                <c:pt idx="0">
                  <c:v>45</c:v>
                </c:pt>
                <c:pt idx="1">
                  <c:v>83</c:v>
                </c:pt>
                <c:pt idx="2">
                  <c:v>121</c:v>
                </c:pt>
                <c:pt idx="3">
                  <c:v>158</c:v>
                </c:pt>
                <c:pt idx="4">
                  <c:v>197</c:v>
                </c:pt>
                <c:pt idx="5">
                  <c:v>237</c:v>
                </c:pt>
                <c:pt idx="6">
                  <c:v>270</c:v>
                </c:pt>
              </c:numCache>
            </c:numRef>
          </c:val>
          <c:extLst>
            <c:ext xmlns:c16="http://schemas.microsoft.com/office/drawing/2014/chart" uri="{C3380CC4-5D6E-409C-BE32-E72D297353CC}">
              <c16:uniqueId val="{00000000-26DB-4F72-9F95-B9BB286E715A}"/>
            </c:ext>
          </c:extLst>
        </c:ser>
        <c:ser>
          <c:idx val="1"/>
          <c:order val="1"/>
          <c:tx>
            <c:strRef>
              <c:f>PerformaceCenter!$A$13</c:f>
              <c:strCache>
                <c:ptCount val="1"/>
                <c:pt idx="0">
                  <c:v>YTD Completed EAs</c:v>
                </c:pt>
              </c:strCache>
            </c:strRef>
          </c:tx>
          <c:spPr>
            <a:solidFill>
              <a:srgbClr val="00B0F0"/>
            </a:solidFill>
            <a:ln w="9525" cap="flat" cmpd="sng" algn="ctr">
              <a:solidFill>
                <a:srgbClr val="00B0F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PerformaceCenter!$B$11:$M$11</c15:sqref>
                  </c15:fullRef>
                </c:ext>
              </c:extLst>
              <c:f>PerformaceCenter!$B$11:$H$11</c:f>
              <c:strCache>
                <c:ptCount val="7"/>
                <c:pt idx="0">
                  <c:v>Jan</c:v>
                </c:pt>
                <c:pt idx="1">
                  <c:v>Feb</c:v>
                </c:pt>
                <c:pt idx="2">
                  <c:v>Mar</c:v>
                </c:pt>
                <c:pt idx="3">
                  <c:v>Apr</c:v>
                </c:pt>
                <c:pt idx="4">
                  <c:v>May</c:v>
                </c:pt>
                <c:pt idx="5">
                  <c:v>Jun</c:v>
                </c:pt>
                <c:pt idx="6">
                  <c:v>Jul</c:v>
                </c:pt>
              </c:strCache>
            </c:strRef>
          </c:cat>
          <c:val>
            <c:numRef>
              <c:extLst>
                <c:ext xmlns:c15="http://schemas.microsoft.com/office/drawing/2012/chart" uri="{02D57815-91ED-43cb-92C2-25804820EDAC}">
                  <c15:fullRef>
                    <c15:sqref>PerformaceCenter!$B$13:$M$13</c15:sqref>
                  </c15:fullRef>
                </c:ext>
              </c:extLst>
              <c:f>PerformaceCenter!$B$13:$H$13</c:f>
              <c:numCache>
                <c:formatCode>0</c:formatCode>
                <c:ptCount val="7"/>
                <c:pt idx="0">
                  <c:v>54</c:v>
                </c:pt>
                <c:pt idx="1">
                  <c:v>114</c:v>
                </c:pt>
                <c:pt idx="2">
                  <c:v>158</c:v>
                </c:pt>
                <c:pt idx="3">
                  <c:v>209</c:v>
                </c:pt>
                <c:pt idx="4">
                  <c:v>253</c:v>
                </c:pt>
                <c:pt idx="5">
                  <c:v>305</c:v>
                </c:pt>
                <c:pt idx="6">
                  <c:v>349</c:v>
                </c:pt>
              </c:numCache>
            </c:numRef>
          </c:val>
          <c:extLst>
            <c:ext xmlns:c16="http://schemas.microsoft.com/office/drawing/2014/chart" uri="{C3380CC4-5D6E-409C-BE32-E72D297353CC}">
              <c16:uniqueId val="{00000001-26DB-4F72-9F95-B9BB286E715A}"/>
            </c:ext>
          </c:extLst>
        </c:ser>
        <c:dLbls>
          <c:dLblPos val="inEnd"/>
          <c:showLegendKey val="0"/>
          <c:showVal val="1"/>
          <c:showCatName val="0"/>
          <c:showSerName val="0"/>
          <c:showPercent val="0"/>
          <c:showBubbleSize val="0"/>
        </c:dLbls>
        <c:gapWidth val="65"/>
        <c:axId val="1214800904"/>
        <c:axId val="1214800544"/>
      </c:barChart>
      <c:lineChart>
        <c:grouping val="standard"/>
        <c:varyColors val="0"/>
        <c:ser>
          <c:idx val="2"/>
          <c:order val="2"/>
          <c:tx>
            <c:strRef>
              <c:f>PerformaceCenter!$A$14</c:f>
              <c:strCache>
                <c:ptCount val="1"/>
                <c:pt idx="0">
                  <c:v>% Complete</c:v>
                </c:pt>
              </c:strCache>
            </c:strRef>
          </c:tx>
          <c:spPr>
            <a:ln w="31750" cap="rnd">
              <a:solidFill>
                <a:srgbClr val="00B050">
                  <a:alpha val="85000"/>
                </a:srgbClr>
              </a:solidFill>
              <a:round/>
            </a:ln>
            <a:effectLst/>
          </c:spPr>
          <c:marker>
            <c:symbol val="circle"/>
            <c:size val="5"/>
            <c:spPr>
              <a:solidFill>
                <a:srgbClr val="00B050"/>
              </a:solidFill>
              <a:ln>
                <a:solidFill>
                  <a:schemeClr val="tx1"/>
                </a:solidFill>
              </a:ln>
              <a:effectLst/>
            </c:spPr>
          </c:marker>
          <c:dLbls>
            <c:spPr>
              <a:solidFill>
                <a:srgbClr val="FFC000"/>
              </a:solidFill>
              <a:ln w="6350">
                <a:solidFill>
                  <a:srgbClr val="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PerformaceCenter!$B$11:$M$11</c15:sqref>
                  </c15:fullRef>
                </c:ext>
              </c:extLst>
              <c:f>PerformaceCenter!$B$11:$H$11</c:f>
              <c:strCache>
                <c:ptCount val="7"/>
                <c:pt idx="0">
                  <c:v>Jan</c:v>
                </c:pt>
                <c:pt idx="1">
                  <c:v>Feb</c:v>
                </c:pt>
                <c:pt idx="2">
                  <c:v>Mar</c:v>
                </c:pt>
                <c:pt idx="3">
                  <c:v>Apr</c:v>
                </c:pt>
                <c:pt idx="4">
                  <c:v>May</c:v>
                </c:pt>
                <c:pt idx="5">
                  <c:v>Jun</c:v>
                </c:pt>
                <c:pt idx="6">
                  <c:v>Jul</c:v>
                </c:pt>
              </c:strCache>
            </c:strRef>
          </c:cat>
          <c:val>
            <c:numRef>
              <c:extLst>
                <c:ext xmlns:c15="http://schemas.microsoft.com/office/drawing/2012/chart" uri="{02D57815-91ED-43cb-92C2-25804820EDAC}">
                  <c15:fullRef>
                    <c15:sqref>PerformaceCenter!$B$14:$M$14</c15:sqref>
                  </c15:fullRef>
                </c:ext>
              </c:extLst>
              <c:f>PerformaceCenter!$B$14:$H$14</c:f>
              <c:numCache>
                <c:formatCode>0%</c:formatCode>
                <c:ptCount val="7"/>
                <c:pt idx="0">
                  <c:v>0.11764705882352941</c:v>
                </c:pt>
                <c:pt idx="1">
                  <c:v>0.24836601307189543</c:v>
                </c:pt>
                <c:pt idx="2">
                  <c:v>0.34422657952069718</c:v>
                </c:pt>
                <c:pt idx="3">
                  <c:v>0.45533769063180829</c:v>
                </c:pt>
                <c:pt idx="4">
                  <c:v>0.55119825708060999</c:v>
                </c:pt>
                <c:pt idx="5">
                  <c:v>0.66448801742919394</c:v>
                </c:pt>
                <c:pt idx="6">
                  <c:v>0.76034858387799564</c:v>
                </c:pt>
              </c:numCache>
            </c:numRef>
          </c:val>
          <c:smooth val="0"/>
          <c:extLst>
            <c:ext xmlns:c16="http://schemas.microsoft.com/office/drawing/2014/chart" uri="{C3380CC4-5D6E-409C-BE32-E72D297353CC}">
              <c16:uniqueId val="{00000000-10D0-4EEE-88E4-CD7F8AA00311}"/>
            </c:ext>
          </c:extLst>
        </c:ser>
        <c:dLbls>
          <c:showLegendKey val="0"/>
          <c:showVal val="0"/>
          <c:showCatName val="0"/>
          <c:showSerName val="0"/>
          <c:showPercent val="0"/>
          <c:showBubbleSize val="0"/>
        </c:dLbls>
        <c:marker val="1"/>
        <c:smooth val="0"/>
        <c:axId val="1227935672"/>
        <c:axId val="1227941432"/>
      </c:lineChart>
      <c:catAx>
        <c:axId val="121480090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4800544"/>
        <c:crosses val="autoZero"/>
        <c:auto val="1"/>
        <c:lblAlgn val="ctr"/>
        <c:lblOffset val="100"/>
        <c:noMultiLvlLbl val="0"/>
      </c:catAx>
      <c:valAx>
        <c:axId val="12148005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EA</a:t>
                </a:r>
                <a:r>
                  <a:rPr lang="en-US" baseline="0"/>
                  <a:t> Deliveries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4800904"/>
        <c:crosses val="autoZero"/>
        <c:crossBetween val="between"/>
      </c:valAx>
      <c:valAx>
        <c:axId val="122794143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27935672"/>
        <c:crosses val="max"/>
        <c:crossBetween val="between"/>
      </c:valAx>
      <c:catAx>
        <c:axId val="1227935672"/>
        <c:scaling>
          <c:orientation val="minMax"/>
        </c:scaling>
        <c:delete val="1"/>
        <c:axPos val="b"/>
        <c:numFmt formatCode="General" sourceLinked="1"/>
        <c:majorTickMark val="out"/>
        <c:minorTickMark val="none"/>
        <c:tickLblPos val="nextTo"/>
        <c:crossAx val="1227941432"/>
        <c:crosses val="autoZero"/>
        <c:auto val="1"/>
        <c:lblAlgn val="ctr"/>
        <c:lblOffset val="100"/>
        <c:noMultiLvlLbl val="0"/>
      </c:cat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C&amp;C Task</a:t>
            </a:r>
            <a:r>
              <a:rPr lang="en-US" b="1" baseline="0">
                <a:solidFill>
                  <a:sysClr val="windowText" lastClr="000000"/>
                </a:solidFill>
              </a:rPr>
              <a:t> Lookahead/Commitments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215622129824"/>
          <c:y val="8.48994481405283E-2"/>
          <c:w val="0.48425360849522081"/>
          <c:h val="0.85836384863865212"/>
        </c:manualLayout>
      </c:layout>
      <c:barChart>
        <c:barDir val="col"/>
        <c:grouping val="stacked"/>
        <c:varyColors val="0"/>
        <c:ser>
          <c:idx val="2"/>
          <c:order val="0"/>
          <c:tx>
            <c:strRef>
              <c:f>PerformaceCenter!$C$35</c:f>
              <c:strCache>
                <c:ptCount val="1"/>
                <c:pt idx="0">
                  <c:v>Lookahead Tasks Completed</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PerformaceCenter!$A$36:$A$42</c15:sqref>
                  </c15:fullRef>
                </c:ext>
              </c:extLst>
              <c:f>PerformaceCenter!$A$36:$A$37</c:f>
              <c:strCache>
                <c:ptCount val="2"/>
                <c:pt idx="0">
                  <c:v>Jun</c:v>
                </c:pt>
                <c:pt idx="1">
                  <c:v>Jul</c:v>
                </c:pt>
              </c:strCache>
            </c:strRef>
          </c:cat>
          <c:val>
            <c:numRef>
              <c:extLst>
                <c:ext xmlns:c15="http://schemas.microsoft.com/office/drawing/2012/chart" uri="{02D57815-91ED-43cb-92C2-25804820EDAC}">
                  <c15:fullRef>
                    <c15:sqref>PerformaceCenter!$C$36:$C$42</c15:sqref>
                  </c15:fullRef>
                </c:ext>
              </c:extLst>
              <c:f>PerformaceCenter!$C$36:$C$37</c:f>
              <c:numCache>
                <c:formatCode>General</c:formatCode>
                <c:ptCount val="2"/>
                <c:pt idx="0">
                  <c:v>51</c:v>
                </c:pt>
                <c:pt idx="1">
                  <c:v>25</c:v>
                </c:pt>
              </c:numCache>
            </c:numRef>
          </c:val>
          <c:extLst xmlns:c15="http://schemas.microsoft.com/office/drawing/2012/chart">
            <c:ext xmlns:c16="http://schemas.microsoft.com/office/drawing/2014/chart" uri="{C3380CC4-5D6E-409C-BE32-E72D297353CC}">
              <c16:uniqueId val="{00000001-A2B4-42AB-8520-51911530A90B}"/>
            </c:ext>
          </c:extLst>
        </c:ser>
        <c:ser>
          <c:idx val="0"/>
          <c:order val="1"/>
          <c:tx>
            <c:strRef>
              <c:f>PerformaceCenter!$D$35</c:f>
              <c:strCache>
                <c:ptCount val="1"/>
                <c:pt idx="0">
                  <c:v>Non-Lookahead Tasks Completed</c:v>
                </c:pt>
              </c:strCache>
            </c:strRef>
          </c:tx>
          <c:spPr>
            <a:solidFill>
              <a:srgbClr val="00B050">
                <a:alpha val="25098"/>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PerformaceCenter!$A$36:$A$42</c15:sqref>
                  </c15:fullRef>
                </c:ext>
              </c:extLst>
              <c:f>PerformaceCenter!$A$36:$A$37</c:f>
              <c:strCache>
                <c:ptCount val="2"/>
                <c:pt idx="0">
                  <c:v>Jun</c:v>
                </c:pt>
                <c:pt idx="1">
                  <c:v>Jul</c:v>
                </c:pt>
              </c:strCache>
            </c:strRef>
          </c:cat>
          <c:val>
            <c:numRef>
              <c:extLst>
                <c:ext xmlns:c15="http://schemas.microsoft.com/office/drawing/2012/chart" uri="{02D57815-91ED-43cb-92C2-25804820EDAC}">
                  <c15:fullRef>
                    <c15:sqref>PerformaceCenter!$D$36:$D$42</c15:sqref>
                  </c15:fullRef>
                </c:ext>
              </c:extLst>
              <c:f>PerformaceCenter!$D$36:$D$37</c:f>
              <c:numCache>
                <c:formatCode>General</c:formatCode>
                <c:ptCount val="2"/>
                <c:pt idx="0">
                  <c:v>1</c:v>
                </c:pt>
                <c:pt idx="1">
                  <c:v>19</c:v>
                </c:pt>
              </c:numCache>
            </c:numRef>
          </c:val>
          <c:extLst xmlns:c15="http://schemas.microsoft.com/office/drawing/2012/chart">
            <c:ext xmlns:c16="http://schemas.microsoft.com/office/drawing/2014/chart" uri="{C3380CC4-5D6E-409C-BE32-E72D297353CC}">
              <c16:uniqueId val="{00000002-A2B4-42AB-8520-51911530A90B}"/>
            </c:ext>
          </c:extLst>
        </c:ser>
        <c:ser>
          <c:idx val="1"/>
          <c:order val="2"/>
          <c:tx>
            <c:strRef>
              <c:f>PerformaceCenter!$B$35</c:f>
              <c:strCache>
                <c:ptCount val="1"/>
                <c:pt idx="0">
                  <c:v>Min Plan</c:v>
                </c:pt>
              </c:strCache>
            </c:strRef>
          </c:tx>
          <c:spPr>
            <a:noFill/>
            <a:ln>
              <a:noFill/>
            </a:ln>
            <a:effectLst/>
          </c:spPr>
          <c:invertIfNegative val="0"/>
          <c:dLbls>
            <c:spPr>
              <a:solidFill>
                <a:schemeClr val="accent2"/>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PerformaceCenter!$A$36:$A$42</c15:sqref>
                  </c15:fullRef>
                </c:ext>
              </c:extLst>
              <c:f>PerformaceCenter!$A$36:$A$37</c:f>
              <c:strCache>
                <c:ptCount val="2"/>
                <c:pt idx="0">
                  <c:v>Jun</c:v>
                </c:pt>
                <c:pt idx="1">
                  <c:v>Jul</c:v>
                </c:pt>
              </c:strCache>
            </c:strRef>
          </c:cat>
          <c:val>
            <c:numRef>
              <c:extLst>
                <c:ext xmlns:c15="http://schemas.microsoft.com/office/drawing/2012/chart" uri="{02D57815-91ED-43cb-92C2-25804820EDAC}">
                  <c15:fullRef>
                    <c15:sqref>PerformaceCenter!$B$36:$B$42</c15:sqref>
                  </c15:fullRef>
                </c:ext>
              </c:extLst>
              <c:f>PerformaceCenter!$B$36:$B$37</c:f>
              <c:numCache>
                <c:formatCode>0</c:formatCode>
                <c:ptCount val="2"/>
                <c:pt idx="0">
                  <c:v>40</c:v>
                </c:pt>
                <c:pt idx="1">
                  <c:v>33</c:v>
                </c:pt>
              </c:numCache>
            </c:numRef>
          </c:val>
          <c:extLst xmlns:c15="http://schemas.microsoft.com/office/drawing/2012/chart">
            <c:ext xmlns:c16="http://schemas.microsoft.com/office/drawing/2014/chart" uri="{C3380CC4-5D6E-409C-BE32-E72D297353CC}">
              <c16:uniqueId val="{00000000-A2B4-42AB-8520-51911530A90B}"/>
            </c:ext>
          </c:extLst>
        </c:ser>
        <c:dLbls>
          <c:showLegendKey val="0"/>
          <c:showVal val="1"/>
          <c:showCatName val="0"/>
          <c:showSerName val="0"/>
          <c:showPercent val="0"/>
          <c:showBubbleSize val="0"/>
        </c:dLbls>
        <c:gapWidth val="150"/>
        <c:overlap val="100"/>
        <c:axId val="1452507216"/>
        <c:axId val="1452512616"/>
        <c:extLst>
          <c:ext xmlns:c15="http://schemas.microsoft.com/office/drawing/2012/chart" uri="{02D57815-91ED-43cb-92C2-25804820EDAC}">
            <c15:filteredBarSeries>
              <c15:ser>
                <c:idx val="4"/>
                <c:order val="3"/>
                <c:tx>
                  <c:strRef>
                    <c:extLst>
                      <c:ext uri="{02D57815-91ED-43cb-92C2-25804820EDAC}">
                        <c15:formulaRef>
                          <c15:sqref>PerformaceCenter!$E$35</c15:sqref>
                        </c15:formulaRef>
                      </c:ext>
                    </c:extLst>
                    <c:strCache>
                      <c:ptCount val="1"/>
                      <c:pt idx="0">
                        <c:v>GAP to MP</c:v>
                      </c:pt>
                    </c:strCache>
                  </c:strRef>
                </c:tx>
                <c:spPr>
                  <a:solidFill>
                    <a:schemeClr val="accent5"/>
                  </a:solidFill>
                  <a:ln>
                    <a:noFill/>
                  </a:ln>
                  <a:effectLst/>
                </c:spPr>
                <c:invertIfNegative val="0"/>
                <c:dLbls>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PerformaceCenter!$A$36:$A$42</c15:sqref>
                        </c15:fullRef>
                        <c15:formulaRef>
                          <c15:sqref>PerformaceCenter!$A$36:$A$37</c15:sqref>
                        </c15:formulaRef>
                      </c:ext>
                    </c:extLst>
                    <c:strCache>
                      <c:ptCount val="2"/>
                      <c:pt idx="0">
                        <c:v>Jun</c:v>
                      </c:pt>
                      <c:pt idx="1">
                        <c:v>Jul</c:v>
                      </c:pt>
                    </c:strCache>
                  </c:strRef>
                </c:cat>
                <c:val>
                  <c:numRef>
                    <c:extLst>
                      <c:ext uri="{02D57815-91ED-43cb-92C2-25804820EDAC}">
                        <c15:fullRef>
                          <c15:sqref>PerformaceCenter!$E$36:$E$42</c15:sqref>
                        </c15:fullRef>
                        <c15:formulaRef>
                          <c15:sqref>PerformaceCenter!$E$36:$E$37</c15:sqref>
                        </c15:formulaRef>
                      </c:ext>
                    </c:extLst>
                    <c:numCache>
                      <c:formatCode>General</c:formatCode>
                      <c:ptCount val="2"/>
                      <c:pt idx="0">
                        <c:v>-12</c:v>
                      </c:pt>
                      <c:pt idx="1">
                        <c:v>-11</c:v>
                      </c:pt>
                    </c:numCache>
                  </c:numRef>
                </c:val>
                <c:extLst>
                  <c:ext xmlns:c16="http://schemas.microsoft.com/office/drawing/2014/chart" uri="{C3380CC4-5D6E-409C-BE32-E72D297353CC}">
                    <c16:uniqueId val="{00000003-A2B4-42AB-8520-51911530A90B}"/>
                  </c:ext>
                </c:extLst>
              </c15:ser>
            </c15:filteredBarSeries>
          </c:ext>
        </c:extLst>
      </c:barChart>
      <c:catAx>
        <c:axId val="1452507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52512616"/>
        <c:crosses val="autoZero"/>
        <c:auto val="1"/>
        <c:lblAlgn val="ctr"/>
        <c:lblOffset val="100"/>
        <c:noMultiLvlLbl val="0"/>
      </c:catAx>
      <c:valAx>
        <c:axId val="1452512616"/>
        <c:scaling>
          <c:orientation val="minMax"/>
          <c:max val="75"/>
          <c:min val="0"/>
        </c:scaling>
        <c:delete val="0"/>
        <c:axPos val="l"/>
        <c:majorGridlines>
          <c:spPr>
            <a:ln w="9525" cap="flat" cmpd="sng" algn="ctr">
              <a:gradFill>
                <a:gsLst>
                  <a:gs pos="18000">
                    <a:schemeClr val="bg1"/>
                  </a:gs>
                  <a:gs pos="100000">
                    <a:srgbClr val="69FFAD">
                      <a:alpha val="25098"/>
                    </a:srgbClr>
                  </a:gs>
                  <a:gs pos="0">
                    <a:schemeClr val="bg1"/>
                  </a:gs>
                </a:gsLst>
                <a:lin ang="5400000" scaled="1"/>
              </a:gra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EA's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0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b="1">
                <a:solidFill>
                  <a:sysClr val="windowText" lastClr="000000"/>
                </a:solidFill>
                <a:latin typeface="+mn-lt"/>
                <a:ea typeface="Calibri" panose="020F0502020204030204" pitchFamily="34" charset="0"/>
                <a:cs typeface="Calibri" panose="020F0502020204030204" pitchFamily="34" charset="0"/>
              </a:rPr>
              <a:t>2025 C&amp;C Min Plan vs Actuals</a:t>
            </a:r>
          </a:p>
          <a:p>
            <a:pPr>
              <a:defRPr>
                <a:latin typeface="Calibri" panose="020F0502020204030204" pitchFamily="34" charset="0"/>
                <a:ea typeface="Calibri" panose="020F0502020204030204" pitchFamily="34" charset="0"/>
                <a:cs typeface="Calibri" panose="020F0502020204030204" pitchFamily="34" charset="0"/>
              </a:defRPr>
            </a:pPr>
            <a:r>
              <a:rPr lang="en-US" sz="1400" b="1" i="0" u="none" strike="noStrike" kern="1200" cap="none" spc="0" normalizeH="0" baseline="0">
                <a:solidFill>
                  <a:sysClr val="windowText" lastClr="000000"/>
                </a:solidFill>
                <a:latin typeface="+mn-lt"/>
                <a:ea typeface="Calibri" panose="020F0502020204030204" pitchFamily="34" charset="0"/>
                <a:cs typeface="Calibri" panose="020F0502020204030204" pitchFamily="34" charset="0"/>
              </a:rPr>
              <a:t>YTD Completion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doughnutChart>
        <c:varyColors val="1"/>
        <c:ser>
          <c:idx val="0"/>
          <c:order val="0"/>
          <c:dPt>
            <c:idx val="0"/>
            <c:bubble3D val="0"/>
            <c:spPr>
              <a:solidFill>
                <a:srgbClr val="00B050"/>
              </a:solidFill>
              <a:ln w="19050">
                <a:solidFill>
                  <a:srgbClr val="00B050">
                    <a:alpha val="15000"/>
                  </a:srgbClr>
                </a:solidFill>
              </a:ln>
              <a:effectLst/>
            </c:spPr>
            <c:extLst>
              <c:ext xmlns:c16="http://schemas.microsoft.com/office/drawing/2014/chart" uri="{C3380CC4-5D6E-409C-BE32-E72D297353CC}">
                <c16:uniqueId val="{00000001-F318-48A7-A514-C963850F4811}"/>
              </c:ext>
            </c:extLst>
          </c:dPt>
          <c:dPt>
            <c:idx val="1"/>
            <c:bubble3D val="0"/>
            <c:spPr>
              <a:solidFill>
                <a:srgbClr val="00B050">
                  <a:alpha val="25098"/>
                </a:srgbClr>
              </a:solidFill>
              <a:ln w="19050">
                <a:solidFill>
                  <a:schemeClr val="lt1"/>
                </a:solidFill>
              </a:ln>
              <a:effectLst/>
            </c:spPr>
            <c:extLst>
              <c:ext xmlns:c16="http://schemas.microsoft.com/office/drawing/2014/chart" uri="{C3380CC4-5D6E-409C-BE32-E72D297353CC}">
                <c16:uniqueId val="{00000009-D3FC-4A29-85E2-39D25B439398}"/>
              </c:ext>
            </c:extLst>
          </c:dPt>
          <c:dPt>
            <c:idx val="2"/>
            <c:bubble3D val="0"/>
            <c:spPr>
              <a:noFill/>
              <a:ln w="19050">
                <a:solidFill>
                  <a:schemeClr val="lt1"/>
                </a:solidFill>
              </a:ln>
              <a:effectLst/>
            </c:spPr>
            <c:extLst>
              <c:ext xmlns:c16="http://schemas.microsoft.com/office/drawing/2014/chart" uri="{C3380CC4-5D6E-409C-BE32-E72D297353CC}">
                <c16:uniqueId val="{00000008-D3FC-4A29-85E2-39D25B439398}"/>
              </c:ext>
            </c:extLst>
          </c:dPt>
          <c:dLbls>
            <c:dLbl>
              <c:idx val="2"/>
              <c:delete val="1"/>
              <c:extLst>
                <c:ext xmlns:c15="http://schemas.microsoft.com/office/drawing/2012/chart" uri="{CE6537A1-D6FC-4f65-9D91-7224C49458BB}"/>
                <c:ext xmlns:c16="http://schemas.microsoft.com/office/drawing/2014/chart" uri="{C3380CC4-5D6E-409C-BE32-E72D297353CC}">
                  <c16:uniqueId val="{00000008-D3FC-4A29-85E2-39D25B43939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PerformaceCenter!$G$24:$G$26</c:f>
              <c:strCache>
                <c:ptCount val="2"/>
                <c:pt idx="0">
                  <c:v>Completed EAs</c:v>
                </c:pt>
                <c:pt idx="1">
                  <c:v>Remaining  EAs</c:v>
                </c:pt>
              </c:strCache>
            </c:strRef>
          </c:cat>
          <c:val>
            <c:numRef>
              <c:f>PerformaceCenter!$H$24:$H$26</c:f>
              <c:numCache>
                <c:formatCode>0</c:formatCode>
                <c:ptCount val="3"/>
                <c:pt idx="0">
                  <c:v>352</c:v>
                </c:pt>
                <c:pt idx="1">
                  <c:v>107</c:v>
                </c:pt>
                <c:pt idx="2">
                  <c:v>459</c:v>
                </c:pt>
              </c:numCache>
            </c:numRef>
          </c:val>
          <c:extLst>
            <c:ext xmlns:c16="http://schemas.microsoft.com/office/drawing/2014/chart" uri="{C3380CC4-5D6E-409C-BE32-E72D297353CC}">
              <c16:uniqueId val="{00000006-D3FC-4A29-85E2-39D25B439398}"/>
            </c:ext>
          </c:extLst>
        </c:ser>
        <c:dLbls>
          <c:showLegendKey val="0"/>
          <c:showVal val="1"/>
          <c:showCatName val="0"/>
          <c:showSerName val="0"/>
          <c:showPercent val="0"/>
          <c:showBubbleSize val="0"/>
          <c:showLeaderLines val="1"/>
        </c:dLbls>
        <c:firstSliceAng val="270"/>
        <c:holeSize val="72"/>
      </c:doughnutChart>
      <c:spPr>
        <a:noFill/>
        <a:ln>
          <a:noFill/>
        </a:ln>
        <a:effectLst/>
      </c:spPr>
    </c:plotArea>
    <c:legend>
      <c:legendPos val="t"/>
      <c:overlay val="0"/>
      <c:spPr>
        <a:noFill/>
        <a:ln>
          <a:noFill/>
        </a:ln>
        <a:effectLst/>
      </c:spPr>
      <c:txPr>
        <a:bodyPr rot="0" spcFirstLastPara="1" vertOverflow="ellipsis" vert="horz" wrap="square" anchor="ctr" anchorCtr="1"/>
        <a:lstStyle/>
        <a:p>
          <a:pPr rtl="0">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2025 Monthly OTD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PerformaceCenter!$A$52</c:f>
              <c:strCache>
                <c:ptCount val="1"/>
                <c:pt idx="0">
                  <c:v>OTD %</c:v>
                </c:pt>
              </c:strCache>
            </c:strRef>
          </c:tx>
          <c:spPr>
            <a:solidFill>
              <a:schemeClr val="accent1">
                <a:lumMod val="50000"/>
              </a:schemeClr>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03-7AE4-4209-9CAB-24DB09B7205D}"/>
              </c:ext>
            </c:extLst>
          </c:dPt>
          <c:dLbls>
            <c:dLbl>
              <c:idx val="7"/>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7AE4-4209-9CAB-24DB09B7205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PerformaceCenter!$B$51:$N$51</c15:sqref>
                  </c15:fullRef>
                </c:ext>
              </c:extLst>
              <c:f>(PerformaceCenter!$B$51:$H$51,PerformaceCenter!$N$51)</c:f>
              <c:strCache>
                <c:ptCount val="8"/>
                <c:pt idx="0">
                  <c:v>Jan</c:v>
                </c:pt>
                <c:pt idx="1">
                  <c:v>Feb</c:v>
                </c:pt>
                <c:pt idx="2">
                  <c:v>Mar</c:v>
                </c:pt>
                <c:pt idx="3">
                  <c:v>Apr</c:v>
                </c:pt>
                <c:pt idx="4">
                  <c:v>May</c:v>
                </c:pt>
                <c:pt idx="5">
                  <c:v>Jun</c:v>
                </c:pt>
                <c:pt idx="6">
                  <c:v>Jul</c:v>
                </c:pt>
                <c:pt idx="7">
                  <c:v>Average</c:v>
                </c:pt>
              </c:strCache>
            </c:strRef>
          </c:cat>
          <c:val>
            <c:numRef>
              <c:extLst>
                <c:ext xmlns:c15="http://schemas.microsoft.com/office/drawing/2012/chart" uri="{02D57815-91ED-43cb-92C2-25804820EDAC}">
                  <c15:fullRef>
                    <c15:sqref>PerformaceCenter!$B$52:$N$52</c15:sqref>
                  </c15:fullRef>
                </c:ext>
              </c:extLst>
              <c:f>(PerformaceCenter!$B$52:$H$52,PerformaceCenter!$N$52)</c:f>
              <c:numCache>
                <c:formatCode>0%</c:formatCode>
                <c:ptCount val="8"/>
                <c:pt idx="0">
                  <c:v>0.61111111111111116</c:v>
                </c:pt>
                <c:pt idx="1">
                  <c:v>0.7</c:v>
                </c:pt>
                <c:pt idx="2">
                  <c:v>0.59090909090909094</c:v>
                </c:pt>
                <c:pt idx="3">
                  <c:v>0.56862745098039214</c:v>
                </c:pt>
                <c:pt idx="4">
                  <c:v>0.52272727272727271</c:v>
                </c:pt>
                <c:pt idx="5">
                  <c:v>0.48076923076923078</c:v>
                </c:pt>
                <c:pt idx="6">
                  <c:v>0.63636363636363635</c:v>
                </c:pt>
                <c:pt idx="7">
                  <c:v>0.59714680744092519</c:v>
                </c:pt>
              </c:numCache>
            </c:numRef>
          </c:val>
          <c:extLst>
            <c:ext xmlns:c16="http://schemas.microsoft.com/office/drawing/2014/chart" uri="{C3380CC4-5D6E-409C-BE32-E72D297353CC}">
              <c16:uniqueId val="{00000002-7AE4-4209-9CAB-24DB09B7205D}"/>
            </c:ext>
          </c:extLst>
        </c:ser>
        <c:dLbls>
          <c:showLegendKey val="0"/>
          <c:showVal val="0"/>
          <c:showCatName val="0"/>
          <c:showSerName val="0"/>
          <c:showPercent val="0"/>
          <c:showBubbleSize val="0"/>
        </c:dLbls>
        <c:gapWidth val="102"/>
        <c:overlap val="-26"/>
        <c:axId val="1014992480"/>
        <c:axId val="1014994640"/>
      </c:barChart>
      <c:lineChart>
        <c:grouping val="standard"/>
        <c:varyColors val="0"/>
        <c:ser>
          <c:idx val="1"/>
          <c:order val="1"/>
          <c:tx>
            <c:strRef>
              <c:f>PerformaceCenter!$A$53</c:f>
              <c:strCache>
                <c:ptCount val="1"/>
                <c:pt idx="0">
                  <c:v>Goal</c:v>
                </c:pt>
              </c:strCache>
            </c:strRef>
          </c:tx>
          <c:spPr>
            <a:ln w="28575" cap="rnd">
              <a:solidFill>
                <a:schemeClr val="accent2"/>
              </a:solidFill>
              <a:round/>
            </a:ln>
            <a:effectLst/>
          </c:spPr>
          <c:marker>
            <c:symbol val="none"/>
          </c:marker>
          <c:cat>
            <c:strRef>
              <c:extLst>
                <c:ext xmlns:c15="http://schemas.microsoft.com/office/drawing/2012/chart" uri="{02D57815-91ED-43cb-92C2-25804820EDAC}">
                  <c15:fullRef>
                    <c15:sqref>PerformaceCenter!$B$51:$N$51</c15:sqref>
                  </c15:fullRef>
                </c:ext>
              </c:extLst>
              <c:f>(PerformaceCenter!$B$51:$H$51,PerformaceCenter!$N$51)</c:f>
              <c:strCache>
                <c:ptCount val="8"/>
                <c:pt idx="0">
                  <c:v>Jan</c:v>
                </c:pt>
                <c:pt idx="1">
                  <c:v>Feb</c:v>
                </c:pt>
                <c:pt idx="2">
                  <c:v>Mar</c:v>
                </c:pt>
                <c:pt idx="3">
                  <c:v>Apr</c:v>
                </c:pt>
                <c:pt idx="4">
                  <c:v>May</c:v>
                </c:pt>
                <c:pt idx="5">
                  <c:v>Jun</c:v>
                </c:pt>
                <c:pt idx="6">
                  <c:v>Jul</c:v>
                </c:pt>
                <c:pt idx="7">
                  <c:v>Average</c:v>
                </c:pt>
              </c:strCache>
            </c:strRef>
          </c:cat>
          <c:val>
            <c:numRef>
              <c:extLst>
                <c:ext xmlns:c15="http://schemas.microsoft.com/office/drawing/2012/chart" uri="{02D57815-91ED-43cb-92C2-25804820EDAC}">
                  <c15:fullRef>
                    <c15:sqref>PerformaceCenter!$B$53:$N$53</c15:sqref>
                  </c15:fullRef>
                </c:ext>
              </c:extLst>
              <c:f>(PerformaceCenter!$B$53:$H$53,PerformaceCenter!$N$53)</c:f>
              <c:numCache>
                <c:formatCode>0%</c:formatCode>
                <c:ptCount val="8"/>
                <c:pt idx="0">
                  <c:v>0.75</c:v>
                </c:pt>
                <c:pt idx="1">
                  <c:v>0.75</c:v>
                </c:pt>
                <c:pt idx="2">
                  <c:v>0.75</c:v>
                </c:pt>
                <c:pt idx="3">
                  <c:v>0.75</c:v>
                </c:pt>
                <c:pt idx="4">
                  <c:v>0.75</c:v>
                </c:pt>
                <c:pt idx="5">
                  <c:v>0.75</c:v>
                </c:pt>
                <c:pt idx="6">
                  <c:v>0.75</c:v>
                </c:pt>
              </c:numCache>
            </c:numRef>
          </c:val>
          <c:smooth val="0"/>
          <c:extLst>
            <c:ext xmlns:c16="http://schemas.microsoft.com/office/drawing/2014/chart" uri="{C3380CC4-5D6E-409C-BE32-E72D297353CC}">
              <c16:uniqueId val="{00000005-7AE4-4209-9CAB-24DB09B7205D}"/>
            </c:ext>
          </c:extLst>
        </c:ser>
        <c:dLbls>
          <c:showLegendKey val="0"/>
          <c:showVal val="0"/>
          <c:showCatName val="0"/>
          <c:showSerName val="0"/>
          <c:showPercent val="0"/>
          <c:showBubbleSize val="0"/>
        </c:dLbls>
        <c:marker val="1"/>
        <c:smooth val="0"/>
        <c:axId val="1014992480"/>
        <c:axId val="1014994640"/>
      </c:lineChart>
      <c:catAx>
        <c:axId val="101499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994640"/>
        <c:crosses val="autoZero"/>
        <c:auto val="1"/>
        <c:lblAlgn val="ctr"/>
        <c:lblOffset val="100"/>
        <c:noMultiLvlLbl val="0"/>
      </c:catAx>
      <c:valAx>
        <c:axId val="1014994640"/>
        <c:scaling>
          <c:orientation val="minMax"/>
        </c:scaling>
        <c:delete val="0"/>
        <c:axPos val="l"/>
        <c:majorGridlines>
          <c:spPr>
            <a:ln w="9525" cap="flat" cmpd="sng" algn="ctr">
              <a:gradFill>
                <a:gsLst>
                  <a:gs pos="0">
                    <a:schemeClr val="accent1">
                      <a:lumMod val="5000"/>
                      <a:lumOff val="9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9924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 Analysis by CompleteDate.xlsx]ReturnsPivot!PivotTable2</c:name>
    <c:fmtId val="3"/>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marker>
          <c:symbol val="none"/>
        </c:marker>
        <c:dLbl>
          <c:idx val="0"/>
          <c:spPr>
            <a:solidFill>
              <a:srgbClr val="FFFF00"/>
            </a:solidFill>
            <a:ln>
              <a:solidFill>
                <a:srgbClr val="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2"/>
        <c:spPr>
          <a:solidFill>
            <a:srgbClr val="00B050"/>
          </a:solidFill>
          <a:ln w="19050">
            <a:solidFill>
              <a:schemeClr val="lt1"/>
            </a:solidFill>
          </a:ln>
          <a:effectLst/>
        </c:spPr>
      </c:pivotFmt>
      <c:pivotFmt>
        <c:idx val="113"/>
        <c:spPr>
          <a:solidFill>
            <a:srgbClr val="00B0F0"/>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lumMod val="50000"/>
            </a:schemeClr>
          </a:solidFill>
          <a:ln w="19050">
            <a:solidFill>
              <a:schemeClr val="lt1"/>
            </a:solidFill>
          </a:ln>
          <a:effectLst/>
        </c:spPr>
      </c:pivotFmt>
    </c:pivotFmts>
    <c:plotArea>
      <c:layout/>
      <c:pieChart>
        <c:varyColors val="1"/>
        <c:ser>
          <c:idx val="0"/>
          <c:order val="0"/>
          <c:tx>
            <c:strRef>
              <c:f>ReturnsPivot!$B$15:$B$16</c:f>
              <c:strCache>
                <c:ptCount val="1"/>
                <c:pt idx="0">
                  <c:v>Jul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F853-4ECE-B9F1-DF638A7BA506}"/>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F853-4ECE-B9F1-DF638A7BA5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53-4ECE-B9F1-DF638A7BA5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53-4ECE-B9F1-DF638A7BA506}"/>
              </c:ext>
            </c:extLst>
          </c:dPt>
          <c:dPt>
            <c:idx val="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9-F853-4ECE-B9F1-DF638A7BA5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853-4ECE-B9F1-DF638A7BA50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853-4ECE-B9F1-DF638A7BA506}"/>
              </c:ext>
            </c:extLst>
          </c:dPt>
          <c:dLbls>
            <c:spPr>
              <a:solidFill>
                <a:srgbClr val="FFFF00"/>
              </a:solidFill>
              <a:ln>
                <a:solidFill>
                  <a:srgbClr val="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ReturnsPivot!$A$17:$A$22</c:f>
              <c:strCache>
                <c:ptCount val="5"/>
                <c:pt idx="0">
                  <c:v>Cover Page</c:v>
                </c:pt>
                <c:pt idx="1">
                  <c:v>Pre EA General</c:v>
                </c:pt>
                <c:pt idx="2">
                  <c:v>Question</c:v>
                </c:pt>
                <c:pt idx="3">
                  <c:v>Team Center</c:v>
                </c:pt>
                <c:pt idx="4">
                  <c:v>Tech Data</c:v>
                </c:pt>
              </c:strCache>
            </c:strRef>
          </c:cat>
          <c:val>
            <c:numRef>
              <c:f>ReturnsPivot!$B$17:$B$22</c:f>
              <c:numCache>
                <c:formatCode>General</c:formatCode>
                <c:ptCount val="5"/>
                <c:pt idx="0">
                  <c:v>11</c:v>
                </c:pt>
                <c:pt idx="1">
                  <c:v>16</c:v>
                </c:pt>
                <c:pt idx="2">
                  <c:v>17</c:v>
                </c:pt>
                <c:pt idx="3">
                  <c:v>19</c:v>
                </c:pt>
                <c:pt idx="4">
                  <c:v>27</c:v>
                </c:pt>
              </c:numCache>
            </c:numRef>
          </c:val>
          <c:extLst>
            <c:ext xmlns:c16="http://schemas.microsoft.com/office/drawing/2014/chart" uri="{C3380CC4-5D6E-409C-BE32-E72D297353CC}">
              <c16:uniqueId val="{0000000E-F853-4ECE-B9F1-DF638A7BA506}"/>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2025 C&amp;C Expected Deliveries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PerformaceCenter!$A$6</c:f>
              <c:strCache>
                <c:ptCount val="1"/>
                <c:pt idx="0">
                  <c:v>Min Plan</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PerformaceCenter!$B$5:$M$5</c15:sqref>
                  </c15:fullRef>
                </c:ext>
              </c:extLst>
              <c:f>PerformaceCenter!$F$5:$J$5</c:f>
              <c:strCache>
                <c:ptCount val="5"/>
                <c:pt idx="0">
                  <c:v>May</c:v>
                </c:pt>
                <c:pt idx="1">
                  <c:v>Jun</c:v>
                </c:pt>
                <c:pt idx="2">
                  <c:v>Jul</c:v>
                </c:pt>
                <c:pt idx="3">
                  <c:v>Aug</c:v>
                </c:pt>
                <c:pt idx="4">
                  <c:v>Sep</c:v>
                </c:pt>
              </c:strCache>
            </c:strRef>
          </c:cat>
          <c:val>
            <c:numRef>
              <c:extLst>
                <c:ext xmlns:c15="http://schemas.microsoft.com/office/drawing/2012/chart" uri="{02D57815-91ED-43cb-92C2-25804820EDAC}">
                  <c15:fullRef>
                    <c15:sqref>PerformaceCenter!$B$6:$M$6</c15:sqref>
                  </c15:fullRef>
                </c:ext>
              </c:extLst>
              <c:f>PerformaceCenter!$F$6:$J$6</c:f>
              <c:numCache>
                <c:formatCode>0</c:formatCode>
                <c:ptCount val="5"/>
                <c:pt idx="0">
                  <c:v>39</c:v>
                </c:pt>
                <c:pt idx="1">
                  <c:v>40</c:v>
                </c:pt>
                <c:pt idx="2">
                  <c:v>33</c:v>
                </c:pt>
                <c:pt idx="3">
                  <c:v>41</c:v>
                </c:pt>
                <c:pt idx="4">
                  <c:v>42</c:v>
                </c:pt>
              </c:numCache>
            </c:numRef>
          </c:val>
          <c:extLst>
            <c:ext xmlns:c16="http://schemas.microsoft.com/office/drawing/2014/chart" uri="{C3380CC4-5D6E-409C-BE32-E72D297353CC}">
              <c16:uniqueId val="{00000000-4E3E-4A6B-82EA-ECC01A03CA38}"/>
            </c:ext>
          </c:extLst>
        </c:ser>
        <c:ser>
          <c:idx val="1"/>
          <c:order val="1"/>
          <c:tx>
            <c:strRef>
              <c:f>PerformaceCenter!$A$7</c:f>
              <c:strCache>
                <c:ptCount val="1"/>
                <c:pt idx="0">
                  <c:v>Completed EAs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PerformaceCenter!$B$5:$M$5</c15:sqref>
                  </c15:fullRef>
                </c:ext>
              </c:extLst>
              <c:f>PerformaceCenter!$F$5:$J$5</c:f>
              <c:strCache>
                <c:ptCount val="5"/>
                <c:pt idx="0">
                  <c:v>May</c:v>
                </c:pt>
                <c:pt idx="1">
                  <c:v>Jun</c:v>
                </c:pt>
                <c:pt idx="2">
                  <c:v>Jul</c:v>
                </c:pt>
                <c:pt idx="3">
                  <c:v>Aug</c:v>
                </c:pt>
                <c:pt idx="4">
                  <c:v>Sep</c:v>
                </c:pt>
              </c:strCache>
            </c:strRef>
          </c:cat>
          <c:val>
            <c:numRef>
              <c:extLst>
                <c:ext xmlns:c15="http://schemas.microsoft.com/office/drawing/2012/chart" uri="{02D57815-91ED-43cb-92C2-25804820EDAC}">
                  <c15:fullRef>
                    <c15:sqref>PerformaceCenter!$B$7:$M$7</c15:sqref>
                  </c15:fullRef>
                </c:ext>
              </c:extLst>
              <c:f>PerformaceCenter!$F$7:$J$7</c:f>
              <c:numCache>
                <c:formatCode>0</c:formatCode>
                <c:ptCount val="5"/>
                <c:pt idx="0">
                  <c:v>44</c:v>
                </c:pt>
                <c:pt idx="1">
                  <c:v>52</c:v>
                </c:pt>
                <c:pt idx="2">
                  <c:v>44</c:v>
                </c:pt>
                <c:pt idx="3">
                  <c:v>3</c:v>
                </c:pt>
                <c:pt idx="4">
                  <c:v>0</c:v>
                </c:pt>
              </c:numCache>
            </c:numRef>
          </c:val>
          <c:extLst>
            <c:ext xmlns:c16="http://schemas.microsoft.com/office/drawing/2014/chart" uri="{C3380CC4-5D6E-409C-BE32-E72D297353CC}">
              <c16:uniqueId val="{00000001-4E3E-4A6B-82EA-ECC01A03CA38}"/>
            </c:ext>
          </c:extLst>
        </c:ser>
        <c:ser>
          <c:idx val="2"/>
          <c:order val="2"/>
          <c:tx>
            <c:strRef>
              <c:f>PerformaceCenter!$A$8</c:f>
              <c:strCache>
                <c:ptCount val="1"/>
                <c:pt idx="0">
                  <c:v>Lookahead</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PerformaceCenter!$B$5:$M$5</c15:sqref>
                  </c15:fullRef>
                </c:ext>
              </c:extLst>
              <c:f>PerformaceCenter!$F$5:$J$5</c:f>
              <c:strCache>
                <c:ptCount val="5"/>
                <c:pt idx="0">
                  <c:v>May</c:v>
                </c:pt>
                <c:pt idx="1">
                  <c:v>Jun</c:v>
                </c:pt>
                <c:pt idx="2">
                  <c:v>Jul</c:v>
                </c:pt>
                <c:pt idx="3">
                  <c:v>Aug</c:v>
                </c:pt>
                <c:pt idx="4">
                  <c:v>Sep</c:v>
                </c:pt>
              </c:strCache>
            </c:strRef>
          </c:cat>
          <c:val>
            <c:numRef>
              <c:extLst>
                <c:ext xmlns:c15="http://schemas.microsoft.com/office/drawing/2012/chart" uri="{02D57815-91ED-43cb-92C2-25804820EDAC}">
                  <c15:fullRef>
                    <c15:sqref>PerformaceCenter!$B$8:$M$8</c15:sqref>
                  </c15:fullRef>
                </c:ext>
              </c:extLst>
              <c:f>PerformaceCenter!$F$8:$J$8</c:f>
              <c:numCache>
                <c:formatCode>0</c:formatCode>
                <c:ptCount val="5"/>
                <c:pt idx="0">
                  <c:v>37</c:v>
                </c:pt>
                <c:pt idx="1">
                  <c:v>52</c:v>
                </c:pt>
                <c:pt idx="2">
                  <c:v>28</c:v>
                </c:pt>
                <c:pt idx="3">
                  <c:v>46</c:v>
                </c:pt>
                <c:pt idx="4">
                  <c:v>20</c:v>
                </c:pt>
              </c:numCache>
            </c:numRef>
          </c:val>
          <c:extLst>
            <c:ext xmlns:c16="http://schemas.microsoft.com/office/drawing/2014/chart" uri="{C3380CC4-5D6E-409C-BE32-E72D297353CC}">
              <c16:uniqueId val="{00000002-4E3E-4A6B-82EA-ECC01A03CA38}"/>
            </c:ext>
          </c:extLst>
        </c:ser>
        <c:dLbls>
          <c:dLblPos val="outEnd"/>
          <c:showLegendKey val="0"/>
          <c:showVal val="1"/>
          <c:showCatName val="0"/>
          <c:showSerName val="0"/>
          <c:showPercent val="0"/>
          <c:showBubbleSize val="0"/>
        </c:dLbls>
        <c:gapWidth val="219"/>
        <c:overlap val="-27"/>
        <c:axId val="1215328328"/>
        <c:axId val="1215328688"/>
      </c:barChart>
      <c:catAx>
        <c:axId val="1215328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328688"/>
        <c:crosses val="autoZero"/>
        <c:auto val="1"/>
        <c:lblAlgn val="ctr"/>
        <c:lblOffset val="100"/>
        <c:noMultiLvlLbl val="0"/>
      </c:catAx>
      <c:valAx>
        <c:axId val="1215328688"/>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3283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26</xdr:col>
      <xdr:colOff>0</xdr:colOff>
      <xdr:row>5</xdr:row>
      <xdr:rowOff>1</xdr:rowOff>
    </xdr:from>
    <xdr:to>
      <xdr:col>30</xdr:col>
      <xdr:colOff>152400</xdr:colOff>
      <xdr:row>11</xdr:row>
      <xdr:rowOff>0</xdr:rowOff>
    </xdr:to>
    <xdr:sp macro="" textlink="">
      <xdr:nvSpPr>
        <xdr:cNvPr id="2" name="TextBox 1">
          <a:extLst>
            <a:ext uri="{FF2B5EF4-FFF2-40B4-BE49-F238E27FC236}">
              <a16:creationId xmlns:a16="http://schemas.microsoft.com/office/drawing/2014/main" id="{8A2E17D0-7237-49D2-BBE4-95BC7FF2F2BB}"/>
            </a:ext>
          </a:extLst>
        </xdr:cNvPr>
        <xdr:cNvSpPr txBox="1"/>
      </xdr:nvSpPr>
      <xdr:spPr>
        <a:xfrm>
          <a:off x="17726025" y="952501"/>
          <a:ext cx="2590800" cy="1142999"/>
        </a:xfrm>
        <a:prstGeom prst="rect">
          <a:avLst/>
        </a:prstGeom>
        <a:solidFill>
          <a:srgbClr val="FFFF00"/>
        </a:solidFill>
        <a:ln w="19050" cmpd="sng">
          <a:solidFill>
            <a:srgbClr val="FF0000"/>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Validation Complete Date</a:t>
          </a:r>
          <a:r>
            <a:rPr lang="en-US" sz="1100" b="1" i="0" u="none" strike="noStrike" baseline="0">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en-US" sz="11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used as Date Filter.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19</xdr:row>
      <xdr:rowOff>1</xdr:rowOff>
    </xdr:from>
    <xdr:to>
      <xdr:col>29</xdr:col>
      <xdr:colOff>2720</xdr:colOff>
      <xdr:row>51</xdr:row>
      <xdr:rowOff>3736</xdr:rowOff>
    </xdr:to>
    <xdr:graphicFrame macro="">
      <xdr:nvGraphicFramePr>
        <xdr:cNvPr id="6" name="Chart 5">
          <a:extLst>
            <a:ext uri="{FF2B5EF4-FFF2-40B4-BE49-F238E27FC236}">
              <a16:creationId xmlns:a16="http://schemas.microsoft.com/office/drawing/2014/main" id="{CF5FCD22-4CD2-31D3-E620-C55AEBE01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0</xdr:colOff>
      <xdr:row>19</xdr:row>
      <xdr:rowOff>11207</xdr:rowOff>
    </xdr:from>
    <xdr:to>
      <xdr:col>38</xdr:col>
      <xdr:colOff>358237</xdr:colOff>
      <xdr:row>49</xdr:row>
      <xdr:rowOff>0</xdr:rowOff>
    </xdr:to>
    <xdr:graphicFrame macro="">
      <xdr:nvGraphicFramePr>
        <xdr:cNvPr id="7" name="Chart 6">
          <a:extLst>
            <a:ext uri="{FF2B5EF4-FFF2-40B4-BE49-F238E27FC236}">
              <a16:creationId xmlns:a16="http://schemas.microsoft.com/office/drawing/2014/main" id="{D8D95975-1CB0-2DC2-519A-8FEF13EE7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66</xdr:row>
      <xdr:rowOff>186765</xdr:rowOff>
    </xdr:from>
    <xdr:to>
      <xdr:col>23</xdr:col>
      <xdr:colOff>0</xdr:colOff>
      <xdr:row>94</xdr:row>
      <xdr:rowOff>0</xdr:rowOff>
    </xdr:to>
    <xdr:grpSp>
      <xdr:nvGrpSpPr>
        <xdr:cNvPr id="4" name="Group 3">
          <a:extLst>
            <a:ext uri="{FF2B5EF4-FFF2-40B4-BE49-F238E27FC236}">
              <a16:creationId xmlns:a16="http://schemas.microsoft.com/office/drawing/2014/main" id="{D074519B-1F36-7956-F8A2-6EE42789CACE}"/>
            </a:ext>
          </a:extLst>
        </xdr:cNvPr>
        <xdr:cNvGrpSpPr/>
      </xdr:nvGrpSpPr>
      <xdr:grpSpPr>
        <a:xfrm>
          <a:off x="1735667" y="12132173"/>
          <a:ext cx="16054916" cy="4854077"/>
          <a:chOff x="1660071" y="11293928"/>
          <a:chExt cx="14641286" cy="5147235"/>
        </a:xfrm>
      </xdr:grpSpPr>
      <xdr:graphicFrame macro="">
        <xdr:nvGraphicFramePr>
          <xdr:cNvPr id="2" name="Chart 1">
            <a:extLst>
              <a:ext uri="{FF2B5EF4-FFF2-40B4-BE49-F238E27FC236}">
                <a16:creationId xmlns:a16="http://schemas.microsoft.com/office/drawing/2014/main" id="{30C0E7A0-EC0A-491E-8EF0-336DE8B13ED6}"/>
              </a:ext>
            </a:extLst>
          </xdr:cNvPr>
          <xdr:cNvGraphicFramePr>
            <a:graphicFrameLocks/>
          </xdr:cNvGraphicFramePr>
        </xdr:nvGraphicFramePr>
        <xdr:xfrm>
          <a:off x="1660071" y="11293928"/>
          <a:ext cx="8640536" cy="514723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3" name="Chart 2">
            <a:extLst>
              <a:ext uri="{FF2B5EF4-FFF2-40B4-BE49-F238E27FC236}">
                <a16:creationId xmlns:a16="http://schemas.microsoft.com/office/drawing/2014/main" id="{981DDF80-B48A-4D25-A8EB-58D158A86681}"/>
              </a:ext>
            </a:extLst>
          </xdr:cNvPr>
          <xdr:cNvGraphicFramePr>
            <a:graphicFrameLocks/>
          </xdr:cNvGraphicFramePr>
        </xdr:nvGraphicFramePr>
        <xdr:xfrm>
          <a:off x="10912929" y="11482028"/>
          <a:ext cx="5388428" cy="4751293"/>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442231</xdr:colOff>
      <xdr:row>63</xdr:row>
      <xdr:rowOff>77559</xdr:rowOff>
    </xdr:from>
    <xdr:to>
      <xdr:col>23</xdr:col>
      <xdr:colOff>333374</xdr:colOff>
      <xdr:row>76</xdr:row>
      <xdr:rowOff>167367</xdr:rowOff>
    </xdr:to>
    <xdr:graphicFrame macro="">
      <xdr:nvGraphicFramePr>
        <xdr:cNvPr id="2" name="Chart 1">
          <a:extLst>
            <a:ext uri="{FF2B5EF4-FFF2-40B4-BE49-F238E27FC236}">
              <a16:creationId xmlns:a16="http://schemas.microsoft.com/office/drawing/2014/main" id="{7A4D7F41-4D1F-40C8-9286-650B5ADEB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30989</xdr:colOff>
      <xdr:row>47</xdr:row>
      <xdr:rowOff>112430</xdr:rowOff>
    </xdr:from>
    <xdr:to>
      <xdr:col>15</xdr:col>
      <xdr:colOff>18411</xdr:colOff>
      <xdr:row>71</xdr:row>
      <xdr:rowOff>167288</xdr:rowOff>
    </xdr:to>
    <xdr:graphicFrame macro="">
      <xdr:nvGraphicFramePr>
        <xdr:cNvPr id="2" name="Chart 1">
          <a:extLst>
            <a:ext uri="{FF2B5EF4-FFF2-40B4-BE49-F238E27FC236}">
              <a16:creationId xmlns:a16="http://schemas.microsoft.com/office/drawing/2014/main" id="{27F10D98-A84F-45D3-8A2F-FEE29071B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92652</xdr:colOff>
      <xdr:row>24</xdr:row>
      <xdr:rowOff>82259</xdr:rowOff>
    </xdr:from>
    <xdr:to>
      <xdr:col>30</xdr:col>
      <xdr:colOff>109970</xdr:colOff>
      <xdr:row>54</xdr:row>
      <xdr:rowOff>64942</xdr:rowOff>
    </xdr:to>
    <xdr:graphicFrame macro="">
      <xdr:nvGraphicFramePr>
        <xdr:cNvPr id="3" name="Chart 2">
          <a:extLst>
            <a:ext uri="{FF2B5EF4-FFF2-40B4-BE49-F238E27FC236}">
              <a16:creationId xmlns:a16="http://schemas.microsoft.com/office/drawing/2014/main" id="{A0023AA2-57E0-4370-896C-D4F0A083B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17319</xdr:colOff>
      <xdr:row>0</xdr:row>
      <xdr:rowOff>34635</xdr:rowOff>
    </xdr:from>
    <xdr:to>
      <xdr:col>15</xdr:col>
      <xdr:colOff>69274</xdr:colOff>
      <xdr:row>24</xdr:row>
      <xdr:rowOff>34635</xdr:rowOff>
    </xdr:to>
    <xdr:graphicFrame macro="">
      <xdr:nvGraphicFramePr>
        <xdr:cNvPr id="4" name="Chart 3">
          <a:extLst>
            <a:ext uri="{FF2B5EF4-FFF2-40B4-BE49-F238E27FC236}">
              <a16:creationId xmlns:a16="http://schemas.microsoft.com/office/drawing/2014/main" id="{5BB4011C-0538-44E5-BDFB-9DA4B3E47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86591</xdr:colOff>
      <xdr:row>0</xdr:row>
      <xdr:rowOff>34637</xdr:rowOff>
    </xdr:from>
    <xdr:to>
      <xdr:col>30</xdr:col>
      <xdr:colOff>138545</xdr:colOff>
      <xdr:row>24</xdr:row>
      <xdr:rowOff>34637</xdr:rowOff>
    </xdr:to>
    <xdr:graphicFrame macro="">
      <xdr:nvGraphicFramePr>
        <xdr:cNvPr id="5" name="Chart 4">
          <a:extLst>
            <a:ext uri="{FF2B5EF4-FFF2-40B4-BE49-F238E27FC236}">
              <a16:creationId xmlns:a16="http://schemas.microsoft.com/office/drawing/2014/main" id="{F70B7900-1FF9-4BB6-84F0-146949C1B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xdr:colOff>
      <xdr:row>24</xdr:row>
      <xdr:rowOff>85725</xdr:rowOff>
    </xdr:from>
    <xdr:to>
      <xdr:col>7</xdr:col>
      <xdr:colOff>334487</xdr:colOff>
      <xdr:row>47</xdr:row>
      <xdr:rowOff>124971</xdr:rowOff>
    </xdr:to>
    <xdr:graphicFrame macro="">
      <xdr:nvGraphicFramePr>
        <xdr:cNvPr id="6" name="Chart 5">
          <a:extLst>
            <a:ext uri="{FF2B5EF4-FFF2-40B4-BE49-F238E27FC236}">
              <a16:creationId xmlns:a16="http://schemas.microsoft.com/office/drawing/2014/main" id="{6F841701-F036-4122-B587-08AA36D15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372836</xdr:colOff>
      <xdr:row>24</xdr:row>
      <xdr:rowOff>87087</xdr:rowOff>
    </xdr:from>
    <xdr:to>
      <xdr:col>15</xdr:col>
      <xdr:colOff>33091</xdr:colOff>
      <xdr:row>47</xdr:row>
      <xdr:rowOff>122465</xdr:rowOff>
    </xdr:to>
    <xdr:graphicFrame macro="">
      <xdr:nvGraphicFramePr>
        <xdr:cNvPr id="7" name="Chart 6">
          <a:extLst>
            <a:ext uri="{FF2B5EF4-FFF2-40B4-BE49-F238E27FC236}">
              <a16:creationId xmlns:a16="http://schemas.microsoft.com/office/drawing/2014/main" id="{6EFFDD18-7281-4263-BFE0-D751BD0CE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211533</xdr:colOff>
      <xdr:row>54</xdr:row>
      <xdr:rowOff>163908</xdr:rowOff>
    </xdr:from>
    <xdr:to>
      <xdr:col>30</xdr:col>
      <xdr:colOff>71436</xdr:colOff>
      <xdr:row>74</xdr:row>
      <xdr:rowOff>-1</xdr:rowOff>
    </xdr:to>
    <xdr:graphicFrame macro="">
      <xdr:nvGraphicFramePr>
        <xdr:cNvPr id="8" name="Chart 7">
          <a:extLst>
            <a:ext uri="{FF2B5EF4-FFF2-40B4-BE49-F238E27FC236}">
              <a16:creationId xmlns:a16="http://schemas.microsoft.com/office/drawing/2014/main" id="{99456A97-9D3B-F758-9CB0-D9B0A80D6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6350</xdr:colOff>
      <xdr:row>72</xdr:row>
      <xdr:rowOff>1</xdr:rowOff>
    </xdr:from>
    <xdr:to>
      <xdr:col>15</xdr:col>
      <xdr:colOff>0</xdr:colOff>
      <xdr:row>98</xdr:row>
      <xdr:rowOff>154781</xdr:rowOff>
    </xdr:to>
    <xdr:graphicFrame macro="">
      <xdr:nvGraphicFramePr>
        <xdr:cNvPr id="10" name="Chart 9">
          <a:extLst>
            <a:ext uri="{FF2B5EF4-FFF2-40B4-BE49-F238E27FC236}">
              <a16:creationId xmlns:a16="http://schemas.microsoft.com/office/drawing/2014/main" id="{71E164C6-0C1C-46C3-92DC-19CAB6260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228600</xdr:colOff>
      <xdr:row>74</xdr:row>
      <xdr:rowOff>106362</xdr:rowOff>
    </xdr:from>
    <xdr:to>
      <xdr:col>30</xdr:col>
      <xdr:colOff>85725</xdr:colOff>
      <xdr:row>99</xdr:row>
      <xdr:rowOff>47625</xdr:rowOff>
    </xdr:to>
    <xdr:graphicFrame macro="">
      <xdr:nvGraphicFramePr>
        <xdr:cNvPr id="9" name="Chart 8">
          <a:extLst>
            <a:ext uri="{FF2B5EF4-FFF2-40B4-BE49-F238E27FC236}">
              <a16:creationId xmlns:a16="http://schemas.microsoft.com/office/drawing/2014/main" id="{0FE57DAD-324E-4FDF-08B4-CECD7DE9F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tafa, Ferdin                            PW" refreshedDate="45872.709785185187" createdVersion="8" refreshedVersion="8" minRefreshableVersion="3" recordCount="871" xr:uid="{F66175C1-5553-427D-80CD-59F505702DB9}">
  <cacheSource type="worksheet">
    <worksheetSource ref="A1:AO872" sheet="AllTasks"/>
  </cacheSource>
  <cacheFields count="44">
    <cacheField name="Sector" numFmtId="0">
      <sharedItems/>
    </cacheField>
    <cacheField name="Msg Id" numFmtId="0">
      <sharedItems containsMixedTypes="1" containsNumber="1" containsInteger="1" minValue="95804" maxValue="114305"/>
    </cacheField>
    <cacheField name="Task Owner" numFmtId="0">
      <sharedItems/>
    </cacheField>
    <cacheField name="Redash Status" numFmtId="0">
      <sharedItems/>
    </cacheField>
    <cacheField name="Task Source Status" numFmtId="0">
      <sharedItems/>
    </cacheField>
    <cacheField name="Priority" numFmtId="0">
      <sharedItems count="6">
        <s v="2-Routine"/>
        <s v="1-Urgent"/>
        <s v="3-Medium"/>
        <s v="4-Low"/>
        <s v="Hold"/>
        <s v="Backlog"/>
      </sharedItems>
    </cacheField>
    <cacheField name="Rank" numFmtId="0">
      <sharedItems containsString="0" containsBlank="1" containsNumber="1" containsInteger="1" minValue="1" maxValue="2024"/>
    </cacheField>
    <cacheField name="EA #" numFmtId="0">
      <sharedItems/>
    </cacheField>
    <cacheField name="Wire Type" numFmtId="0">
      <sharedItems/>
    </cacheField>
    <cacheField name="Wire Subtype" numFmtId="0">
      <sharedItems count="4">
        <s v="OTC"/>
        <s v="EM"/>
        <s v="MR"/>
        <s v="Discretionary"/>
      </sharedItems>
    </cacheField>
    <cacheField name="Engine Family" numFmtId="0">
      <sharedItems count="6">
        <s v="PW1000G"/>
        <s v="PW4000"/>
        <s v="PW2000"/>
        <s v="V2500"/>
        <s v="GP7000"/>
        <s v="PW800"/>
      </sharedItems>
    </cacheField>
    <cacheField name="RDE Charge Funding" numFmtId="0">
      <sharedItems containsBlank="1" count="12">
        <s v="24K"/>
        <s v="OCE"/>
        <s v="F117"/>
        <s v="AMO"/>
        <m/>
        <s v="V2500"/>
        <s v="GP7000"/>
        <s v="PIP"/>
        <s v="30K"/>
        <s v="17-24K"/>
        <s v="30K CIPT"/>
        <s v="24K CIPT"/>
      </sharedItems>
    </cacheField>
    <cacheField name="Confidence level" numFmtId="0">
      <sharedItems containsBlank="1"/>
    </cacheField>
    <cacheField name="Hit Date" numFmtId="164">
      <sharedItems containsSemiMixedTypes="0" containsNonDate="0" containsDate="1" containsString="0" minDate="2021-03-10T16:50:13" maxDate="2025-07-21T04:00:00"/>
    </cacheField>
    <cacheField name="Initial Target Date" numFmtId="164">
      <sharedItems containsNonDate="0" containsDate="1" containsString="0" containsBlank="1" minDate="2021-12-10T05:00:00" maxDate="2026-07-21T04:00:00"/>
    </cacheField>
    <cacheField name="Target Date" numFmtId="164">
      <sharedItems containsNonDate="0" containsDate="1" containsString="0" containsBlank="1" minDate="2023-12-22T05:00:00" maxDate="2025-11-19T05:00:00"/>
    </cacheField>
    <cacheField name="Validation Complete Date" numFmtId="164">
      <sharedItems containsSemiMixedTypes="0" containsNonDate="0" containsDate="1" containsString="0" minDate="2024-01-02T00:00:00" maxDate="2025-08-03T04:00:00" count="696">
        <d v="2025-08-01T04:00:00"/>
        <d v="2024-03-19T04:00:00"/>
        <d v="2024-04-30T04:00:00"/>
        <d v="2024-07-18T04:00:00"/>
        <d v="2024-08-27T04:00:00"/>
        <d v="2024-08-05T04:00:00"/>
        <d v="2024-08-26T04:00:00"/>
        <d v="2025-06-27T04:00:00"/>
        <d v="2025-06-18T04:00:00"/>
        <d v="2024-08-23T04:00:00"/>
        <d v="2025-01-24T05:00:00"/>
        <d v="2025-05-30T04:00:00"/>
        <d v="2025-05-05T04:00:00"/>
        <d v="2025-07-01T04:00:00"/>
        <d v="2024-09-13T04:00:00"/>
        <d v="2025-02-05T05:00:00"/>
        <d v="2025-05-27T04:00:00"/>
        <d v="2025-04-25T04:00:00"/>
        <d v="2025-04-11T04:00:00"/>
        <d v="2025-06-23T04:00:00"/>
        <d v="2025-07-02T04:00:00"/>
        <d v="2024-12-11T05:00:00"/>
        <d v="2025-04-08T04:00:00"/>
        <d v="2025-05-02T04:00:00"/>
        <d v="2025-06-30T04:00:00"/>
        <d v="2025-06-02T04:00:00"/>
        <d v="2025-03-27T04:00:00"/>
        <d v="2025-07-09T04:00:00"/>
        <d v="2025-07-07T04:00:00"/>
        <d v="2024-04-16T04:00:00"/>
        <d v="2024-01-22T05:00:00"/>
        <d v="2024-02-26T05:00:00"/>
        <d v="2024-01-11T05:00:00"/>
        <d v="2024-02-22T05:00:00"/>
        <d v="2024-02-08T05:00:00"/>
        <d v="2024-04-24T04:00:00"/>
        <d v="2024-05-24T04:00:00"/>
        <d v="2024-10-30T04:00:00"/>
        <d v="2024-07-15T04:00:00"/>
        <d v="2024-10-08T04:00:00"/>
        <d v="2024-09-23T04:00:00"/>
        <d v="2024-09-06T04:00:00"/>
        <d v="2024-12-12T05:00:00"/>
        <d v="2024-12-18T05:00:00"/>
        <d v="2024-12-16T05:00:00"/>
        <d v="2025-03-25T04:00:00"/>
        <d v="2025-02-21T05:00:00"/>
        <d v="2025-02-18T05:00:00"/>
        <d v="2025-06-09T04:00:00"/>
        <d v="2025-03-19T04:00:00"/>
        <d v="2025-03-20T04:00:00"/>
        <d v="2025-03-31T04:00:00"/>
        <d v="2025-07-14T04:00:00"/>
        <d v="2025-04-29T04:00:00"/>
        <d v="2025-05-20T04:00:00"/>
        <d v="2025-06-26T04:00:00"/>
        <d v="2025-07-25T04:00:00"/>
        <d v="2025-07-16T04:00:00"/>
        <d v="2025-07-31T04:00:00"/>
        <d v="2025-08-03T04:00:00"/>
        <d v="2024-04-08T04:00:00"/>
        <d v="2024-01-31T05:00:00"/>
        <d v="2024-01-29T05:00:00"/>
        <d v="2025-01-07T05:00:00"/>
        <d v="2024-02-27T05:00:00"/>
        <d v="2024-06-14T04:00:00"/>
        <d v="2024-04-23T04:00:00"/>
        <d v="2024-04-09T04:00:00"/>
        <d v="2024-02-09T05:00:00"/>
        <d v="2024-01-26T05:00:00"/>
        <d v="2024-12-19T05:00:00"/>
        <d v="2025-01-08T05:00:00"/>
        <d v="2024-05-20T04:00:00"/>
        <d v="2024-07-25T04:00:00"/>
        <d v="2024-02-19T05:00:00"/>
        <d v="2024-04-19T04:00:00"/>
        <d v="2024-04-25T04:00:00"/>
        <d v="2024-03-21T04:00:00"/>
        <d v="2024-05-13T04:00:00"/>
        <d v="2025-01-14T05:00:00"/>
        <d v="2024-09-27T04:00:00"/>
        <d v="2024-03-25T04:00:00"/>
        <d v="2024-08-15T04:00:00"/>
        <d v="2025-01-13T05:00:00"/>
        <d v="2025-01-17T05:00:00"/>
        <d v="2024-05-07T04:00:00"/>
        <d v="2024-08-16T04:00:00"/>
        <d v="2024-08-12T04:00:00"/>
        <d v="2024-07-02T04:00:00"/>
        <d v="2024-05-31T04:00:00"/>
        <d v="2024-07-08T04:00:00"/>
        <d v="2024-07-30T04:00:00"/>
        <d v="2024-07-31T04:00:00"/>
        <d v="2024-08-21T04:00:00"/>
        <d v="2024-08-28T04:00:00"/>
        <d v="2024-09-30T04:00:00"/>
        <d v="2025-01-30T05:00:00"/>
        <d v="2025-01-09T05:00:00"/>
        <d v="2025-01-29T05:00:00"/>
        <d v="2025-01-28T05:00:00"/>
        <d v="2025-02-06T05:00:00"/>
        <d v="2024-06-06T04:00:00"/>
        <d v="2024-03-11T04:00:00"/>
        <d v="2024-07-11T04:00:00"/>
        <d v="2024-01-23T05:00:00"/>
        <d v="2024-09-20T04:00:00"/>
        <d v="2024-01-25T05:00:00"/>
        <d v="2024-07-16T04:00:00"/>
        <d v="2024-04-17T04:00:00"/>
        <d v="2024-04-22T04:00:00"/>
        <d v="2024-06-04T04:00:00"/>
        <d v="2024-10-01T04:00:00"/>
        <d v="2024-08-13T04:00:00"/>
        <d v="2024-10-28T04:00:00"/>
        <d v="2025-02-12T05:00:00"/>
        <d v="2024-01-05T05:00:00"/>
        <d v="2024-06-12T04:00:00"/>
        <d v="2024-03-20T04:00:00"/>
        <d v="2024-01-16T05:00:00"/>
        <d v="2024-05-01T04:00:00"/>
        <d v="2024-02-12T05:00:00"/>
        <d v="2024-06-10T04:00:00"/>
        <d v="2024-04-05T04:00:00"/>
        <d v="2024-05-02T04:00:00"/>
        <d v="2025-07-08T04:00:00"/>
        <d v="2024-02-16T05:00:00"/>
        <d v="2024-01-30T05:00:00"/>
        <d v="2024-02-29T05:00:00"/>
        <d v="2024-02-07T05:00:00"/>
        <d v="2024-03-22T04:00:00"/>
        <d v="2024-05-10T04:00:00"/>
        <d v="2024-06-30T04:00:00"/>
        <d v="2024-04-29T04:00:00"/>
        <d v="2024-05-21T04:00:00"/>
        <d v="2024-06-05T04:00:00"/>
        <d v="2025-02-11T05:00:00"/>
        <d v="2025-07-18T04:00:00"/>
        <d v="2024-01-02T05:00:00"/>
        <d v="2024-05-16T04:00:00"/>
        <d v="2024-01-03T05:00:00"/>
        <d v="2024-07-10T04:00:00"/>
        <d v="2024-05-22T04:00:00"/>
        <d v="2024-02-21T05:00:00"/>
        <d v="2024-03-26T04:00:00"/>
        <d v="2024-03-14T04:00:00"/>
        <d v="2024-06-13T04:00:00"/>
        <d v="2024-09-04T04:00:00"/>
        <d v="2024-06-21T04:00:00"/>
        <d v="2024-07-17T04:00:00"/>
        <d v="2024-11-13T05:00:00"/>
        <d v="2025-06-19T04:00:00"/>
        <d v="2024-06-07T04:00:00"/>
        <d v="2024-03-05T05:00:00"/>
        <d v="2024-03-29T04:00:00"/>
        <d v="2024-03-27T04:00:00"/>
        <d v="2024-07-12T04:00:00"/>
        <d v="2024-09-24T04:00:00"/>
        <d v="2025-05-12T04:00:00"/>
        <d v="2025-07-03T04:00:00"/>
        <d v="2024-04-04T04:00:00"/>
        <d v="2024-02-23T05:00:00"/>
        <d v="2024-01-12T05:00:00"/>
        <d v="2024-02-15T05:00:00"/>
        <d v="2024-07-22T04:00:00"/>
        <d v="2024-09-25T04:00:00"/>
        <d v="2024-04-03T04:00:00"/>
        <d v="2024-07-24T04:00:00"/>
        <d v="2024-06-19T04:00:00"/>
        <d v="2024-09-17T04:00:00"/>
        <d v="2024-08-29T04:00:00"/>
        <d v="2024-09-11T04:00:00"/>
        <d v="2025-05-28T04:00:00"/>
        <d v="2024-03-04T05:00:00"/>
        <d v="2024-03-18T04:00:00"/>
        <d v="2024-08-06T04:00:00"/>
        <d v="2024-12-20T05:00:00"/>
        <d v="2025-05-21T04:00:00"/>
        <d v="2025-07-17T04:00:00"/>
        <d v="2025-03-18T04:00:00"/>
        <d v="2024-10-22T04:00:00"/>
        <d v="2024-10-04T04:00:00"/>
        <d v="2025-01-15T05:00:00"/>
        <d v="2024-11-15T05:00:00"/>
        <d v="2024-10-23T04:00:00"/>
        <d v="2024-12-02T05:00:00"/>
        <d v="2024-11-22T05:00:00"/>
        <d v="2024-12-10T05:00:00"/>
        <d v="2024-11-14T05:00:00"/>
        <d v="2024-12-17T05:00:00"/>
        <d v="2024-12-13T05:00:00"/>
        <d v="2025-02-13T05:00:00"/>
        <d v="2025-05-08T04:00:00"/>
        <d v="2025-02-27T05:00:00"/>
        <d v="2025-03-04T05:00:00"/>
        <d v="2025-05-07T04:00:00"/>
        <d v="2024-06-25T04:00:00"/>
        <d v="2024-03-12T04:00:00"/>
        <d v="2024-11-19T05:00:00"/>
        <d v="2024-10-25T04:00:00"/>
        <d v="2025-02-20T05:00:00"/>
        <d v="2025-05-09T04:00:00"/>
        <d v="2025-04-30T04:00:00"/>
        <d v="2025-02-25T05:00:00"/>
        <d v="2025-05-06T04:00:00"/>
        <d v="2025-06-06T04:00:00"/>
        <d v="2025-06-20T04:00:00"/>
        <d v="2025-05-19T04:00:00"/>
        <d v="2025-06-17T04:00:00"/>
        <d v="2024-10-17T04:00:00"/>
        <d v="2025-04-09T04:00:00"/>
        <d v="2024-12-04T05:00:00"/>
        <d v="2024-11-21T05:00:00"/>
        <d v="2024-11-04T05:00:00"/>
        <d v="2025-04-23T04:00:00"/>
        <d v="2025-04-10T04:00:00"/>
        <d v="2024-10-24T04:00:00"/>
        <d v="2024-11-06T05:00:00"/>
        <d v="2025-04-01T04:00:00"/>
        <d v="2024-11-01T04:00:00"/>
        <d v="2024-12-06T05:00:00"/>
        <d v="2025-03-24T04:00:00"/>
        <d v="2025-01-21T05:00:00"/>
        <d v="2025-01-31T05:00:00"/>
        <d v="2025-02-04T05:00:00"/>
        <d v="2025-07-23T04:00:00"/>
        <d v="2025-04-04T04:00:00"/>
        <d v="2024-10-10T04:00:00"/>
        <d v="2025-04-15T04:00:00"/>
        <d v="2024-11-26T05:00:00"/>
        <d v="2025-03-12T04:00:00"/>
        <d v="2025-06-08T04:00:00"/>
        <d v="2025-07-24T04:00:00"/>
        <d v="2024-10-09T04:00:00"/>
        <d v="2025-07-10T04:00:00"/>
        <d v="2024-10-29T04:00:00"/>
        <d v="2025-02-28T05:00:00"/>
        <d v="2025-01-22T05:00:00"/>
        <d v="2025-06-11T04:00:00"/>
        <d v="2025-06-05T04:00:00"/>
        <d v="2024-10-31T04:00:00"/>
        <d v="2025-02-07T05:00:00"/>
        <d v="2025-02-26T05:00:00"/>
        <d v="2025-05-01T04:00:00"/>
        <d v="2024-10-14T04:00:00"/>
        <d v="2025-05-29T04:00:00"/>
        <d v="2025-02-24T05:00:00"/>
        <d v="2024-10-19T04:00:00"/>
        <d v="2024-11-12T05:00:00"/>
        <d v="2025-02-03T05:00:00"/>
        <d v="2025-03-21T04:00:00"/>
        <d v="2025-04-22T04:00:00"/>
        <d v="2024-11-05T05:00:00"/>
        <d v="2024-11-20T05:00:00"/>
        <d v="2025-03-10T04:00:00"/>
        <d v="2025-04-07T04:00:00"/>
        <d v="2025-02-19T05:00:00"/>
        <d v="2025-06-04T04:00:00"/>
        <d v="2024-10-15T04:00:00"/>
        <d v="2024-11-11T05:00:00"/>
        <d v="2025-05-23T04:00:00"/>
        <d v="2025-07-30T04:00:00"/>
        <d v="2025-03-13T04:00:00"/>
        <d v="2024-11-08T05:00:00"/>
        <d v="2025-05-13T04:00:00"/>
        <d v="2025-07-28T04:00:00"/>
        <d v="2024-11-25T05:00:00"/>
        <d v="2025-04-21T04:00:00"/>
        <d v="2025-04-24T04:00:00"/>
        <d v="2025-01-20T05:00:00"/>
        <d v="2025-06-16T04:00:00"/>
        <d v="2025-02-14T05:00:00"/>
        <d v="2025-04-28T04:00:00"/>
        <d v="2025-07-29T04:00:00"/>
        <d v="2024-03-08T05:00:00"/>
        <d v="2024-02-28T05:00:00"/>
        <d v="2024-01-10T05:00:00"/>
        <d v="2024-02-06T05:00:00"/>
        <d v="2024-02-20T05:00:00"/>
        <d v="2024-10-11T04:00:00"/>
        <d v="2024-06-18T04:00:00"/>
        <d v="2024-03-28T04:00:00"/>
        <d v="2024-10-16T04:00:00"/>
        <d v="2024-06-24T04:00:00"/>
        <d v="2024-05-17T04:00:00"/>
        <d v="2024-06-28T04:00:00"/>
        <d v="2024-08-30T04:00:00"/>
        <d v="2024-07-29T04:00:00"/>
        <d v="2024-07-19T04:00:00"/>
        <d v="2025-03-03T05:00:00"/>
        <d v="2024-08-08T04:00:00"/>
        <d v="2024-10-18T04:00:00"/>
        <d v="2025-03-11T04:00:00"/>
        <d v="2025-03-14T04:00:00"/>
        <d v="2025-03-26T04:00:00"/>
        <d v="2024-10-21T04:00:00"/>
        <d v="2025-06-24T04:00:00"/>
        <d v="2025-02-10T05:00:00"/>
        <d v="2024-12-09T05:00:00"/>
        <d v="2025-04-14T04:00:00"/>
        <d v="2025-04-02T04:00:00"/>
        <d v="2025-03-28T04:00:00"/>
        <d v="2025-06-25T04:00:00"/>
        <d v="2025-06-03T04:00:00"/>
        <d v="2025-04-17T04:00:00"/>
        <d v="2025-07-21T04:00:00"/>
        <d v="2025-06-13T04:00:00"/>
        <d v="2025-05-22T04:00:00"/>
        <d v="2025-07-11T04:00:00"/>
        <d v="2025-07-22T04:00:00"/>
        <d v="2024-01-19T05:00:00"/>
        <d v="2024-05-08T04:00:00"/>
        <d v="2024-06-20T04:00:00"/>
        <d v="2024-09-05T04:00:00"/>
        <d v="2024-11-07T05:00:00"/>
        <d v="2024-05-30T04:00:00"/>
        <d v="2024-08-20T04:00:00"/>
        <d v="2024-04-10T04:00:00"/>
        <d v="2024-09-09T04:00:00"/>
        <d v="2024-01-04T05:00:00"/>
        <d v="2024-09-10T04:00:00"/>
        <d v="2024-01-09T05:00:00"/>
        <d v="2024-05-29T04:00:00"/>
        <d v="2024-05-03T04:00:00"/>
        <d v="2024-06-17T04:00:00"/>
        <d v="2024-04-12T04:00:00"/>
        <d v="2024-05-14T04:00:00"/>
        <d v="2024-10-07T04:00:00"/>
        <d v="2024-03-01T05:00:00"/>
        <d v="2024-06-27T04:00:00"/>
        <d v="2024-05-28T04:00:00"/>
        <d v="2024-06-26T04:00:00"/>
        <d v="2024-11-18T05:00:00"/>
        <d v="2024-05-06T04:00:00"/>
        <d v="2024-06-03T04:00:00"/>
        <d v="2024-09-12T04:00:00"/>
        <d v="2024-08-07T04:00:00"/>
        <d v="2024-07-26T04:00:00"/>
        <d v="2024-02-05T05:00:00"/>
        <d v="2024-03-07T05:00:00"/>
        <d v="2024-02-13T05:00:00"/>
        <d v="2024-01-17T05:00:00"/>
        <d v="2024-02-24T05:00:00"/>
        <d v="2024-03-13T04:00:00"/>
        <d v="2024-05-09T04:00:00"/>
        <d v="2024-08-01T04:00:00"/>
        <d v="2024-06-11T04:00:00"/>
        <d v="2024-04-18T04:00:00"/>
        <d v="2024-09-19T04:00:00"/>
        <d v="2025-01-03T05:00:00"/>
        <d v="2025-01-02T05:00:00"/>
        <d v="2024-12-03T05:00:00"/>
        <d v="2025-07-21T00:00:00" u="1"/>
        <d v="2025-07-22T00:00:00" u="1"/>
        <d v="2024-03-19T00:00:00" u="1"/>
        <d v="2024-04-30T00:00:00" u="1"/>
        <d v="2024-07-18T00:00:00" u="1"/>
        <d v="2024-08-27T00:00:00" u="1"/>
        <d v="2024-08-05T00:00:00" u="1"/>
        <d v="2024-08-26T00:00:00" u="1"/>
        <d v="2025-06-27T00:00:00" u="1"/>
        <d v="2025-06-18T00:00:00" u="1"/>
        <d v="2024-08-23T00:00:00" u="1"/>
        <d v="2025-01-24T00:00:00" u="1"/>
        <d v="2025-05-30T00:00:00" u="1"/>
        <d v="2025-05-05T00:00:00" u="1"/>
        <d v="2025-07-01T00:00:00" u="1"/>
        <d v="2024-09-13T00:00:00" u="1"/>
        <d v="2025-02-05T00:00:00" u="1"/>
        <d v="2025-05-27T00:00:00" u="1"/>
        <d v="2025-04-25T00:00:00" u="1"/>
        <d v="2025-04-11T00:00:00" u="1"/>
        <d v="2025-06-23T00:00:00" u="1"/>
        <d v="2025-07-02T00:00:00" u="1"/>
        <d v="2024-12-11T00:00:00" u="1"/>
        <d v="2025-04-08T00:00:00" u="1"/>
        <d v="2025-05-02T00:00:00" u="1"/>
        <d v="2025-06-30T00:00:00" u="1"/>
        <d v="2025-06-02T00:00:00" u="1"/>
        <d v="2025-03-27T00:00:00" u="1"/>
        <d v="2025-07-09T00:00:00" u="1"/>
        <d v="2025-07-07T00:00:00" u="1"/>
        <d v="2024-04-16T00:00:00" u="1"/>
        <d v="2024-01-22T00:00:00" u="1"/>
        <d v="2024-02-26T00:00:00" u="1"/>
        <d v="2024-01-11T00:00:00" u="1"/>
        <d v="2024-02-22T00:00:00" u="1"/>
        <d v="2024-02-08T00:00:00" u="1"/>
        <d v="2024-04-24T00:00:00" u="1"/>
        <d v="2024-05-24T00:00:00" u="1"/>
        <d v="2024-10-30T00:00:00" u="1"/>
        <d v="2024-07-15T00:00:00" u="1"/>
        <d v="2024-10-08T00:00:00" u="1"/>
        <d v="2024-09-23T00:00:00" u="1"/>
        <d v="2024-09-06T00:00:00" u="1"/>
        <d v="2024-12-12T00:00:00" u="1"/>
        <d v="2024-12-18T00:00:00" u="1"/>
        <d v="2024-12-16T00:00:00" u="1"/>
        <d v="2025-03-25T00:00:00" u="1"/>
        <d v="2025-02-21T00:00:00" u="1"/>
        <d v="2025-02-18T00:00:00" u="1"/>
        <d v="2025-06-09T00:00:00" u="1"/>
        <d v="2025-03-19T00:00:00" u="1"/>
        <d v="2025-03-20T00:00:00" u="1"/>
        <d v="2025-03-31T00:00:00" u="1"/>
        <d v="2025-07-14T00:00:00" u="1"/>
        <d v="2025-04-29T00:00:00" u="1"/>
        <d v="2025-05-20T00:00:00" u="1"/>
        <d v="2025-06-26T00:00:00" u="1"/>
        <d v="2025-07-16T00:00:00" u="1"/>
        <d v="2024-04-08T00:00:00" u="1"/>
        <d v="2024-01-31T00:00:00" u="1"/>
        <d v="2024-01-29T00:00:00" u="1"/>
        <d v="2025-01-07T00:00:00" u="1"/>
        <d v="2024-02-27T00:00:00" u="1"/>
        <d v="2024-06-14T00:00:00" u="1"/>
        <d v="2024-04-23T00:00:00" u="1"/>
        <d v="2024-04-09T00:00:00" u="1"/>
        <d v="2024-02-09T00:00:00" u="1"/>
        <d v="2024-01-26T00:00:00" u="1"/>
        <d v="2024-12-19T00:00:00" u="1"/>
        <d v="2025-01-08T00:00:00" u="1"/>
        <d v="2024-05-20T00:00:00" u="1"/>
        <d v="2024-07-25T00:00:00" u="1"/>
        <d v="2024-02-19T00:00:00" u="1"/>
        <d v="2024-04-19T00:00:00" u="1"/>
        <d v="2024-04-25T00:00:00" u="1"/>
        <d v="2024-03-21T00:00:00" u="1"/>
        <d v="2024-05-13T00:00:00" u="1"/>
        <d v="2025-01-14T00:00:00" u="1"/>
        <d v="2024-09-27T00:00:00" u="1"/>
        <d v="2024-03-25T00:00:00" u="1"/>
        <d v="2024-08-15T00:00:00" u="1"/>
        <d v="2025-01-13T00:00:00" u="1"/>
        <d v="2025-01-17T00:00:00" u="1"/>
        <d v="2024-05-07T00:00:00" u="1"/>
        <d v="2024-08-16T00:00:00" u="1"/>
        <d v="2024-08-12T00:00:00" u="1"/>
        <d v="2024-07-02T00:00:00" u="1"/>
        <d v="2024-05-31T00:00:00" u="1"/>
        <d v="2024-07-08T00:00:00" u="1"/>
        <d v="2024-07-30T00:00:00" u="1"/>
        <d v="2024-07-31T00:00:00" u="1"/>
        <d v="2024-08-21T00:00:00" u="1"/>
        <d v="2024-08-28T00:00:00" u="1"/>
        <d v="2024-09-30T00:00:00" u="1"/>
        <d v="2025-01-30T00:00:00" u="1"/>
        <d v="2025-01-09T00:00:00" u="1"/>
        <d v="2025-01-29T00:00:00" u="1"/>
        <d v="2025-01-28T00:00:00" u="1"/>
        <d v="2025-02-06T00:00:00" u="1"/>
        <d v="2024-06-06T00:00:00" u="1"/>
        <d v="2024-03-11T00:00:00" u="1"/>
        <d v="2024-07-11T00:00:00" u="1"/>
        <d v="2024-01-23T00:00:00" u="1"/>
        <d v="2024-09-20T00:00:00" u="1"/>
        <d v="2024-01-25T00:00:00" u="1"/>
        <d v="2024-07-16T00:00:00" u="1"/>
        <d v="2024-04-17T00:00:00" u="1"/>
        <d v="2024-04-22T00:00:00" u="1"/>
        <d v="2024-06-04T00:00:00" u="1"/>
        <d v="2024-10-01T00:00:00" u="1"/>
        <d v="2024-08-13T00:00:00" u="1"/>
        <d v="2024-10-28T00:00:00" u="1"/>
        <d v="2025-02-12T00:00:00" u="1"/>
        <d v="2024-01-05T00:00:00" u="1"/>
        <d v="2024-06-12T00:00:00" u="1"/>
        <d v="2024-03-20T00:00:00" u="1"/>
        <d v="2024-01-16T00:00:00" u="1"/>
        <d v="2024-05-01T00:00:00" u="1"/>
        <d v="2024-02-12T00:00:00" u="1"/>
        <d v="2024-06-10T00:00:00" u="1"/>
        <d v="2024-04-05T00:00:00" u="1"/>
        <d v="2024-05-02T00:00:00" u="1"/>
        <d v="2025-07-08T00:00:00" u="1"/>
        <d v="2024-02-16T00:00:00" u="1"/>
        <d v="2024-01-30T00:00:00" u="1"/>
        <d v="2024-02-29T00:00:00" u="1"/>
        <d v="2024-02-07T00:00:00" u="1"/>
        <d v="2024-03-22T00:00:00" u="1"/>
        <d v="2024-05-10T00:00:00" u="1"/>
        <d v="2024-06-30T00:00:00" u="1"/>
        <d v="2024-04-29T00:00:00" u="1"/>
        <d v="2024-05-21T00:00:00" u="1"/>
        <d v="2024-06-05T00:00:00" u="1"/>
        <d v="2025-02-11T00:00:00" u="1"/>
        <d v="2025-07-18T00:00:00" u="1"/>
        <d v="2024-01-02T00:00:00" u="1"/>
        <d v="2024-05-16T00:00:00" u="1"/>
        <d v="2024-01-03T00:00:00" u="1"/>
        <d v="2024-07-10T00:00:00" u="1"/>
        <d v="2024-05-22T00:00:00" u="1"/>
        <d v="2024-02-21T00:00:00" u="1"/>
        <d v="2024-03-26T00:00:00" u="1"/>
        <d v="2024-03-14T00:00:00" u="1"/>
        <d v="2024-06-13T00:00:00" u="1"/>
        <d v="2024-09-04T00:00:00" u="1"/>
        <d v="2024-06-21T00:00:00" u="1"/>
        <d v="2024-07-17T00:00:00" u="1"/>
        <d v="2024-11-13T00:00:00" u="1"/>
        <d v="2025-06-19T00:00:00" u="1"/>
        <d v="2024-06-07T00:00:00" u="1"/>
        <d v="2024-03-05T00:00:00" u="1"/>
        <d v="2024-03-29T00:00:00" u="1"/>
        <d v="2024-03-27T00:00:00" u="1"/>
        <d v="2024-07-12T00:00:00" u="1"/>
        <d v="2024-09-24T00:00:00" u="1"/>
        <d v="2025-05-12T00:00:00" u="1"/>
        <d v="2025-07-03T00:00:00" u="1"/>
        <d v="2024-04-04T00:00:00" u="1"/>
        <d v="2024-02-23T00:00:00" u="1"/>
        <d v="2024-01-12T00:00:00" u="1"/>
        <d v="2024-02-15T00:00:00" u="1"/>
        <d v="2024-07-22T00:00:00" u="1"/>
        <d v="2024-09-25T00:00:00" u="1"/>
        <d v="2024-04-03T00:00:00" u="1"/>
        <d v="2024-07-24T00:00:00" u="1"/>
        <d v="2024-06-19T00:00:00" u="1"/>
        <d v="2024-09-17T00:00:00" u="1"/>
        <d v="2024-08-29T00:00:00" u="1"/>
        <d v="2024-09-11T00:00:00" u="1"/>
        <d v="2025-05-28T00:00:00" u="1"/>
        <d v="2024-03-04T00:00:00" u="1"/>
        <d v="2024-03-18T00:00:00" u="1"/>
        <d v="2024-08-06T00:00:00" u="1"/>
        <d v="2024-12-20T00:00:00" u="1"/>
        <d v="2025-05-21T00:00:00" u="1"/>
        <d v="2025-07-17T00:00:00" u="1"/>
        <d v="2025-03-18T00:00:00" u="1"/>
        <d v="2024-10-22T00:00:00" u="1"/>
        <d v="2024-10-04T00:00:00" u="1"/>
        <d v="2025-01-15T00:00:00" u="1"/>
        <d v="2024-11-15T00:00:00" u="1"/>
        <d v="2024-10-23T00:00:00" u="1"/>
        <d v="2024-12-02T00:00:00" u="1"/>
        <d v="2024-11-22T00:00:00" u="1"/>
        <d v="2024-12-10T00:00:00" u="1"/>
        <d v="2024-11-14T00:00:00" u="1"/>
        <d v="2024-12-17T00:00:00" u="1"/>
        <d v="2024-12-13T00:00:00" u="1"/>
        <d v="2025-02-13T00:00:00" u="1"/>
        <d v="2025-05-08T00:00:00" u="1"/>
        <d v="2025-02-27T00:00:00" u="1"/>
        <d v="2025-03-04T00:00:00" u="1"/>
        <d v="2025-05-07T00:00:00" u="1"/>
        <d v="2024-06-25T00:00:00" u="1"/>
        <d v="2024-03-12T00:00:00" u="1"/>
        <d v="2024-11-19T00:00:00" u="1"/>
        <d v="2024-10-25T00:00:00" u="1"/>
        <d v="2025-02-20T00:00:00" u="1"/>
        <d v="2025-05-09T00:00:00" u="1"/>
        <d v="2025-04-30T00:00:00" u="1"/>
        <d v="2025-02-25T00:00:00" u="1"/>
        <d v="2025-05-06T00:00:00" u="1"/>
        <d v="2025-06-06T00:00:00" u="1"/>
        <d v="2025-06-20T00:00:00" u="1"/>
        <d v="2025-05-19T00:00:00" u="1"/>
        <d v="2025-06-17T00:00:00" u="1"/>
        <d v="2024-10-17T00:00:00" u="1"/>
        <d v="2025-04-09T00:00:00" u="1"/>
        <d v="2024-12-04T00:00:00" u="1"/>
        <d v="2024-11-21T00:00:00" u="1"/>
        <d v="2024-11-04T00:00:00" u="1"/>
        <d v="2025-04-23T00:00:00" u="1"/>
        <d v="2025-04-10T00:00:00" u="1"/>
        <d v="2024-10-24T00:00:00" u="1"/>
        <d v="2024-11-06T00:00:00" u="1"/>
        <d v="2025-04-01T00:00:00" u="1"/>
        <d v="2024-11-01T00:00:00" u="1"/>
        <d v="2024-12-06T00:00:00" u="1"/>
        <d v="2025-03-24T00:00:00" u="1"/>
        <d v="2025-01-21T00:00:00" u="1"/>
        <d v="2025-01-31T00:00:00" u="1"/>
        <d v="2025-02-04T00:00:00" u="1"/>
        <d v="2025-04-04T00:00:00" u="1"/>
        <d v="2024-10-10T00:00:00" u="1"/>
        <d v="2025-04-15T00:00:00" u="1"/>
        <d v="2024-11-26T00:00:00" u="1"/>
        <d v="2025-03-12T00:00:00" u="1"/>
        <d v="2025-06-08T00:00:00" u="1"/>
        <d v="2024-10-09T00:00:00" u="1"/>
        <d v="2025-07-10T00:00:00" u="1"/>
        <d v="2024-10-29T00:00:00" u="1"/>
        <d v="2025-02-28T00:00:00" u="1"/>
        <d v="2025-01-22T00:00:00" u="1"/>
        <d v="2025-06-11T00:00:00" u="1"/>
        <d v="2025-06-05T00:00:00" u="1"/>
        <d v="2024-10-31T00:00:00" u="1"/>
        <d v="2025-02-07T00:00:00" u="1"/>
        <d v="2025-02-26T00:00:00" u="1"/>
        <d v="2025-05-01T00:00:00" u="1"/>
        <d v="2024-10-14T00:00:00" u="1"/>
        <d v="2025-05-29T00:00:00" u="1"/>
        <d v="2025-02-24T00:00:00" u="1"/>
        <d v="2024-10-19T00:00:00" u="1"/>
        <d v="2024-11-12T00:00:00" u="1"/>
        <d v="2025-02-03T00:00:00" u="1"/>
        <d v="2025-03-21T00:00:00" u="1"/>
        <d v="2025-04-22T00:00:00" u="1"/>
        <d v="2024-11-05T00:00:00" u="1"/>
        <d v="2024-11-20T00:00:00" u="1"/>
        <d v="2025-03-10T00:00:00" u="1"/>
        <d v="2025-04-07T00:00:00" u="1"/>
        <d v="2025-02-19T00:00:00" u="1"/>
        <d v="2025-06-04T00:00:00" u="1"/>
        <d v="2024-10-15T00:00:00" u="1"/>
        <d v="2024-11-11T00:00:00" u="1"/>
        <d v="2025-05-23T00:00:00" u="1"/>
        <d v="2025-03-13T00:00:00" u="1"/>
        <d v="2024-11-08T00:00:00" u="1"/>
        <d v="2025-05-13T00:00:00" u="1"/>
        <d v="2024-11-25T00:00:00" u="1"/>
        <d v="2025-04-21T00:00:00" u="1"/>
        <d v="2025-04-24T00:00:00" u="1"/>
        <d v="2025-01-20T00:00:00" u="1"/>
        <d v="2025-06-16T00:00:00" u="1"/>
        <d v="2025-02-14T00:00:00" u="1"/>
        <d v="2025-04-28T00:00:00" u="1"/>
        <d v="2024-03-08T00:00:00" u="1"/>
        <d v="2024-02-28T00:00:00" u="1"/>
        <d v="2024-01-10T00:00:00" u="1"/>
        <d v="2024-02-06T00:00:00" u="1"/>
        <d v="2024-02-20T00:00:00" u="1"/>
        <d v="2024-10-11T00:00:00" u="1"/>
        <d v="2024-06-18T00:00:00" u="1"/>
        <d v="2024-03-28T00:00:00" u="1"/>
        <d v="2024-10-16T00:00:00" u="1"/>
        <d v="2024-06-24T00:00:00" u="1"/>
        <d v="2024-05-17T00:00:00" u="1"/>
        <d v="2024-06-28T00:00:00" u="1"/>
        <d v="2024-08-30T00:00:00" u="1"/>
        <d v="2024-07-29T00:00:00" u="1"/>
        <d v="2024-07-19T00:00:00" u="1"/>
        <d v="2025-03-03T00:00:00" u="1"/>
        <d v="2024-08-08T00:00:00" u="1"/>
        <d v="2024-10-18T00:00:00" u="1"/>
        <d v="2025-03-11T00:00:00" u="1"/>
        <d v="2025-03-14T00:00:00" u="1"/>
        <d v="2025-03-26T00:00:00" u="1"/>
        <d v="2024-10-21T00:00:00" u="1"/>
        <d v="2025-06-24T00:00:00" u="1"/>
        <d v="2025-02-10T00:00:00" u="1"/>
        <d v="2024-12-09T00:00:00" u="1"/>
        <d v="2025-04-14T00:00:00" u="1"/>
        <d v="2025-04-02T00:00:00" u="1"/>
        <d v="2025-03-28T00:00:00" u="1"/>
        <d v="2025-06-25T00:00:00" u="1"/>
        <d v="2025-06-03T00:00:00" u="1"/>
        <d v="2025-04-17T00:00:00" u="1"/>
        <d v="2025-06-13T00:00:00" u="1"/>
        <d v="2025-05-22T00:00:00" u="1"/>
        <d v="2025-07-11T00:00:00" u="1"/>
        <d v="2024-01-19T00:00:00" u="1"/>
        <d v="2024-05-08T00:00:00" u="1"/>
        <d v="2024-06-20T00:00:00" u="1"/>
        <d v="2024-09-05T00:00:00" u="1"/>
        <d v="2024-11-07T00:00:00" u="1"/>
        <d v="2024-05-30T00:00:00" u="1"/>
        <d v="2024-08-20T00:00:00" u="1"/>
        <d v="2024-04-10T00:00:00" u="1"/>
        <d v="2024-09-09T00:00:00" u="1"/>
        <d v="2024-01-04T00:00:00" u="1"/>
        <d v="2024-09-10T00:00:00" u="1"/>
        <d v="2024-01-09T00:00:00" u="1"/>
        <d v="2024-05-29T00:00:00" u="1"/>
        <d v="2024-05-03T00:00:00" u="1"/>
        <d v="2024-06-17T00:00:00" u="1"/>
        <d v="2024-04-12T00:00:00" u="1"/>
        <d v="2024-05-14T00:00:00" u="1"/>
        <d v="2024-10-07T00:00:00" u="1"/>
        <d v="2024-03-01T00:00:00" u="1"/>
        <d v="2024-06-27T00:00:00" u="1"/>
        <d v="2024-05-28T00:00:00" u="1"/>
        <d v="2024-06-26T00:00:00" u="1"/>
        <d v="2024-11-18T00:00:00" u="1"/>
        <d v="2024-05-06T00:00:00" u="1"/>
        <d v="2024-06-03T00:00:00" u="1"/>
        <d v="2024-09-12T00:00:00" u="1"/>
        <d v="2024-08-07T00:00:00" u="1"/>
        <d v="2024-07-26T00:00:00" u="1"/>
        <d v="2024-02-05T00:00:00" u="1"/>
        <d v="2024-03-07T00:00:00" u="1"/>
        <d v="2024-02-13T00:00:00" u="1"/>
        <d v="2024-01-17T00:00:00" u="1"/>
        <d v="2024-02-24T00:00:00" u="1"/>
        <d v="2024-03-13T00:00:00" u="1"/>
        <d v="2024-05-09T00:00:00" u="1"/>
        <d v="2024-08-01T00:00:00" u="1"/>
        <d v="2024-06-11T00:00:00" u="1"/>
        <d v="2024-04-18T00:00:00" u="1"/>
        <d v="2024-09-19T00:00:00" u="1"/>
        <d v="2025-01-03T00:00:00" u="1"/>
        <d v="2025-01-02T00:00:00" u="1"/>
        <d v="2024-12-03T00:00:00" u="1"/>
        <d v="2024-09-26T00:00:00" u="1"/>
        <d v="2025-01-06T00:00:00" u="1"/>
        <d v="2025-01-27T00:00:00" u="1"/>
      </sharedItems>
      <fieldGroup par="43"/>
    </cacheField>
    <cacheField name="Task Complete Date" numFmtId="164">
      <sharedItems containsNonDate="0" containsDate="1" containsString="0" containsBlank="1" minDate="2024-01-02T20:48:29" maxDate="2025-08-03T04:00:00"/>
    </cacheField>
    <cacheField name="Description" numFmtId="0">
      <sharedItems containsBlank="1"/>
    </cacheField>
    <cacheField name="PreSAM Start Date" numFmtId="164">
      <sharedItems containsNonDate="0" containsDate="1" containsString="0" containsBlank="1" minDate="2022-02-17T05:00:00" maxDate="2025-07-31T04:00:00"/>
    </cacheField>
    <cacheField name="PreSAM Complete Date" numFmtId="164">
      <sharedItems containsNonDate="0" containsDate="1" containsString="0" containsBlank="1" minDate="2022-06-09T04:00:00" maxDate="2025-07-31T04:00:00"/>
    </cacheField>
    <cacheField name="Structures SAM Start Date" numFmtId="164">
      <sharedItems containsNonDate="0" containsDate="1" containsString="0" containsBlank="1" minDate="2022-06-09T04:00:00" maxDate="2025-07-31T04:00:00"/>
    </cacheField>
    <cacheField name="Structures SAM Complete Date" numFmtId="164">
      <sharedItems containsNonDate="0" containsDate="1" containsString="0" containsBlank="1" minDate="2022-10-11T04:00:00" maxDate="2025-07-31T04:00:00"/>
    </cacheField>
    <cacheField name="PreSAM TAT" numFmtId="0">
      <sharedItems containsMixedTypes="1" containsNumber="1" minValue="0" maxValue="518.04166666667152"/>
    </cacheField>
    <cacheField name="SAM TAT" numFmtId="0">
      <sharedItems containsMixedTypes="1" containsNumber="1" minValue="-6" maxValue="542.04166666667152"/>
    </cacheField>
    <cacheField name="Total Str TAT" numFmtId="0">
      <sharedItems containsSemiMixedTypes="0" containsString="0" containsNumber="1" minValue="-2" maxValue="576"/>
    </cacheField>
    <cacheField name="Total Task TAT" numFmtId="0">
      <sharedItems containsSemiMixedTypes="0" containsString="0" containsNumber="1" minValue="-100.95833333332848" maxValue="1323.465127314812"/>
    </cacheField>
    <cacheField name="NoSTR Total Task TAT" numFmtId="0">
      <sharedItems containsSemiMixedTypes="0" containsString="0" containsNumber="1" minValue="-100.95833333332848" maxValue="1201.0265856481492"/>
    </cacheField>
    <cacheField name="Triage Hold TAT" numFmtId="0">
      <sharedItems containsSemiMixedTypes="0" containsString="0" containsNumber="1" minValue="0" maxValue="86"/>
    </cacheField>
    <cacheField name="Task Plan Hold TAT" numFmtId="0">
      <sharedItems containsSemiMixedTypes="0" containsString="0" containsNumber="1" minValue="0" maxValue="137.19163204861252"/>
    </cacheField>
    <cacheField name="IDR Hold TAT" numFmtId="0">
      <sharedItems containsSemiMixedTypes="0" containsString="0" containsNumber="1" minValue="0" maxValue="55"/>
    </cacheField>
    <cacheField name="ReCap Hold TAT" numFmtId="0">
      <sharedItems containsSemiMixedTypes="0" containsString="0" containsNumber="1" minValue="0" maxValue="200"/>
    </cacheField>
    <cacheField name="DraftEA Hold TAT" numFmtId="0">
      <sharedItems containsSemiMixedTypes="0" containsString="0" containsNumber="1" minValue="0" maxValue="375"/>
    </cacheField>
    <cacheField name="Pre-SAM Hold TAT" numFmtId="0">
      <sharedItems containsSemiMixedTypes="0" containsString="0" containsNumber="1" minValue="0" maxValue="208.99278038194461"/>
    </cacheField>
    <cacheField name="SAM Hold TAT" numFmtId="0">
      <sharedItems containsSemiMixedTypes="0" containsString="0" containsNumber="1" minValue="0" maxValue="401.08825248843641"/>
    </cacheField>
    <cacheField name="FDR Hold TAT" numFmtId="0">
      <sharedItems containsSemiMixedTypes="0" containsString="0" containsNumber="1" minValue="0" maxValue="188.22325593749702"/>
    </cacheField>
    <cacheField name="Total Hold TAT" numFmtId="0">
      <sharedItems containsSemiMixedTypes="0" containsString="0" containsNumber="1" minValue="0" maxValue="426.10689013890078"/>
    </cacheField>
    <cacheField name="MinusHold Total Task TAT" numFmtId="0">
      <sharedItems containsSemiMixedTypes="0" containsString="0" containsNumber="1" minValue="-100.95833333332848" maxValue="1323.465127314812"/>
    </cacheField>
    <cacheField name="NoHold NoSTR Total Adjusted TAT" numFmtId="0">
      <sharedItems containsSemiMixedTypes="0" containsString="0" containsNumber="1" minValue="-310.06522347222926" maxValue="1201.0265856481492"/>
    </cacheField>
    <cacheField name="OTD" numFmtId="0">
      <sharedItems containsSemiMixedTypes="0" containsString="0" containsNumber="1" minValue="-398" maxValue="45677.208333333336"/>
    </cacheField>
    <cacheField name="OTD PassFail" numFmtId="0">
      <sharedItems containsSemiMixedTypes="0" containsString="0" containsNumber="1" containsInteger="1" minValue="0" maxValue="1"/>
    </cacheField>
    <cacheField name="Months (Validation Complete Date)" numFmtId="0" databaseField="0">
      <fieldGroup base="16">
        <rangePr groupBy="months" startDate="2024-01-02T05:00:00" endDate="2025-08-03T04:00:00"/>
        <groupItems count="14">
          <s v="&lt;1/2/2024"/>
          <s v="Jan"/>
          <s v="Feb"/>
          <s v="Mar"/>
          <s v="Apr"/>
          <s v="May"/>
          <s v="Jun"/>
          <s v="Jul"/>
          <s v="Aug"/>
          <s v="Sep"/>
          <s v="Oct"/>
          <s v="Nov"/>
          <s v="Dec"/>
          <s v="&gt;8/3/2025"/>
        </groupItems>
      </fieldGroup>
    </cacheField>
    <cacheField name="Quarters (Validation Complete Date)" numFmtId="0" databaseField="0">
      <fieldGroup base="16">
        <rangePr groupBy="quarters" startDate="2024-01-02T05:00:00" endDate="2025-08-03T04:00:00"/>
        <groupItems count="6">
          <s v="&lt;1/2/2024"/>
          <s v="Qtr1"/>
          <s v="Qtr2"/>
          <s v="Qtr3"/>
          <s v="Qtr4"/>
          <s v="&gt;8/3/2025"/>
        </groupItems>
      </fieldGroup>
    </cacheField>
    <cacheField name="Years (Validation Complete Date)" numFmtId="0" databaseField="0">
      <fieldGroup base="16">
        <rangePr groupBy="years" startDate="2024-01-02T05:00:00" endDate="2025-08-03T04:00:00"/>
        <groupItems count="4">
          <s v="&lt;1/2/2024"/>
          <s v="2024"/>
          <s v="2025"/>
          <s v="&gt;8/3/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tafa, Ferdin                            PW" refreshedDate="45872.713622800926" createdVersion="8" refreshedVersion="8" minRefreshableVersion="3" recordCount="469" xr:uid="{95D096EE-E12D-4B15-A781-0A808E6C7278}">
  <cacheSource type="worksheet">
    <worksheetSource ref="A1:S470" sheet="ReturnsData"/>
  </cacheSource>
  <cacheFields count="21">
    <cacheField name="Sector" numFmtId="0">
      <sharedItems/>
    </cacheField>
    <cacheField name="Msg Id" numFmtId="0">
      <sharedItems containsMixedTypes="1" containsNumber="1" containsInteger="1" minValue="97184" maxValue="114136"/>
    </cacheField>
    <cacheField name="Review Gate" numFmtId="0">
      <sharedItems count="6">
        <s v="Initial Design Review"/>
        <s v="Final Validation"/>
        <s v="Final Design Review"/>
        <s v="ReCAP"/>
        <s v="Structures SAM"/>
        <s v="Structures Pre-SAM"/>
      </sharedItems>
    </cacheField>
    <cacheField name="Return By" numFmtId="0">
      <sharedItems/>
    </cacheField>
    <cacheField name="Return Date" numFmtId="164">
      <sharedItems containsSemiMixedTypes="0" containsNonDate="0" containsDate="1" containsString="0" minDate="2025-01-02T15:55:20" maxDate="2025-08-01T15:52:35" count="497">
        <d v="2025-01-07T21:10:18"/>
        <d v="2025-01-07T21:10:30"/>
        <d v="2025-01-17T15:56:07"/>
        <d v="2025-01-15T18:53:08"/>
        <d v="2025-01-21T03:19:05"/>
        <d v="2025-03-20T16:02:45"/>
        <d v="2025-03-20T16:03:40"/>
        <d v="2025-03-20T16:06:15"/>
        <d v="2025-01-23T19:19:58"/>
        <d v="2025-03-13T16:20:04"/>
        <d v="2025-01-17T14:02:31"/>
        <d v="2025-01-17T14:07:07"/>
        <d v="2025-01-17T14:11:48"/>
        <d v="2025-01-17T14:15:15"/>
        <d v="2025-05-22T20:38:29"/>
        <d v="2025-05-22T20:39:22"/>
        <d v="2025-05-22T20:40:16"/>
        <d v="2025-01-02T15:55:20"/>
        <d v="2025-05-01T14:08:27"/>
        <d v="2025-06-20T13:47:25"/>
        <d v="2025-04-16T22:19:36"/>
        <d v="2025-04-16T22:20:12"/>
        <d v="2025-04-16T22:21:12"/>
        <d v="2025-04-16T22:23:56"/>
        <d v="2025-04-21T13:10:41"/>
        <d v="2025-07-22T06:05:16"/>
        <d v="2025-03-12T15:06:52"/>
        <d v="2025-02-19T22:27:48"/>
        <d v="2025-02-19T22:28:23"/>
        <d v="2025-02-19T22:29:01"/>
        <d v="2025-02-19T22:29:30"/>
        <d v="2025-02-19T22:30:15"/>
        <d v="2025-07-02T14:21:02"/>
        <d v="2025-06-05T18:10:28"/>
        <d v="2025-06-05T18:11:32"/>
        <d v="2025-07-01T19:46:01"/>
        <d v="2025-07-01T19:46:29"/>
        <d v="2025-07-01T19:47:04"/>
        <d v="2025-07-01T19:47:34"/>
        <d v="2025-07-01T19:48:55"/>
        <d v="2025-04-10T12:08:55"/>
        <d v="2025-05-07T13:39:17"/>
        <d v="2025-05-15T15:50:15"/>
        <d v="2025-05-22T12:07:24"/>
        <d v="2025-04-01T00:53:58"/>
        <d v="2025-04-01T01:04:22"/>
        <d v="2025-07-31T19:01:04"/>
        <d v="2025-06-19T16:16:27"/>
        <d v="2025-06-19T16:17:00"/>
        <d v="2025-06-19T16:17:37"/>
        <d v="2025-06-19T16:18:01"/>
        <d v="2025-06-19T16:18:30"/>
        <d v="2025-06-19T16:19:01"/>
        <d v="2025-07-01T17:11:51"/>
        <d v="2025-07-02T20:35:44"/>
        <d v="2025-07-02T20:37:18"/>
        <d v="2025-07-02T20:38:38"/>
        <d v="2025-07-21T13:15:47"/>
        <d v="2025-07-30T17:02:46"/>
        <d v="2025-06-26T20:30:05"/>
        <d v="2025-07-31T18:10:35"/>
        <d v="2025-07-31T18:10:54"/>
        <d v="2025-07-31T18:11:11"/>
        <d v="2025-07-31T18:11:54"/>
        <d v="2025-02-12T19:08:31"/>
        <d v="2025-02-18T01:22:40"/>
        <d v="2025-03-12T18:18:43"/>
        <d v="2025-03-12T18:23:28"/>
        <d v="2025-03-12T18:25:45"/>
        <d v="2025-02-04T16:57:42"/>
        <d v="2025-03-17T15:14:03"/>
        <d v="2025-03-17T15:14:47"/>
        <d v="2025-03-17T15:23:10"/>
        <d v="2025-08-01T15:52:13"/>
        <d v="2025-08-01T15:52:35"/>
        <d v="2025-02-19T20:56:22"/>
        <d v="2025-03-14T21:30:35"/>
        <d v="2025-03-14T21:31:07"/>
        <d v="2025-03-14T21:31:46"/>
        <d v="2025-03-14T21:32:49"/>
        <d v="2025-03-14T21:33:17"/>
        <d v="2025-03-14T21:33:46"/>
        <d v="2025-03-14T21:35:00"/>
        <d v="2025-03-14T21:35:25"/>
        <d v="2025-06-03T15:44:31"/>
        <d v="2025-06-03T15:45:01"/>
        <d v="2025-06-03T15:46:25"/>
        <d v="2025-06-03T15:54:52"/>
        <d v="2025-02-13T15:30:37"/>
        <d v="2025-02-19T20:22:15"/>
        <d v="2025-02-27T16:00:54"/>
        <d v="2025-03-07T17:39:26"/>
        <d v="2025-03-12T16:17:53"/>
        <d v="2025-07-28T14:01:10"/>
        <d v="2025-05-02T13:12:31"/>
        <d v="2025-03-20T03:23:31"/>
        <d v="2025-03-21T04:46:40"/>
        <d v="2025-05-13T18:17:55"/>
        <d v="2025-05-13T18:18:19"/>
        <d v="2025-05-11T21:58:16"/>
        <d v="2025-06-13T15:20:00"/>
        <d v="2025-07-01T20:02:48"/>
        <d v="2025-02-24T18:28:06"/>
        <d v="2025-02-27T20:29:22"/>
        <d v="2025-02-27T20:31:37"/>
        <d v="2025-02-27T20:32:19"/>
        <d v="2025-02-27T20:33:19"/>
        <d v="2025-05-23T17:59:19"/>
        <d v="2025-05-23T18:01:23"/>
        <d v="2025-05-23T18:02:04"/>
        <d v="2025-01-24T18:26:12"/>
        <d v="2025-01-29T16:13:25"/>
        <d v="2025-03-10T21:11:27"/>
        <d v="2025-03-17T16:09:21"/>
        <d v="2025-02-24T15:41:45"/>
        <d v="2025-01-03T20:57:55"/>
        <d v="2025-01-03T21:00:37"/>
        <d v="2025-01-03T21:02:56"/>
        <d v="2025-01-03T21:07:40"/>
        <d v="2025-05-22T00:04:48"/>
        <d v="2025-01-13T18:17:16"/>
        <d v="2025-01-13T18:17:42"/>
        <d v="2025-01-14T21:23:00"/>
        <d v="2025-04-21T17:04:03"/>
        <d v="2025-04-21T17:05:12"/>
        <d v="2025-02-13T17:25:59"/>
        <d v="2025-01-28T20:48:22"/>
        <d v="2025-02-03T16:10:41"/>
        <d v="2025-02-03T16:11:57"/>
        <d v="2025-04-11T20:39:43"/>
        <d v="2025-05-12T12:58:46"/>
        <d v="2025-05-14T12:18:31"/>
        <d v="2025-06-24T01:00:46"/>
        <d v="2025-02-05T20:09:28"/>
        <d v="2025-04-01T20:53:50"/>
        <d v="2025-05-19T16:29:45"/>
        <d v="2025-01-17T05:53:59"/>
        <d v="2025-02-26T16:44:04"/>
        <d v="2025-02-21T20:23:53"/>
        <d v="2025-06-06T02:40:51"/>
        <d v="2025-07-14T15:21:29"/>
        <d v="2025-07-14T15:22:37"/>
        <d v="2025-05-09T17:54:00"/>
        <d v="2025-03-20T19:50:22"/>
        <d v="2025-04-04T19:27:30"/>
        <d v="2025-04-09T03:50:12"/>
        <d v="2025-04-23T16:04:23"/>
        <d v="2025-01-07T15:04:07"/>
        <d v="2025-05-19T01:14:29"/>
        <d v="2025-03-24T20:34:55"/>
        <d v="2025-01-28T16:03:05"/>
        <d v="2025-01-22T16:51:16"/>
        <d v="2025-01-14T20:32:53"/>
        <d v="2025-01-16T15:34:40"/>
        <d v="2025-02-05T15:28:09"/>
        <d v="2025-03-06T14:59:41"/>
        <d v="2025-01-23T19:52:56"/>
        <d v="2025-02-26T21:52:51"/>
        <d v="2025-05-14T12:24:37"/>
        <d v="2025-02-05T22:35:31"/>
        <d v="2025-03-14T19:44:18"/>
        <d v="2025-03-20T19:20:24"/>
        <d v="2025-02-21T16:33:50"/>
        <d v="2025-03-04T21:28:47"/>
        <d v="2025-04-08T17:02:10"/>
        <d v="2025-01-14T09:16:03"/>
        <d v="2025-01-14T09:18:46"/>
        <d v="2025-01-14T09:20:06"/>
        <d v="2025-01-14T09:22:17"/>
        <d v="2025-01-14T09:23:03"/>
        <d v="2025-01-16T09:39:38"/>
        <d v="2025-01-17T12:22:27"/>
        <d v="2025-01-31T16:14:51"/>
        <d v="2025-04-03T18:33:09"/>
        <d v="2025-04-16T16:01:45"/>
        <d v="2025-03-12T16:42:56"/>
        <d v="2025-03-18T15:33:54"/>
        <d v="2025-02-11T17:35:55"/>
        <d v="2025-03-11T20:49:49"/>
        <d v="2025-06-16T14:57:28"/>
        <d v="2025-02-03T17:18:16"/>
        <d v="2025-06-16T15:01:28"/>
        <d v="2025-03-04T14:48:57"/>
        <d v="2025-03-06T15:23:31"/>
        <d v="2025-05-14T16:05:09"/>
        <d v="2025-05-19T20:54:42"/>
        <d v="2025-03-14T21:15:56"/>
        <d v="2025-03-14T21:16:29"/>
        <d v="2025-03-14T21:18:38"/>
        <d v="2025-07-30T14:34:25"/>
        <d v="2025-02-21T21:11:19"/>
        <d v="2025-02-18T18:34:56"/>
        <d v="2025-05-22T00:01:53"/>
        <d v="2025-05-26T00:45:36"/>
        <d v="2025-05-28T18:21:48"/>
        <d v="2025-05-28T18:25:04"/>
        <d v="2025-05-28T18:29:28"/>
        <d v="2025-02-04T16:51:15"/>
        <d v="2025-01-13T19:20:53"/>
        <d v="2025-03-05T04:25:21"/>
        <d v="2025-03-06T22:07:57"/>
        <d v="2025-05-06T18:08:16"/>
        <d v="2025-01-31T18:43:36"/>
        <d v="2025-01-31T18:44:23"/>
        <d v="2025-02-27T21:19:44"/>
        <d v="2025-04-14T20:20:11"/>
        <d v="2025-05-23T15:55:32"/>
        <d v="2025-06-17T17:06:06"/>
        <d v="2025-06-24T18:17:37"/>
        <d v="2025-06-24T18:18:38"/>
        <d v="2025-04-09T18:31:40"/>
        <d v="2025-01-14T16:08:29"/>
        <d v="2025-01-23T12:49:16"/>
        <d v="2025-01-31T15:59:28"/>
        <d v="2025-01-31T15:59:58"/>
        <d v="2025-07-15T18:01:22"/>
        <d v="2025-07-22T14:03:57"/>
        <d v="2025-03-07T19:09:48"/>
        <d v="2025-03-07T19:11:34"/>
        <d v="2025-04-17T13:51:04"/>
        <d v="2025-02-24T13:36:29"/>
        <d v="2025-02-17T15:36:41"/>
        <d v="2025-02-06T15:13:30"/>
        <d v="2025-02-06T15:14:04"/>
        <d v="2025-02-06T15:16:04"/>
        <d v="2025-02-06T15:16:28"/>
        <d v="2025-02-27T20:34:46"/>
        <d v="2025-03-25T18:32:57"/>
        <d v="2025-05-27T13:02:30"/>
        <d v="2025-02-24T19:10:36"/>
        <d v="2025-04-07T14:06:12"/>
        <d v="2025-01-14T09:16:20"/>
        <d v="2025-01-14T09:25:16"/>
        <d v="2025-01-14T09:25:56"/>
        <d v="2025-01-14T09:26:25"/>
        <d v="2025-01-14T09:26:59"/>
        <d v="2025-02-11T17:28:59"/>
        <d v="2025-02-17T17:48:49"/>
        <d v="2025-05-12T16:17:14"/>
        <d v="2025-05-12T16:18:40"/>
        <d v="2025-05-12T16:19:00"/>
        <d v="2025-07-11T20:36:16"/>
        <d v="2025-07-14T15:09:50"/>
        <d v="2025-04-07T20:50:14"/>
        <d v="2025-01-13T19:15:32"/>
        <d v="2025-01-14T09:16:39"/>
        <d v="2025-01-14T09:29:25"/>
        <d v="2025-01-14T09:31:30"/>
        <d v="2025-01-28T15:48:58"/>
        <d v="2025-01-28T15:51:36"/>
        <d v="2025-01-28T15:52:41"/>
        <d v="2025-01-28T15:54:53"/>
        <d v="2025-01-30T19:05:01"/>
        <d v="2025-01-30T19:05:35"/>
        <d v="2025-04-17T20:16:29"/>
        <d v="2025-07-23T20:56:35"/>
        <d v="2025-01-21T14:46:22"/>
        <d v="2025-01-21T14:48:33"/>
        <d v="2025-01-20T18:46:58"/>
        <d v="2025-06-17T20:58:50"/>
        <d v="2025-06-30T21:25:30"/>
        <d v="2025-07-21T18:26:33"/>
        <d v="2025-07-21T18:28:52"/>
        <d v="2025-07-21T18:29:50"/>
        <d v="2025-07-21T18:30:54"/>
        <d v="2025-07-21T18:32:15"/>
        <d v="2025-07-21T18:34:25"/>
        <d v="2025-07-21T18:35:26"/>
        <d v="2025-07-21T18:36:36"/>
        <d v="2025-07-21T18:37:15"/>
        <d v="2025-06-23T15:11:59"/>
        <d v="2025-06-23T15:13:59"/>
        <d v="2025-06-23T15:14:47"/>
        <d v="2025-03-25T14:48:09"/>
        <d v="2025-04-22T19:26:54"/>
        <d v="2025-04-22T19:28:16"/>
        <d v="2025-04-22T19:30:01"/>
        <d v="2025-04-22T19:30:36"/>
        <d v="2025-04-22T19:31:52"/>
        <d v="2025-04-28T18:42:58"/>
        <d v="2025-02-07T20:42:42"/>
        <d v="2025-04-07T22:36:36"/>
        <d v="2025-04-30T20:16:51"/>
        <d v="2025-07-18T18:43:59"/>
        <d v="2025-06-30T19:11:33"/>
        <d v="2025-03-19T19:31:39"/>
        <d v="2025-06-12T19:37:01"/>
        <d v="2025-06-12T19:37:15"/>
        <d v="2025-03-05T16:09:03"/>
        <d v="2025-04-16T20:24:57"/>
        <d v="2025-04-24T13:56:19"/>
        <d v="2025-05-23T11:49:12"/>
        <d v="2025-05-28T18:39:54"/>
        <d v="2025-06-09T13:51:38"/>
        <d v="2025-02-26T15:34:58"/>
        <d v="2025-03-14T16:14:14"/>
        <d v="2025-03-21T17:33:15"/>
        <d v="2025-03-21T17:33:49"/>
        <d v="2025-04-10T13:17:40"/>
        <d v="2025-07-18T21:14:31"/>
        <d v="2025-07-18T21:21:15"/>
        <d v="2025-02-24T18:15:21"/>
        <d v="2025-02-24T18:18:16"/>
        <d v="2025-02-25T15:14:53"/>
        <d v="2025-03-31T14:52:37"/>
        <d v="2025-04-04T19:51:33"/>
        <d v="2025-05-01T16:19:25"/>
        <d v="2025-05-12T17:38:49"/>
        <d v="2025-05-12T17:39:05"/>
        <d v="2025-05-12T17:40:16"/>
        <d v="2025-05-12T17:42:03"/>
        <d v="2025-05-12T17:49:50"/>
        <d v="2025-06-06T18:19:05"/>
        <d v="2025-06-06T18:22:03"/>
        <d v="2025-05-22T18:28:36"/>
        <d v="2025-05-05T20:37:58"/>
        <d v="2025-07-11T01:59:01"/>
        <d v="2025-07-17T15:41:53"/>
        <d v="2025-07-18T12:17:41"/>
        <d v="2025-03-06T20:49:30"/>
        <d v="2025-03-14T19:27:36"/>
        <d v="2025-05-12T17:42:51"/>
        <d v="2025-05-12T17:43:26"/>
        <d v="2025-05-12T17:44:10"/>
        <d v="2025-05-12T17:44:38"/>
        <d v="2025-05-12T17:45:22"/>
        <d v="2025-05-12T17:45:34"/>
        <d v="2025-05-12T17:45:59"/>
        <d v="2025-05-12T17:46:28"/>
        <d v="2025-05-12T17:48:01"/>
        <d v="2025-05-12T17:48:10"/>
        <d v="2025-05-12T17:48:25"/>
        <d v="2025-05-12T17:48:40"/>
        <d v="2025-05-01T12:23:32"/>
        <d v="2025-07-28T13:10:21"/>
        <d v="2025-04-24T15:34:59"/>
        <d v="2025-04-24T15:38:06"/>
        <d v="2025-04-24T15:44:07"/>
        <d v="2025-02-27T11:27:19"/>
        <d v="2025-05-01T19:24:22"/>
        <d v="2025-06-16T14:06:45"/>
        <d v="2025-05-01T14:08:28"/>
        <d v="2025-06-09T14:51:11"/>
        <d v="2025-06-09T14:51:49"/>
        <d v="2025-06-09T14:52:07"/>
        <d v="2025-06-09T14:52:21"/>
        <d v="2025-04-08T17:40:03"/>
        <d v="2025-04-28T14:51:59"/>
        <d v="2025-04-01T18:35:33"/>
        <d v="2025-04-01T18:36:42"/>
        <d v="2025-04-01T18:38:55"/>
        <d v="2025-04-14T14:38:24"/>
        <d v="2025-05-22T20:03:37"/>
        <d v="2025-03-19T17:16:21"/>
        <d v="2025-06-18T20:40:57"/>
        <d v="2025-06-26T17:29:53"/>
        <d v="2025-04-24T17:59:44"/>
        <d v="2025-04-24T18:01:21"/>
        <d v="2025-04-24T18:03:21"/>
        <d v="2025-04-24T18:04:55"/>
        <d v="2025-07-29T20:26:09"/>
        <d v="2025-07-24T20:38:45"/>
        <d v="2025-07-24T20:40:52"/>
        <d v="2025-07-24T20:41:14"/>
        <d v="2025-07-24T20:41:56"/>
        <d v="2025-07-24T20:44:18"/>
        <d v="2025-07-24T20:44:40"/>
        <d v="2025-07-24T20:46:21"/>
        <d v="2025-07-24T20:50:10"/>
        <d v="2025-06-12T18:27:52"/>
        <d v="2025-06-13T15:48:09"/>
        <d v="2025-07-28T16:57:20"/>
        <d v="2025-05-21T19:02:41"/>
        <d v="2025-05-21T19:03:06"/>
        <d v="2025-05-21T19:04:20"/>
        <d v="2025-07-10T20:51:31"/>
        <d v="2025-07-10T20:52:20"/>
        <d v="2025-07-10T20:52:47"/>
        <d v="2025-07-10T20:53:12"/>
        <d v="2025-07-10T20:53:49"/>
        <d v="2025-07-10T20:54:12"/>
        <d v="2025-07-10T20:54:59"/>
        <d v="2025-05-07T13:58:38"/>
        <d v="2025-07-17T20:00:10"/>
        <d v="2025-04-24T21:34:48"/>
        <d v="2025-04-17T18:45:45"/>
        <d v="2025-04-25T08:17:31"/>
        <d v="2025-05-28T14:16:56"/>
        <d v="2025-07-18T19:31:49"/>
        <d v="2025-05-28T15:55:58"/>
        <d v="2025-05-28T18:40:50"/>
        <d v="2025-07-28T17:22:00"/>
        <d v="2025-04-29T16:45:17"/>
        <d v="2025-04-29T18:53:59"/>
        <d v="2025-04-29T18:54:39"/>
        <d v="2025-04-29T18:55:10"/>
        <d v="2025-04-29T18:55:51"/>
        <d v="2025-05-22T17:46:46"/>
        <d v="2025-06-18T13:29:36"/>
        <d v="2025-06-20T14:30:25"/>
        <d v="2025-06-26T13:45:16"/>
        <d v="2025-05-14T14:56:41"/>
        <d v="2025-05-16T19:14:23"/>
        <d v="2025-06-17T14:13:14"/>
        <d v="2025-07-22T17:34:21"/>
        <d v="2025-07-22T17:35:22"/>
        <d v="2025-07-22T17:35:58"/>
        <d v="2025-05-12T16:39:57"/>
        <d v="2025-04-30T13:57:38"/>
        <d v="2025-04-30T13:57:58"/>
        <d v="2025-06-25T19:29:57"/>
        <d v="2025-07-28T17:49:54"/>
        <d v="2025-06-02T14:29:01"/>
        <d v="2025-05-30T15:24:07"/>
        <d v="2025-05-30T15:25:20"/>
        <d v="2025-05-30T15:25:47"/>
        <d v="2025-05-30T15:26:20"/>
        <d v="2025-07-18T17:17:00"/>
        <d v="2025-07-21T15:57:35"/>
        <d v="2025-07-25T15:01:31"/>
        <d v="2025-07-03T20:32:33"/>
        <d v="2025-05-13T13:57:30"/>
        <d v="2025-05-13T13:58:00"/>
        <d v="2025-05-13T13:58:27"/>
        <d v="2025-05-13T13:59:28"/>
        <d v="2025-05-13T14:00:29"/>
        <d v="2025-06-06T16:30:15"/>
        <d v="2025-06-06T16:32:44"/>
        <d v="2025-06-11T18:40:40"/>
        <d v="2025-06-19T18:45:23"/>
        <d v="2025-06-23T14:54:55"/>
        <d v="2025-06-19T14:54:47"/>
        <d v="2025-07-31T13:38:23"/>
        <d v="2025-07-31T14:25:34"/>
        <d v="2025-07-01T20:54:29"/>
        <d v="2025-07-16T16:33:57"/>
        <d v="2025-07-22T17:36:14"/>
        <d v="2025-07-24T10:49:12"/>
        <d v="2025-07-14T19:09:51"/>
        <d v="2025-06-27T20:24:07"/>
        <d v="2025-07-17T20:02:46"/>
        <d v="2025-07-21T13:13:57"/>
        <d v="2025-07-11T17:01:27"/>
        <d v="2025-07-28T15:14:11"/>
        <d v="2025-07-22T20:51:58"/>
        <d v="2025-07-23T16:08:37"/>
        <d v="2025-06-27T20:37:57"/>
        <d v="2025-07-17T21:16:11"/>
        <d v="2025-06-19T18:51:17"/>
        <d v="2025-06-19T18:54:02"/>
        <d v="2025-06-26T20:22:07"/>
        <d v="2025-07-24T15:44:21"/>
        <d v="2025-07-18T21:21:24"/>
        <d v="2025-07-18T21:22:24"/>
        <d v="2025-07-31T09:49:09"/>
        <d v="2025-01-09T20:36:57"/>
        <d v="2025-01-07T16:26:18"/>
        <d v="2025-01-10T06:28:01"/>
        <d v="2025-01-09T19:39:00"/>
        <d v="2025-01-03T18:50:52"/>
        <d v="2025-01-09T05:36:29"/>
        <d v="2025-01-17T18:17:57"/>
        <d v="2025-01-15T18:04:25"/>
        <d v="2025-01-14T14:09:36"/>
        <d v="2025-01-14T14:42:10"/>
        <d v="2025-01-14T14:51:01"/>
        <d v="2025-01-14T14:54:22"/>
        <d v="2025-01-14T15:08:00"/>
        <d v="2025-01-14T15:15:31"/>
        <d v="2025-01-14T15:19:58" u="1"/>
        <d v="2025-01-28T18:41:37" u="1"/>
        <d v="2025-01-29T14:34:22" u="1"/>
        <d v="2025-01-14T21:53:31" u="1"/>
        <d v="2025-01-24T17:54:15" u="1"/>
        <d v="2025-01-28T18:14:46" u="1"/>
        <d v="2025-02-17T16:56:56" u="1"/>
        <d v="2025-02-18T17:04:31" u="1"/>
        <d v="2025-02-06T20:06:29" u="1"/>
        <d v="2025-02-06T20:06:56" u="1"/>
        <d v="2025-06-27T19:27:16" u="1"/>
        <d v="2025-06-27T19:28:28" u="1"/>
        <d v="2025-02-10T20:35:08" u="1"/>
        <d v="2025-03-26T14:15:23" u="1"/>
        <d v="2025-03-26T14:18:14" u="1"/>
        <d v="2025-03-21T19:19:15" u="1"/>
        <d v="2025-03-27T19:51:27" u="1"/>
        <d v="2025-06-26T13:17:03" u="1"/>
        <d v="2025-06-26T13:18:11" u="1"/>
        <d v="2025-06-26T13:19:01" u="1"/>
        <d v="2025-05-23T17:03:22" u="1"/>
        <d v="2025-06-26T17:44:50" u="1"/>
        <d v="2025-05-05T17:38:41" u="1"/>
        <d v="2025-05-05T17:41:50" u="1"/>
        <d v="2025-04-28T14:53:55" u="1"/>
        <d v="2025-07-16T14:37:14" u="1"/>
        <d v="2025-07-16T14:37:50" u="1"/>
        <d v="2025-02-06T13:24:17" u="1"/>
      </sharedItems>
      <fieldGroup par="20"/>
    </cacheField>
    <cacheField name="Return Category" numFmtId="0">
      <sharedItems count="7">
        <s v="Tech Data"/>
        <s v="Cover Page"/>
        <s v="Team Center"/>
        <s v="Question"/>
        <s v="Pre EA General"/>
        <s v="Structural Analysis (Structures use only)"/>
        <s v="SAM Documentation (Structures use only)"/>
      </sharedItems>
    </cacheField>
    <cacheField name="Return Description" numFmtId="0">
      <sharedItems count="32">
        <s v="10-Repair Method/Template/Instructions"/>
        <s v="03-Models"/>
        <s v="21-Substantiation"/>
        <s v="Clarification"/>
        <s v="Repair Plan-Substantiation"/>
        <s v="Repair Plan-Redline"/>
        <s v="14-Figure dimensions"/>
        <s v="08-Prerequisites"/>
        <s v="23-Endorsements/Workflow/Signoff-sheet"/>
        <s v="22-SAM/ Analysis Memos"/>
        <s v="13-Figure illustrations"/>
        <s v="19-Reference Information"/>
        <s v="Background"/>
        <s v="20-Full Event Description"/>
        <s v="05-Applicable PNs / SNs"/>
        <s v="09-Repair parameters/Detail info/Sequencing"/>
        <s v="11-Ref to tech data/Specs/SPOPs/PWAs/Tools"/>
        <s v="07-Action Statement"/>
        <s v="02-Page Numbering"/>
        <s v="SA01-FEA model"/>
        <s v="04-Subject/Part Name/Feature/Repair"/>
        <s v="01-EA No./Task Type/Rev"/>
        <s v="16-Note to MDE/Warnings/Cautions/Notes"/>
        <s v="SA08-Fracture analysis (Material, flaw/plate size, etc)"/>
        <s v="SD04-Repair Requirements/Repair Figure"/>
        <s v="SA03-Assumed repair dimensions"/>
        <s v="Repair Plan-Background Data"/>
        <s v="SD01-Title Block (P/N, S/N, Material, Engine applicability)"/>
        <s v="SA06-LCF analysis (Material, Life Curve, debits, etc)"/>
        <s v="17-Non-technical DDM file errors"/>
        <s v="06-ATA Numbers"/>
        <s v="SD06-Incorrect/Missing Information"/>
      </sharedItems>
    </cacheField>
    <cacheField name="Is Technical Impact" numFmtId="0">
      <sharedItems/>
    </cacheField>
    <cacheField name="EA #" numFmtId="0">
      <sharedItems containsBlank="1"/>
    </cacheField>
    <cacheField name="Wire Type" numFmtId="0">
      <sharedItems/>
    </cacheField>
    <cacheField name="Wire Subtype" numFmtId="0">
      <sharedItems/>
    </cacheField>
    <cacheField name="Redash Status" numFmtId="0">
      <sharedItems/>
    </cacheField>
    <cacheField name="Priority" numFmtId="0">
      <sharedItems/>
    </cacheField>
    <cacheField name="Rank" numFmtId="0">
      <sharedItems containsString="0" containsBlank="1" containsNumber="1" containsInteger="1" minValue="1" maxValue="49"/>
    </cacheField>
    <cacheField name="Hit Date" numFmtId="164">
      <sharedItems containsSemiMixedTypes="0" containsNonDate="0" containsDate="1" containsString="0" minDate="2021-09-10T09:32:54" maxDate="2025-07-14T13:34:02"/>
    </cacheField>
    <cacheField name="Target Date" numFmtId="164">
      <sharedItems containsNonDate="0" containsDate="1" containsString="0" containsBlank="1" minDate="2025-01-14T05:00:00" maxDate="2025-11-19T05:00:00"/>
    </cacheField>
    <cacheField name="Engine Family" numFmtId="0">
      <sharedItems/>
    </cacheField>
    <cacheField name="Task Owner" numFmtId="0">
      <sharedItems/>
    </cacheField>
    <cacheField name="Confidence level" numFmtId="0">
      <sharedItems containsBlank="1"/>
    </cacheField>
    <cacheField name="Days (Return Date)" numFmtId="0" databaseField="0">
      <fieldGroup base="4">
        <rangePr groupBy="days" startDate="2025-01-02T15:55:20" endDate="2025-08-01T15:52:35"/>
        <groupItems count="368">
          <s v="&lt;1/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1/2025"/>
        </groupItems>
      </fieldGroup>
    </cacheField>
    <cacheField name="Months (Return Date)" numFmtId="0" databaseField="0">
      <fieldGroup base="4">
        <rangePr groupBy="months" startDate="2025-01-02T15:55:20" endDate="2025-08-01T15:52:35"/>
        <groupItems count="14">
          <s v="&lt;1/2/2025"/>
          <s v="Jan"/>
          <s v="Feb"/>
          <s v="Mar"/>
          <s v="Apr"/>
          <s v="May"/>
          <s v="Jun"/>
          <s v="Jul"/>
          <s v="Aug"/>
          <s v="Sep"/>
          <s v="Oct"/>
          <s v="Nov"/>
          <s v="Dec"/>
          <s v="&gt;8/1/202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tafa, Ferdin                            PW" refreshedDate="45873.258363194444" createdVersion="8" refreshedVersion="8" minRefreshableVersion="3" recordCount="887" xr:uid="{30D3050D-0AF6-4D7F-8857-2212BC374460}">
  <cacheSource type="worksheet">
    <worksheetSource ref="A1:AO888" sheet="AllTasks"/>
  </cacheSource>
  <cacheFields count="44">
    <cacheField name="Sector" numFmtId="0">
      <sharedItems/>
    </cacheField>
    <cacheField name="Msg Id" numFmtId="0">
      <sharedItems containsMixedTypes="1" containsNumber="1" containsInteger="1" minValue="95804" maxValue="114305"/>
    </cacheField>
    <cacheField name="Task Owner" numFmtId="0">
      <sharedItems/>
    </cacheField>
    <cacheField name="Redash Status" numFmtId="0">
      <sharedItems/>
    </cacheField>
    <cacheField name="Task Source Status" numFmtId="0">
      <sharedItems/>
    </cacheField>
    <cacheField name="Priority" numFmtId="0">
      <sharedItems/>
    </cacheField>
    <cacheField name="Rank" numFmtId="0">
      <sharedItems containsString="0" containsBlank="1" containsNumber="1" containsInteger="1" minValue="1" maxValue="2024"/>
    </cacheField>
    <cacheField name="EA #" numFmtId="0">
      <sharedItems/>
    </cacheField>
    <cacheField name="Wire Type" numFmtId="0">
      <sharedItems/>
    </cacheField>
    <cacheField name="Wire Subtype" numFmtId="0">
      <sharedItems/>
    </cacheField>
    <cacheField name="Engine Family" numFmtId="0">
      <sharedItems/>
    </cacheField>
    <cacheField name="RDE Charge Funding" numFmtId="0">
      <sharedItems containsBlank="1"/>
    </cacheField>
    <cacheField name="Confidence level" numFmtId="0">
      <sharedItems containsBlank="1"/>
    </cacheField>
    <cacheField name="Hit Date" numFmtId="164">
      <sharedItems containsSemiMixedTypes="0" containsNonDate="0" containsDate="1" containsString="0" minDate="2021-03-10T16:50:13" maxDate="2025-07-21T04:00:00"/>
    </cacheField>
    <cacheField name="Initial Target Date" numFmtId="164">
      <sharedItems containsNonDate="0" containsDate="1" containsString="0" containsBlank="1" minDate="2021-12-10T05:00:00" maxDate="2026-07-21T04:00:00"/>
    </cacheField>
    <cacheField name="Target Date" numFmtId="164">
      <sharedItems containsNonDate="0" containsDate="1" containsString="0" containsBlank="1" minDate="2023-12-22T05:00:00" maxDate="2025-11-19T05:00:00"/>
    </cacheField>
    <cacheField name="Validation Complete Date" numFmtId="164">
      <sharedItems containsSemiMixedTypes="0" containsNonDate="0" containsDate="1" containsString="0" minDate="2024-01-02T05:00:00" maxDate="2025-08-03T04:00:00" count="354">
        <d v="2025-08-01T04:00:00"/>
        <d v="2024-03-19T04:00:00"/>
        <d v="2024-04-30T04:00:00"/>
        <d v="2024-07-18T04:00:00"/>
        <d v="2024-08-27T04:00:00"/>
        <d v="2024-08-05T04:00:00"/>
        <d v="2024-08-26T04:00:00"/>
        <d v="2025-06-27T04:00:00"/>
        <d v="2025-06-18T04:00:00"/>
        <d v="2024-08-23T04:00:00"/>
        <d v="2025-01-24T05:00:00"/>
        <d v="2025-05-30T04:00:00"/>
        <d v="2025-05-05T04:00:00"/>
        <d v="2025-07-01T04:00:00"/>
        <d v="2024-09-13T04:00:00"/>
        <d v="2025-02-05T05:00:00"/>
        <d v="2025-05-27T04:00:00"/>
        <d v="2025-04-25T04:00:00"/>
        <d v="2025-04-11T04:00:00"/>
        <d v="2025-06-23T04:00:00"/>
        <d v="2025-07-02T04:00:00"/>
        <d v="2024-12-11T05:00:00"/>
        <d v="2025-04-08T04:00:00"/>
        <d v="2025-05-02T04:00:00"/>
        <d v="2025-06-30T04:00:00"/>
        <d v="2025-06-02T04:00:00"/>
        <d v="2025-03-27T04:00:00"/>
        <d v="2025-07-09T04:00:00"/>
        <d v="2025-07-07T04:00:00"/>
        <d v="2024-04-16T04:00:00"/>
        <d v="2024-01-22T05:00:00"/>
        <d v="2024-02-26T05:00:00"/>
        <d v="2024-01-11T05:00:00"/>
        <d v="2024-02-22T05:00:00"/>
        <d v="2024-02-08T05:00:00"/>
        <d v="2024-04-24T04:00:00"/>
        <d v="2024-05-24T04:00:00"/>
        <d v="2024-10-30T04:00:00"/>
        <d v="2024-07-15T04:00:00"/>
        <d v="2024-10-08T04:00:00"/>
        <d v="2024-09-23T04:00:00"/>
        <d v="2024-09-06T04:00:00"/>
        <d v="2024-12-12T05:00:00"/>
        <d v="2024-12-18T05:00:00"/>
        <d v="2024-12-16T05:00:00"/>
        <d v="2025-03-25T04:00:00"/>
        <d v="2025-02-21T05:00:00"/>
        <d v="2025-02-18T05:00:00"/>
        <d v="2025-06-09T04:00:00"/>
        <d v="2025-03-19T04:00:00"/>
        <d v="2025-03-20T04:00:00"/>
        <d v="2025-03-31T04:00:00"/>
        <d v="2025-07-14T04:00:00"/>
        <d v="2025-04-29T04:00:00"/>
        <d v="2025-05-20T04:00:00"/>
        <d v="2025-06-26T04:00:00"/>
        <d v="2025-07-25T04:00:00"/>
        <d v="2025-07-16T04:00:00"/>
        <d v="2025-07-31T04:00:00"/>
        <d v="2025-08-03T04:00:00"/>
        <d v="2024-04-08T04:00:00"/>
        <d v="2024-01-31T05:00:00"/>
        <d v="2024-01-29T05:00:00"/>
        <d v="2025-01-07T05:00:00"/>
        <d v="2024-02-27T05:00:00"/>
        <d v="2024-06-14T04:00:00"/>
        <d v="2024-04-23T04:00:00"/>
        <d v="2024-04-09T04:00:00"/>
        <d v="2024-02-09T05:00:00"/>
        <d v="2024-01-26T05:00:00"/>
        <d v="2024-12-19T05:00:00"/>
        <d v="2025-01-08T05:00:00"/>
        <d v="2024-05-20T04:00:00"/>
        <d v="2024-07-25T04:00:00"/>
        <d v="2024-02-19T05:00:00"/>
        <d v="2024-04-19T04:00:00"/>
        <d v="2024-04-25T04:00:00"/>
        <d v="2024-03-21T04:00:00"/>
        <d v="2024-05-13T04:00:00"/>
        <d v="2025-01-14T05:00:00"/>
        <d v="2024-09-27T04:00:00"/>
        <d v="2024-03-25T04:00:00"/>
        <d v="2024-08-15T04:00:00"/>
        <d v="2025-01-13T05:00:00"/>
        <d v="2025-01-17T05:00:00"/>
        <d v="2024-05-07T04:00:00"/>
        <d v="2024-08-16T04:00:00"/>
        <d v="2024-08-12T04:00:00"/>
        <d v="2024-07-02T04:00:00"/>
        <d v="2024-05-31T04:00:00"/>
        <d v="2024-07-08T04:00:00"/>
        <d v="2024-07-30T04:00:00"/>
        <d v="2024-07-31T04:00:00"/>
        <d v="2024-08-21T04:00:00"/>
        <d v="2024-08-28T04:00:00"/>
        <d v="2024-09-30T04:00:00"/>
        <d v="2025-01-30T05:00:00"/>
        <d v="2025-01-09T05:00:00"/>
        <d v="2025-01-29T05:00:00"/>
        <d v="2025-01-28T05:00:00"/>
        <d v="2025-02-06T05:00:00"/>
        <d v="2024-06-06T04:00:00"/>
        <d v="2024-03-11T04:00:00"/>
        <d v="2024-07-11T04:00:00"/>
        <d v="2024-01-23T05:00:00"/>
        <d v="2024-09-20T04:00:00"/>
        <d v="2024-01-25T05:00:00"/>
        <d v="2024-07-16T04:00:00"/>
        <d v="2024-04-17T04:00:00"/>
        <d v="2024-04-22T04:00:00"/>
        <d v="2024-06-04T04:00:00"/>
        <d v="2024-10-01T04:00:00"/>
        <d v="2024-08-13T04:00:00"/>
        <d v="2024-10-28T04:00:00"/>
        <d v="2025-02-12T05:00:00"/>
        <d v="2024-01-05T05:00:00"/>
        <d v="2024-06-12T04:00:00"/>
        <d v="2024-03-20T04:00:00"/>
        <d v="2024-01-16T05:00:00"/>
        <d v="2024-05-01T04:00:00"/>
        <d v="2024-02-12T05:00:00"/>
        <d v="2024-06-10T04:00:00"/>
        <d v="2024-04-05T04:00:00"/>
        <d v="2024-05-02T04:00:00"/>
        <d v="2025-07-08T04:00:00"/>
        <d v="2024-02-16T05:00:00"/>
        <d v="2024-01-30T05:00:00"/>
        <d v="2024-02-29T05:00:00"/>
        <d v="2024-02-07T05:00:00"/>
        <d v="2024-03-22T04:00:00"/>
        <d v="2024-05-10T04:00:00"/>
        <d v="2024-06-30T04:00:00"/>
        <d v="2024-04-29T04:00:00"/>
        <d v="2024-05-21T04:00:00"/>
        <d v="2024-06-05T04:00:00"/>
        <d v="2025-02-11T05:00:00"/>
        <d v="2025-07-18T04:00:00"/>
        <d v="2024-01-02T05:00:00"/>
        <d v="2024-05-16T04:00:00"/>
        <d v="2024-01-03T05:00:00"/>
        <d v="2024-07-10T04:00:00"/>
        <d v="2024-05-22T04:00:00"/>
        <d v="2024-02-21T05:00:00"/>
        <d v="2024-03-26T04:00:00"/>
        <d v="2024-03-14T04:00:00"/>
        <d v="2024-06-13T04:00:00"/>
        <d v="2024-09-04T04:00:00"/>
        <d v="2024-06-21T04:00:00"/>
        <d v="2024-07-17T04:00:00"/>
        <d v="2024-11-13T05:00:00"/>
        <d v="2025-06-19T04:00:00"/>
        <d v="2024-06-07T04:00:00"/>
        <d v="2024-03-05T05:00:00"/>
        <d v="2024-03-29T04:00:00"/>
        <d v="2024-03-27T04:00:00"/>
        <d v="2024-07-12T04:00:00"/>
        <d v="2024-09-24T04:00:00"/>
        <d v="2025-05-12T04:00:00"/>
        <d v="2025-07-03T04:00:00"/>
        <d v="2024-04-04T04:00:00"/>
        <d v="2024-02-23T05:00:00"/>
        <d v="2024-01-12T05:00:00"/>
        <d v="2024-02-15T05:00:00"/>
        <d v="2024-07-22T04:00:00"/>
        <d v="2024-09-25T04:00:00"/>
        <d v="2024-04-03T04:00:00"/>
        <d v="2024-07-24T04:00:00"/>
        <d v="2024-06-19T04:00:00"/>
        <d v="2024-09-17T04:00:00"/>
        <d v="2024-08-29T04:00:00"/>
        <d v="2024-09-11T04:00:00"/>
        <d v="2025-05-28T04:00:00"/>
        <d v="2024-03-04T05:00:00"/>
        <d v="2024-03-18T04:00:00"/>
        <d v="2024-08-06T04:00:00"/>
        <d v="2024-12-20T05:00:00"/>
        <d v="2025-05-21T04:00:00"/>
        <d v="2025-07-17T04:00:00"/>
        <d v="2025-03-18T04:00:00"/>
        <d v="2024-10-22T04:00:00"/>
        <d v="2024-10-04T04:00:00"/>
        <d v="2025-01-15T05:00:00"/>
        <d v="2024-11-15T05:00:00"/>
        <d v="2024-10-23T04:00:00"/>
        <d v="2024-12-02T05:00:00"/>
        <d v="2024-11-22T05:00:00"/>
        <d v="2024-12-10T05:00:00"/>
        <d v="2024-11-14T05:00:00"/>
        <d v="2024-12-17T05:00:00"/>
        <d v="2024-12-13T05:00:00"/>
        <d v="2025-02-13T05:00:00"/>
        <d v="2025-05-08T04:00:00"/>
        <d v="2025-02-27T05:00:00"/>
        <d v="2025-03-04T05:00:00"/>
        <d v="2025-05-07T04:00:00"/>
        <d v="2024-06-25T04:00:00"/>
        <d v="2024-03-12T04:00:00"/>
        <d v="2024-11-19T05:00:00"/>
        <d v="2024-10-25T04:00:00"/>
        <d v="2025-02-20T05:00:00"/>
        <d v="2025-05-09T04:00:00"/>
        <d v="2025-04-30T04:00:00"/>
        <d v="2025-02-25T05:00:00"/>
        <d v="2025-05-06T04:00:00"/>
        <d v="2025-06-06T04:00:00"/>
        <d v="2025-06-20T04:00:00"/>
        <d v="2025-05-19T04:00:00"/>
        <d v="2025-06-17T04:00:00"/>
        <d v="2024-10-17T04:00:00"/>
        <d v="2025-04-09T04:00:00"/>
        <d v="2024-12-04T05:00:00"/>
        <d v="2024-11-21T05:00:00"/>
        <d v="2024-11-04T05:00:00"/>
        <d v="2025-04-23T04:00:00"/>
        <d v="2025-04-10T04:00:00"/>
        <d v="2024-10-24T04:00:00"/>
        <d v="2024-11-06T05:00:00"/>
        <d v="2025-04-01T04:00:00"/>
        <d v="2024-11-01T04:00:00"/>
        <d v="2024-12-06T05:00:00"/>
        <d v="2025-03-24T04:00:00"/>
        <d v="2025-01-21T05:00:00"/>
        <d v="2025-01-31T05:00:00"/>
        <d v="2025-02-04T05:00:00"/>
        <d v="2025-07-23T04:00:00"/>
        <d v="2025-04-04T04:00:00"/>
        <d v="2024-10-10T04:00:00"/>
        <d v="2025-04-15T04:00:00"/>
        <d v="2024-11-26T05:00:00"/>
        <d v="2025-03-12T04:00:00"/>
        <d v="2025-06-08T04:00:00"/>
        <d v="2025-07-24T04:00:00"/>
        <d v="2024-10-09T04:00:00"/>
        <d v="2025-07-10T04:00:00"/>
        <d v="2024-10-29T04:00:00"/>
        <d v="2025-02-28T05:00:00"/>
        <d v="2025-01-22T05:00:00"/>
        <d v="2025-06-11T04:00:00"/>
        <d v="2025-06-05T04:00:00"/>
        <d v="2024-10-31T04:00:00"/>
        <d v="2025-02-07T05:00:00"/>
        <d v="2025-02-26T05:00:00"/>
        <d v="2025-05-01T04:00:00"/>
        <d v="2024-10-14T04:00:00"/>
        <d v="2025-05-29T04:00:00"/>
        <d v="2025-02-24T05:00:00"/>
        <d v="2024-10-19T04:00:00"/>
        <d v="2024-11-12T05:00:00"/>
        <d v="2025-02-03T05:00:00"/>
        <d v="2025-03-21T04:00:00"/>
        <d v="2025-04-22T04:00:00"/>
        <d v="2024-11-05T05:00:00"/>
        <d v="2024-11-20T05:00:00"/>
        <d v="2025-03-10T04:00:00"/>
        <d v="2025-04-07T04:00:00"/>
        <d v="2025-02-19T05:00:00"/>
        <d v="2025-06-04T04:00:00"/>
        <d v="2024-10-15T04:00:00"/>
        <d v="2024-11-11T05:00:00"/>
        <d v="2025-05-23T04:00:00"/>
        <d v="2025-07-30T04:00:00"/>
        <d v="2025-03-13T04:00:00"/>
        <d v="2024-11-08T05:00:00"/>
        <d v="2025-05-13T04:00:00"/>
        <d v="2025-07-28T04:00:00"/>
        <d v="2024-11-25T05:00:00"/>
        <d v="2025-04-21T04:00:00"/>
        <d v="2025-04-24T04:00:00"/>
        <d v="2025-01-20T05:00:00"/>
        <d v="2025-06-16T04:00:00"/>
        <d v="2025-02-14T05:00:00"/>
        <d v="2025-04-28T04:00:00"/>
        <d v="2025-07-29T04:00:00"/>
        <d v="2024-03-08T05:00:00"/>
        <d v="2024-02-28T05:00:00"/>
        <d v="2024-01-10T05:00:00"/>
        <d v="2024-02-06T05:00:00"/>
        <d v="2024-02-20T05:00:00"/>
        <d v="2024-10-11T04:00:00"/>
        <d v="2024-06-18T04:00:00"/>
        <d v="2024-03-28T04:00:00"/>
        <d v="2024-10-16T04:00:00"/>
        <d v="2024-06-24T04:00:00"/>
        <d v="2024-05-17T04:00:00"/>
        <d v="2024-06-28T04:00:00"/>
        <d v="2024-08-30T04:00:00"/>
        <d v="2024-07-29T04:00:00"/>
        <d v="2024-07-19T04:00:00"/>
        <d v="2025-03-03T05:00:00"/>
        <d v="2024-08-08T04:00:00"/>
        <d v="2024-10-18T04:00:00"/>
        <d v="2025-03-11T04:00:00"/>
        <d v="2025-03-14T04:00:00"/>
        <d v="2025-03-26T04:00:00"/>
        <d v="2024-10-21T04:00:00"/>
        <d v="2025-06-24T04:00:00"/>
        <d v="2025-02-10T05:00:00"/>
        <d v="2024-12-09T05:00:00"/>
        <d v="2025-04-14T04:00:00"/>
        <d v="2025-04-02T04:00:00"/>
        <d v="2025-03-28T04:00:00"/>
        <d v="2025-06-25T04:00:00"/>
        <d v="2025-06-03T04:00:00"/>
        <d v="2025-04-17T04:00:00"/>
        <d v="2025-07-21T04:00:00"/>
        <d v="2025-06-13T04:00:00"/>
        <d v="2025-05-22T04:00:00"/>
        <d v="2025-07-11T04:00:00"/>
        <d v="2025-07-22T04:00:00"/>
        <d v="2024-01-19T05:00:00"/>
        <d v="2024-05-08T04:00:00"/>
        <d v="2024-06-20T04:00:00"/>
        <d v="2024-09-05T04:00:00"/>
        <d v="2024-11-07T05:00:00"/>
        <d v="2024-05-30T04:00:00"/>
        <d v="2024-08-20T04:00:00"/>
        <d v="2024-04-10T04:00:00"/>
        <d v="2024-09-09T04:00:00"/>
        <d v="2024-01-04T05:00:00"/>
        <d v="2024-09-10T04:00:00"/>
        <d v="2024-01-09T05:00:00"/>
        <d v="2024-05-29T04:00:00"/>
        <d v="2024-05-03T04:00:00"/>
        <d v="2024-06-17T04:00:00"/>
        <d v="2024-04-12T04:00:00"/>
        <d v="2024-05-14T04:00:00"/>
        <d v="2024-10-07T04:00:00"/>
        <d v="2024-03-01T05:00:00"/>
        <d v="2024-06-27T04:00:00"/>
        <d v="2024-05-28T04:00:00"/>
        <d v="2024-06-26T04:00:00"/>
        <d v="2024-11-18T05:00:00"/>
        <d v="2024-05-06T04:00:00"/>
        <d v="2024-06-03T04:00:00"/>
        <d v="2024-09-12T04:00:00"/>
        <d v="2024-08-07T04:00:00"/>
        <d v="2024-07-26T04:00:00"/>
        <d v="2024-02-05T05:00:00"/>
        <d v="2024-03-07T05:00:00"/>
        <d v="2024-02-13T05:00:00"/>
        <d v="2024-01-17T05:00:00"/>
        <d v="2024-02-24T05:00:00"/>
        <d v="2024-03-13T04:00:00"/>
        <d v="2024-05-09T04:00:00"/>
        <d v="2024-08-01T04:00:00"/>
        <d v="2024-06-11T04:00:00"/>
        <d v="2024-04-18T04:00:00"/>
        <d v="2024-09-19T04:00:00"/>
        <d v="2025-01-03T05:00:00"/>
        <d v="2025-01-02T05:00:00"/>
        <d v="2024-12-03T05:00:00"/>
        <d v="2024-09-26T04:00:00"/>
        <d v="2025-01-06T05:00:00"/>
        <d v="2025-01-27T05:00:00"/>
      </sharedItems>
      <fieldGroup par="43"/>
    </cacheField>
    <cacheField name="Task Complete Date" numFmtId="164">
      <sharedItems containsNonDate="0" containsDate="1" containsString="0" containsBlank="1" minDate="2024-01-02T20:48:29" maxDate="2025-08-03T04:00:00"/>
    </cacheField>
    <cacheField name="Description" numFmtId="0">
      <sharedItems containsBlank="1"/>
    </cacheField>
    <cacheField name="PreSAM Start Date" numFmtId="164">
      <sharedItems containsNonDate="0" containsDate="1" containsString="0" containsBlank="1" minDate="2022-02-17T05:00:00" maxDate="2025-07-31T04:00:00"/>
    </cacheField>
    <cacheField name="PreSAM Complete Date" numFmtId="164">
      <sharedItems containsNonDate="0" containsDate="1" containsString="0" containsBlank="1" minDate="2022-06-09T04:00:00" maxDate="2025-07-31T04:00:00"/>
    </cacheField>
    <cacheField name="Structures SAM Start Date" numFmtId="164">
      <sharedItems containsNonDate="0" containsDate="1" containsString="0" containsBlank="1" minDate="2022-06-09T04:00:00" maxDate="2025-07-31T04:00:00"/>
    </cacheField>
    <cacheField name="Structures SAM Complete Date" numFmtId="164">
      <sharedItems containsNonDate="0" containsDate="1" containsString="0" containsBlank="1" minDate="2022-10-11T04:00:00" maxDate="2025-07-31T04:00:00"/>
    </cacheField>
    <cacheField name="PreSAM TAT" numFmtId="0">
      <sharedItems containsMixedTypes="1" containsNumber="1" minValue="0" maxValue="518.04166666667152"/>
    </cacheField>
    <cacheField name="SAM TAT" numFmtId="0">
      <sharedItems containsMixedTypes="1" containsNumber="1" minValue="-6" maxValue="542.04166666667152"/>
    </cacheField>
    <cacheField name="Total Str TAT" numFmtId="0">
      <sharedItems containsSemiMixedTypes="0" containsString="0" containsNumber="1" minValue="-2" maxValue="576"/>
    </cacheField>
    <cacheField name="Total Task TAT" numFmtId="0">
      <sharedItems containsSemiMixedTypes="0" containsString="0" containsNumber="1" minValue="-100.95833333332848" maxValue="1323.465127314812"/>
    </cacheField>
    <cacheField name="NoSTR Total Task TAT" numFmtId="0">
      <sharedItems containsSemiMixedTypes="0" containsString="0" containsNumber="1" minValue="-100.95833333332848" maxValue="1201.0265856481492"/>
    </cacheField>
    <cacheField name="Triage Hold TAT" numFmtId="0">
      <sharedItems containsSemiMixedTypes="0" containsString="0" containsNumber="1" minValue="0" maxValue="86"/>
    </cacheField>
    <cacheField name="Task Plan Hold TAT" numFmtId="0">
      <sharedItems containsSemiMixedTypes="0" containsString="0" containsNumber="1" minValue="0" maxValue="137.19163204861252"/>
    </cacheField>
    <cacheField name="IDR Hold TAT" numFmtId="0">
      <sharedItems containsSemiMixedTypes="0" containsString="0" containsNumber="1" minValue="0" maxValue="55"/>
    </cacheField>
    <cacheField name="ReCap Hold TAT" numFmtId="0">
      <sharedItems containsSemiMixedTypes="0" containsString="0" containsNumber="1" minValue="0" maxValue="200"/>
    </cacheField>
    <cacheField name="DraftEA Hold TAT" numFmtId="0">
      <sharedItems containsSemiMixedTypes="0" containsString="0" containsNumber="1" minValue="0" maxValue="375"/>
    </cacheField>
    <cacheField name="Pre-SAM Hold TAT" numFmtId="0">
      <sharedItems containsSemiMixedTypes="0" containsString="0" containsNumber="1" minValue="0" maxValue="208.99278038194461"/>
    </cacheField>
    <cacheField name="SAM Hold TAT" numFmtId="0">
      <sharedItems containsSemiMixedTypes="0" containsString="0" containsNumber="1" minValue="0" maxValue="401.08825248843641"/>
    </cacheField>
    <cacheField name="FDR Hold TAT" numFmtId="0">
      <sharedItems containsSemiMixedTypes="0" containsString="0" containsNumber="1" minValue="0" maxValue="188.22325593749702"/>
    </cacheField>
    <cacheField name="Total Hold TAT" numFmtId="0">
      <sharedItems containsSemiMixedTypes="0" containsString="0" containsNumber="1" minValue="0" maxValue="426.10689013890078"/>
    </cacheField>
    <cacheField name="MinusHold Total Task TAT" numFmtId="0">
      <sharedItems containsSemiMixedTypes="0" containsString="0" containsNumber="1" minValue="-100.95833333332848" maxValue="1323.465127314812"/>
    </cacheField>
    <cacheField name="NoHold NoSTR Total Adjusted TAT" numFmtId="0">
      <sharedItems containsSemiMixedTypes="0" containsString="0" containsNumber="1" minValue="-310.06522347222926" maxValue="1201.0265856481492"/>
    </cacheField>
    <cacheField name="OTD" numFmtId="0">
      <sharedItems containsSemiMixedTypes="0" containsString="0" containsNumber="1" minValue="-398" maxValue="45685.208333333336"/>
    </cacheField>
    <cacheField name="OTD PassFail" numFmtId="0">
      <sharedItems containsSemiMixedTypes="0" containsString="0" containsNumber="1" containsInteger="1" minValue="0" maxValue="1"/>
    </cacheField>
    <cacheField name="Months (Validation Complete Date)" numFmtId="0" databaseField="0">
      <fieldGroup base="16">
        <rangePr groupBy="months" startDate="2024-01-02T05:00:00" endDate="2025-08-03T04:00:00"/>
        <groupItems count="14">
          <s v="&lt;1/2/2024"/>
          <s v="Jan"/>
          <s v="Feb"/>
          <s v="Mar"/>
          <s v="Apr"/>
          <s v="May"/>
          <s v="Jun"/>
          <s v="Jul"/>
          <s v="Aug"/>
          <s v="Sep"/>
          <s v="Oct"/>
          <s v="Nov"/>
          <s v="Dec"/>
          <s v="&gt;8/3/2025"/>
        </groupItems>
      </fieldGroup>
    </cacheField>
    <cacheField name="Quarters (Validation Complete Date)" numFmtId="0" databaseField="0">
      <fieldGroup base="16">
        <rangePr groupBy="quarters" startDate="2024-01-02T05:00:00" endDate="2025-08-03T04:00:00"/>
        <groupItems count="6">
          <s v="&lt;1/2/2024"/>
          <s v="Qtr1"/>
          <s v="Qtr2"/>
          <s v="Qtr3"/>
          <s v="Qtr4"/>
          <s v="&gt;8/3/2025"/>
        </groupItems>
      </fieldGroup>
    </cacheField>
    <cacheField name="Years (Validation Complete Date)" numFmtId="0" databaseField="0">
      <fieldGroup base="16">
        <rangePr groupBy="years" startDate="2024-01-02T05:00:00" endDate="2025-08-03T04:00:00"/>
        <groupItems count="4">
          <s v="&lt;1/2/2024"/>
          <s v="2024"/>
          <s v="2025"/>
          <s v="&gt;8/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1">
  <r>
    <s v="Cases &amp; Composites"/>
    <s v="CAS-251130-N3Y4N8"/>
    <s v="Francisco Astiasaran"/>
    <s v="Incomplete"/>
    <s v="Active"/>
    <x v="0"/>
    <n v="30"/>
    <s v="25CCA93"/>
    <s v="Repair-EA"/>
    <x v="0"/>
    <x v="0"/>
    <x v="0"/>
    <s v="75%"/>
    <d v="2025-05-02T19:02:05"/>
    <d v="2025-06-02T04:00:00"/>
    <d v="2025-06-02T04:00:00"/>
    <x v="0"/>
    <m/>
    <m/>
    <d v="2025-05-15T04:00:00"/>
    <d v="2025-05-15T04:00:00"/>
    <m/>
    <d v="2025-05-20T04:00:00"/>
    <n v="0"/>
    <s v=""/>
    <n v="0"/>
    <n v="90.373553240737238"/>
    <n v="90.373553240737238"/>
    <n v="0"/>
    <n v="0"/>
    <n v="0"/>
    <n v="0"/>
    <n v="0"/>
    <n v="0"/>
    <n v="0"/>
    <n v="0"/>
    <n v="0"/>
    <n v="90.373553240737238"/>
    <n v="90.373553240737238"/>
    <n v="60"/>
    <n v="0"/>
  </r>
  <r>
    <s v="Cases &amp; Composites"/>
    <s v="CAS-209741-Z2V4Q8"/>
    <s v="Robert Thompson"/>
    <s v="Complete"/>
    <s v="Resolved"/>
    <x v="1"/>
    <n v="1"/>
    <s v="24CC741"/>
    <s v="Repair-EA"/>
    <x v="0"/>
    <x v="0"/>
    <x v="0"/>
    <m/>
    <d v="2024-03-18T11:23:09"/>
    <d v="2024-03-22T04:00:00"/>
    <d v="2024-03-22T04:00:00"/>
    <x v="1"/>
    <d v="2024-03-19T19:40:57"/>
    <m/>
    <m/>
    <m/>
    <m/>
    <m/>
    <s v=""/>
    <s v=""/>
    <n v="0"/>
    <n v="0.69225694444321562"/>
    <n v="0.69225694444321562"/>
    <n v="0"/>
    <n v="0"/>
    <n v="0"/>
    <n v="0"/>
    <n v="0"/>
    <n v="0"/>
    <n v="0"/>
    <n v="0"/>
    <n v="0"/>
    <n v="0.69225694444321562"/>
    <n v="0.69225694444321562"/>
    <n v="-3"/>
    <n v="1"/>
  </r>
  <r>
    <s v="Cases &amp; Composites"/>
    <s v="CAS-210991-X5T1R4"/>
    <s v="Dean Catlett"/>
    <s v="Complete"/>
    <s v="Resolved"/>
    <x v="1"/>
    <n v="1"/>
    <s v="24KC238"/>
    <s v="Repair-EA"/>
    <x v="0"/>
    <x v="1"/>
    <x v="1"/>
    <m/>
    <d v="2024-04-01T05:05:28"/>
    <d v="2024-06-20T04:00:00"/>
    <d v="2024-05-06T04:00:00"/>
    <x v="2"/>
    <d v="2024-04-30T22:45:17"/>
    <m/>
    <m/>
    <m/>
    <m/>
    <m/>
    <s v=""/>
    <s v=""/>
    <n v="0"/>
    <n v="28.954537037032424"/>
    <n v="28.954537037032424"/>
    <n v="0"/>
    <n v="0"/>
    <n v="0"/>
    <n v="0"/>
    <n v="0"/>
    <n v="0"/>
    <n v="0"/>
    <n v="0"/>
    <n v="0"/>
    <n v="28.954537037032424"/>
    <n v="28.954537037032424"/>
    <n v="-51"/>
    <n v="1"/>
  </r>
  <r>
    <s v="Cases &amp; Composites"/>
    <n v="106667"/>
    <s v="Ferdin Mustafa"/>
    <s v="Complete"/>
    <s v="Closed"/>
    <x v="1"/>
    <n v="1"/>
    <s v="24FC223"/>
    <s v="Repair-EA"/>
    <x v="0"/>
    <x v="2"/>
    <x v="2"/>
    <s v="75%"/>
    <d v="2024-06-24T04:00:00"/>
    <d v="2024-10-11T04:00:00"/>
    <d v="2024-10-11T04:00:00"/>
    <x v="3"/>
    <d v="2024-07-19T14:52:57"/>
    <m/>
    <d v="2024-07-10T04:00:00"/>
    <d v="2024-07-12T04:00:00"/>
    <d v="2024-07-12T04:00:00"/>
    <d v="2024-07-17T04:00:00"/>
    <n v="2"/>
    <n v="5"/>
    <n v="7"/>
    <n v="24"/>
    <n v="17"/>
    <n v="0"/>
    <n v="0"/>
    <n v="0"/>
    <n v="0"/>
    <n v="0"/>
    <n v="0"/>
    <n v="0"/>
    <n v="0"/>
    <n v="0"/>
    <n v="24"/>
    <n v="17"/>
    <n v="-85"/>
    <n v="1"/>
  </r>
  <r>
    <s v="Cases &amp; Composites"/>
    <n v="105554"/>
    <s v="Ferdin Mustafa"/>
    <s v="Complete"/>
    <s v="Closed"/>
    <x v="1"/>
    <n v="1"/>
    <s v="24FC238"/>
    <s v="Repair-EA"/>
    <x v="0"/>
    <x v="2"/>
    <x v="2"/>
    <s v="75%"/>
    <d v="2024-04-25T04:00:00"/>
    <d v="2024-10-10T04:00:00"/>
    <d v="2024-10-10T04:00:00"/>
    <x v="4"/>
    <d v="2024-08-27T19:50:49"/>
    <s v="OPERATION'S NEED DATE: 8/2"/>
    <d v="2024-07-17T04:00:00"/>
    <d v="2024-07-23T04:00:00"/>
    <d v="2024-07-23T04:00:00"/>
    <d v="2024-08-22T04:00:00"/>
    <n v="6"/>
    <n v="30"/>
    <n v="36"/>
    <n v="124"/>
    <n v="88"/>
    <n v="0"/>
    <n v="0"/>
    <n v="0"/>
    <n v="0"/>
    <n v="3"/>
    <n v="0"/>
    <n v="0"/>
    <n v="0"/>
    <n v="3"/>
    <n v="121"/>
    <n v="85"/>
    <n v="-44"/>
    <n v="1"/>
  </r>
  <r>
    <s v="Cases &amp; Composites"/>
    <s v="CAS-219511-S5Y8N8"/>
    <s v="Robert Thompson"/>
    <s v="Complete"/>
    <s v="Resolved"/>
    <x v="1"/>
    <n v="1"/>
    <s v="24KC295A"/>
    <s v="Repair-EA"/>
    <x v="0"/>
    <x v="1"/>
    <x v="3"/>
    <s v="75%"/>
    <d v="2024-06-28T12:54:15"/>
    <d v="2024-08-02T04:00:00"/>
    <d v="2024-08-07T04:00:00"/>
    <x v="5"/>
    <d v="2024-08-06T00:30:41"/>
    <s v="August"/>
    <d v="2024-07-24T04:00:00"/>
    <d v="2024-07-24T04:00:00"/>
    <d v="2024-07-24T04:00:00"/>
    <d v="2024-07-26T04:00:00"/>
    <n v="0"/>
    <n v="2"/>
    <n v="2"/>
    <n v="37.628993055550382"/>
    <n v="35.628993055550382"/>
    <n v="0"/>
    <n v="0"/>
    <n v="0"/>
    <n v="0"/>
    <n v="0"/>
    <n v="0"/>
    <n v="0"/>
    <n v="0"/>
    <n v="0"/>
    <n v="37.628993055550382"/>
    <n v="35.628993055550382"/>
    <n v="3"/>
    <n v="0"/>
  </r>
  <r>
    <s v="Cases &amp; Composites"/>
    <s v="MSG-240814-317DA9"/>
    <s v="Saharat Gamalo"/>
    <s v="Complete"/>
    <s v="Complete"/>
    <x v="1"/>
    <n v="1"/>
    <s v="24KC492"/>
    <s v="Repair-EA"/>
    <x v="0"/>
    <x v="1"/>
    <x v="4"/>
    <s v="75%"/>
    <d v="2024-08-14T04:00:00"/>
    <d v="2024-08-30T04:00:00"/>
    <d v="2024-08-30T04:00:00"/>
    <x v="6"/>
    <d v="2024-08-27T15:50:59"/>
    <s v="Merlin 107652 PW4000-94&quot; Tanker Damaged IMC Rear Lip"/>
    <d v="2024-08-21T04:00:00"/>
    <d v="2024-08-21T04:00:00"/>
    <d v="2024-08-21T04:00:00"/>
    <d v="2024-08-21T04:00:00"/>
    <n v="0"/>
    <n v="0"/>
    <n v="0"/>
    <n v="12"/>
    <n v="12"/>
    <n v="0"/>
    <n v="0"/>
    <n v="0"/>
    <n v="0"/>
    <n v="4"/>
    <n v="0"/>
    <n v="0"/>
    <n v="0"/>
    <n v="4"/>
    <n v="8"/>
    <n v="8"/>
    <n v="-4"/>
    <n v="1"/>
  </r>
  <r>
    <s v="Cases &amp; Composites"/>
    <s v="MSG-250122-40DC69"/>
    <s v="Ferdin Mustafa"/>
    <s v="Complete"/>
    <s v="Complete"/>
    <x v="1"/>
    <n v="1"/>
    <s v="19KC545B"/>
    <s v="Repair-EA"/>
    <x v="1"/>
    <x v="1"/>
    <x v="2"/>
    <s v="75%"/>
    <d v="2025-01-22T05:00:00"/>
    <d v="2025-02-28T05:00:00"/>
    <d v="2025-06-30T04:00:00"/>
    <x v="7"/>
    <d v="2025-07-01T11:40:54"/>
    <s v="Jun2025 - Tanker Production QN Support for ESN 729517.  Damage found post-engine green run."/>
    <d v="2025-02-07T05:00:00"/>
    <d v="2025-02-11T05:00:00"/>
    <d v="2025-02-11T05:00:00"/>
    <d v="2025-02-28T05:00:00"/>
    <n v="4"/>
    <n v="17"/>
    <n v="21"/>
    <n v="155.95833333332848"/>
    <n v="134.95833333332848"/>
    <n v="0"/>
    <n v="0"/>
    <n v="0"/>
    <n v="0"/>
    <n v="0"/>
    <n v="0"/>
    <n v="0"/>
    <n v="0"/>
    <n v="0"/>
    <n v="155.95833333332848"/>
    <n v="134.95833333332848"/>
    <n v="118.95833333332848"/>
    <n v="0"/>
  </r>
  <r>
    <s v="Cases &amp; Composites"/>
    <s v="CAS-255034-K3Q5D0"/>
    <s v="Ferdin Mustafa"/>
    <s v="Complete"/>
    <s v="Resolved"/>
    <x v="1"/>
    <n v="1"/>
    <s v="25KC371"/>
    <s v="Repair-EA"/>
    <x v="0"/>
    <x v="1"/>
    <x v="1"/>
    <s v="75%"/>
    <d v="2025-06-10T01:06:49"/>
    <d v="2026-07-21T04:00:00"/>
    <d v="2025-06-18T04:00:00"/>
    <x v="8"/>
    <d v="2025-06-18T22:12:33"/>
    <m/>
    <d v="2025-06-13T04:00:00"/>
    <d v="2025-06-13T04:00:00"/>
    <d v="2025-06-17T04:00:00"/>
    <d v="2025-06-17T04:00:00"/>
    <n v="0"/>
    <n v="0"/>
    <n v="0"/>
    <n v="8.1202662037030677"/>
    <n v="8.1202662037030677"/>
    <n v="0"/>
    <n v="0"/>
    <n v="0"/>
    <n v="0"/>
    <n v="0"/>
    <n v="0"/>
    <n v="0"/>
    <n v="0"/>
    <n v="0"/>
    <n v="8.1202662037030677"/>
    <n v="8.1202662037030677"/>
    <n v="-398"/>
    <n v="1"/>
  </r>
  <r>
    <s v="Cases &amp; Composites"/>
    <n v="107422"/>
    <s v="Ferdin Mustafa"/>
    <s v="Complete"/>
    <s v="Closed"/>
    <x v="1"/>
    <n v="2"/>
    <s v="24FC277"/>
    <s v="Repair-EA"/>
    <x v="0"/>
    <x v="2"/>
    <x v="2"/>
    <s v="75%"/>
    <d v="2024-08-05T04:00:00"/>
    <d v="2024-08-30T04:00:00"/>
    <d v="2024-08-30T04:00:00"/>
    <x v="9"/>
    <d v="2024-08-23T15:19:16"/>
    <s v="Simliar to 107640"/>
    <d v="2024-08-19T04:00:00"/>
    <d v="2024-08-19T04:00:00"/>
    <d v="2024-08-19T04:00:00"/>
    <d v="2024-08-19T04:00:00"/>
    <n v="0"/>
    <n v="0"/>
    <n v="0"/>
    <n v="18"/>
    <n v="18"/>
    <n v="0"/>
    <n v="0"/>
    <n v="0"/>
    <n v="0"/>
    <n v="0"/>
    <n v="0"/>
    <n v="0"/>
    <n v="0"/>
    <n v="0"/>
    <n v="18"/>
    <n v="18"/>
    <n v="-7"/>
    <n v="1"/>
  </r>
  <r>
    <s v="Cases &amp; Composites"/>
    <n v="108880"/>
    <s v="Jia Chen"/>
    <s v="Complete"/>
    <s v="Closed"/>
    <x v="1"/>
    <n v="2"/>
    <s v="24FC375"/>
    <s v="Repair-EA"/>
    <x v="0"/>
    <x v="2"/>
    <x v="3"/>
    <s v="75%"/>
    <d v="2024-10-10T04:00:00"/>
    <d v="2025-02-20T05:00:00"/>
    <d v="2025-02-20T05:00:00"/>
    <x v="10"/>
    <d v="2025-01-24T21:55:18"/>
    <m/>
    <d v="2025-01-09T05:00:00"/>
    <d v="2025-01-17T05:00:00"/>
    <d v="2025-01-17T05:00:00"/>
    <d v="2025-01-20T05:00:00"/>
    <n v="8"/>
    <n v="3"/>
    <n v="11"/>
    <n v="106.04166666667152"/>
    <n v="95.041666666671517"/>
    <n v="4"/>
    <n v="5"/>
    <n v="0"/>
    <n v="0"/>
    <n v="0"/>
    <n v="0"/>
    <n v="0"/>
    <n v="0"/>
    <n v="9"/>
    <n v="97.041666666671517"/>
    <n v="86.041666666671517"/>
    <n v="-27"/>
    <n v="1"/>
  </r>
  <r>
    <s v="Cases &amp; Composites"/>
    <n v="112238"/>
    <s v="Ferdin Mustafa"/>
    <s v="Complete"/>
    <s v="Closed"/>
    <x v="1"/>
    <n v="2"/>
    <s v="25fc075"/>
    <s v="Repair-EA"/>
    <x v="0"/>
    <x v="2"/>
    <x v="2"/>
    <s v="75%"/>
    <d v="2025-04-04T04:00:00"/>
    <d v="2025-07-18T04:00:00"/>
    <d v="2025-06-06T04:00:00"/>
    <x v="11"/>
    <d v="2025-05-30T18:42:21"/>
    <m/>
    <d v="2025-04-08T04:00:00"/>
    <d v="2025-04-08T04:00:00"/>
    <d v="2025-05-16T04:00:00"/>
    <d v="2025-05-21T04:00:00"/>
    <n v="0"/>
    <n v="5"/>
    <n v="5"/>
    <n v="56"/>
    <n v="51"/>
    <n v="0"/>
    <n v="0"/>
    <n v="0"/>
    <n v="0"/>
    <n v="0"/>
    <n v="0"/>
    <n v="0"/>
    <n v="0"/>
    <n v="0"/>
    <n v="56"/>
    <n v="51"/>
    <n v="-49"/>
    <n v="1"/>
  </r>
  <r>
    <s v="Cases &amp; Composites"/>
    <s v="MSG-250324-8F569F"/>
    <s v="Ferdin Mustafa"/>
    <s v="Complete"/>
    <s v="Complete"/>
    <x v="1"/>
    <n v="2"/>
    <s v="24KC492B"/>
    <s v="Repair-EA"/>
    <x v="0"/>
    <x v="1"/>
    <x v="2"/>
    <s v="50%"/>
    <d v="2025-03-23T04:00:00"/>
    <d v="2025-07-28T04:00:00"/>
    <d v="2025-05-05T04:00:00"/>
    <x v="12"/>
    <d v="2025-05-06T12:16:34"/>
    <s v="May2025 ESN 729288  Pratt review current instructions for 288 and seeing if they can be revised to reflect blend repair versus the weld/x-ray requirement.  Ref MERLIN 109710."/>
    <d v="2025-04-22T04:00:00"/>
    <d v="2025-04-23T04:00:00"/>
    <d v="2025-04-23T04:00:00"/>
    <d v="2025-04-29T04:00:00"/>
    <n v="1"/>
    <n v="6"/>
    <n v="7"/>
    <n v="43"/>
    <n v="36"/>
    <n v="15"/>
    <n v="0"/>
    <n v="0"/>
    <n v="0"/>
    <n v="0"/>
    <n v="0"/>
    <n v="0"/>
    <n v="3"/>
    <n v="18"/>
    <n v="25"/>
    <n v="18"/>
    <n v="-84"/>
    <n v="1"/>
  </r>
  <r>
    <s v="Cases &amp; Composites"/>
    <n v="113320"/>
    <s v="Ferdin Mustafa"/>
    <s v="Complete"/>
    <s v="Closed"/>
    <x v="1"/>
    <n v="2"/>
    <s v="24KC525B"/>
    <s v="Repair-EA"/>
    <x v="0"/>
    <x v="1"/>
    <x v="2"/>
    <s v="50%"/>
    <d v="2025-05-29T04:00:00"/>
    <d v="2025-07-03T04:00:00"/>
    <d v="2025-07-03T04:00:00"/>
    <x v="13"/>
    <d v="2025-07-01T19:39:58"/>
    <s v="Jul2025"/>
    <d v="2025-06-17T04:00:00"/>
    <d v="2025-06-17T04:00:00"/>
    <d v="2025-06-17T04:00:00"/>
    <d v="2025-06-19T04:00:00"/>
    <n v="0"/>
    <n v="2"/>
    <n v="2"/>
    <n v="33"/>
    <n v="31"/>
    <n v="0"/>
    <n v="0"/>
    <n v="0"/>
    <n v="0"/>
    <n v="0"/>
    <n v="0"/>
    <n v="0"/>
    <n v="0"/>
    <n v="0"/>
    <n v="33"/>
    <n v="31"/>
    <n v="-2"/>
    <n v="1"/>
  </r>
  <r>
    <s v="Cases &amp; Composites"/>
    <s v="MSG-240828-EB3AE2"/>
    <s v="Ferdin Mustafa"/>
    <s v="Complete"/>
    <s v="Complete"/>
    <x v="1"/>
    <n v="3"/>
    <s v="24KC525"/>
    <s v="Repair-EA"/>
    <x v="0"/>
    <x v="1"/>
    <x v="4"/>
    <s v="75%"/>
    <d v="2024-08-28T04:00:00"/>
    <d v="2024-10-04T04:00:00"/>
    <d v="2024-10-04T04:00:00"/>
    <x v="14"/>
    <d v="2024-09-18T13:13:10"/>
    <s v="September - Boeing COPQ, follow up to MSG-240814-317DA9 / MERLIN 107652"/>
    <d v="2024-09-03T04:00:00"/>
    <d v="2024-09-03T04:00:00"/>
    <d v="2024-09-03T04:00:00"/>
    <d v="2024-09-05T04:00:00"/>
    <n v="0"/>
    <n v="2"/>
    <n v="2"/>
    <n v="16"/>
    <n v="14"/>
    <n v="0"/>
    <n v="0"/>
    <n v="0"/>
    <n v="0"/>
    <n v="3"/>
    <n v="0"/>
    <n v="0"/>
    <n v="0"/>
    <n v="3"/>
    <n v="13"/>
    <n v="11"/>
    <n v="-21"/>
    <n v="1"/>
  </r>
  <r>
    <s v="Cases &amp; Composites"/>
    <n v="109158"/>
    <s v="Jia Chen"/>
    <s v="Complete"/>
    <s v="Open"/>
    <x v="1"/>
    <n v="3"/>
    <s v="24FC387"/>
    <s v="Repair-EA"/>
    <x v="0"/>
    <x v="2"/>
    <x v="3"/>
    <s v="75%"/>
    <d v="2024-10-23T04:00:00"/>
    <d v="2025-02-20T05:00:00"/>
    <d v="2025-02-20T05:00:00"/>
    <x v="10"/>
    <d v="2025-01-24T16:21:08"/>
    <m/>
    <d v="2025-01-02T05:00:00"/>
    <d v="2025-01-17T05:00:00"/>
    <d v="2025-01-17T05:00:00"/>
    <d v="2025-01-20T05:00:00"/>
    <n v="15"/>
    <n v="3"/>
    <n v="18"/>
    <n v="93.041666666671517"/>
    <n v="75.041666666671517"/>
    <n v="18"/>
    <n v="0"/>
    <n v="0"/>
    <n v="0"/>
    <n v="0"/>
    <n v="0"/>
    <n v="0"/>
    <n v="0"/>
    <n v="18"/>
    <n v="75.041666666671517"/>
    <n v="57.041666666671517"/>
    <n v="-27"/>
    <n v="1"/>
  </r>
  <r>
    <s v="Cases &amp; Composites"/>
    <n v="106493"/>
    <s v="Jia Chen"/>
    <s v="Complete"/>
    <s v="Open"/>
    <x v="1"/>
    <n v="4"/>
    <s v="24FC282"/>
    <s v="Repair-EA"/>
    <x v="0"/>
    <x v="2"/>
    <x v="3"/>
    <s v="75%"/>
    <d v="2024-06-13T04:00:00"/>
    <d v="2025-02-17T05:00:00"/>
    <d v="2025-02-17T05:00:00"/>
    <x v="15"/>
    <d v="2025-02-05T20:50:52"/>
    <m/>
    <d v="2025-01-23T05:00:00"/>
    <d v="2025-01-23T05:00:00"/>
    <d v="2025-01-23T05:00:00"/>
    <d v="2025-01-24T05:00:00"/>
    <n v="0"/>
    <n v="1"/>
    <n v="1"/>
    <n v="237.04166666667152"/>
    <n v="236.04166666667152"/>
    <n v="17"/>
    <n v="71"/>
    <n v="2"/>
    <n v="0"/>
    <n v="0"/>
    <n v="0"/>
    <n v="0"/>
    <n v="0"/>
    <n v="90"/>
    <n v="147.04166666667152"/>
    <n v="146.04166666667152"/>
    <n v="-12"/>
    <n v="1"/>
  </r>
  <r>
    <s v="Cases &amp; Composites"/>
    <n v="111757"/>
    <s v="Ferdin Mustafa"/>
    <s v="Complete"/>
    <s v="Closed"/>
    <x v="1"/>
    <n v="4"/>
    <s v="25FC099"/>
    <s v="Repair-EA"/>
    <x v="0"/>
    <x v="2"/>
    <x v="2"/>
    <s v="75%"/>
    <d v="2025-03-17T04:00:00"/>
    <d v="2025-07-25T04:00:00"/>
    <d v="2025-07-25T04:00:00"/>
    <x v="16"/>
    <d v="2025-05-27T14:57:52"/>
    <m/>
    <d v="2025-04-28T04:00:00"/>
    <d v="2025-04-28T04:00:00"/>
    <d v="2025-05-07T04:00:00"/>
    <d v="2025-05-21T04:00:00"/>
    <n v="0"/>
    <n v="14"/>
    <n v="14"/>
    <n v="71"/>
    <n v="57"/>
    <n v="0"/>
    <n v="0"/>
    <n v="0"/>
    <n v="0"/>
    <n v="0"/>
    <n v="0"/>
    <n v="0"/>
    <n v="0"/>
    <n v="0"/>
    <n v="71"/>
    <n v="57"/>
    <n v="-59"/>
    <n v="1"/>
  </r>
  <r>
    <s v="Cases &amp; Composites"/>
    <n v="108959"/>
    <s v="Francisco Astiasaran"/>
    <s v="Complete"/>
    <s v="Closed"/>
    <x v="1"/>
    <n v="10"/>
    <s v="25FC009"/>
    <s v="Repair-EA"/>
    <x v="0"/>
    <x v="2"/>
    <x v="3"/>
    <s v="50%"/>
    <d v="2024-10-15T04:00:00"/>
    <d v="2025-01-22T05:00:00"/>
    <d v="2025-04-25T04:00:00"/>
    <x v="17"/>
    <d v="2025-04-25T15:25:25"/>
    <s v="Apr2025"/>
    <d v="2025-01-14T05:00:00"/>
    <d v="2025-01-15T05:00:00"/>
    <d v="2025-01-15T05:00:00"/>
    <d v="2025-02-25T05:00:00"/>
    <n v="1"/>
    <n v="41"/>
    <n v="42"/>
    <n v="192"/>
    <n v="150"/>
    <n v="0"/>
    <n v="39"/>
    <n v="0"/>
    <n v="0"/>
    <n v="0"/>
    <n v="0"/>
    <n v="0"/>
    <n v="0"/>
    <n v="39"/>
    <n v="153"/>
    <n v="111"/>
    <n v="92.958333333328483"/>
    <n v="0"/>
  </r>
  <r>
    <s v="Cases &amp; Composites"/>
    <n v="111328"/>
    <s v="Ferdin Mustafa"/>
    <s v="Complete"/>
    <s v="Closed"/>
    <x v="1"/>
    <n v="10"/>
    <s v="25FC067"/>
    <s v="Repair-EA"/>
    <x v="0"/>
    <x v="2"/>
    <x v="2"/>
    <s v="75%"/>
    <d v="2025-03-24T04:00:00"/>
    <d v="2025-05-15T04:00:00"/>
    <d v="2025-05-15T04:00:00"/>
    <x v="18"/>
    <d v="2025-04-11T20:06:16"/>
    <s v="Apr2025 - "/>
    <d v="2025-03-27T04:00:00"/>
    <d v="2025-03-27T04:00:00"/>
    <d v="2025-03-28T04:00:00"/>
    <d v="2025-04-09T04:00:00"/>
    <n v="0"/>
    <n v="12"/>
    <n v="12"/>
    <n v="18"/>
    <n v="6"/>
    <n v="0"/>
    <n v="0"/>
    <n v="0"/>
    <n v="0"/>
    <n v="0"/>
    <n v="0"/>
    <n v="0"/>
    <n v="0"/>
    <n v="0"/>
    <n v="18"/>
    <n v="6"/>
    <n v="-34"/>
    <n v="1"/>
  </r>
  <r>
    <s v="Cases &amp; Composites"/>
    <n v="112750"/>
    <s v="Ferdin Mustafa"/>
    <s v="Complete"/>
    <s v="Closed"/>
    <x v="1"/>
    <n v="10"/>
    <s v="25FC108"/>
    <s v="Repair-EA"/>
    <x v="0"/>
    <x v="2"/>
    <x v="2"/>
    <s v="75%"/>
    <d v="2025-04-28T04:00:00"/>
    <d v="2025-08-08T04:00:00"/>
    <d v="2025-08-08T04:00:00"/>
    <x v="19"/>
    <d v="2025-06-23T18:31:29"/>
    <s v="Jun2025"/>
    <d v="2025-05-01T04:00:00"/>
    <d v="2025-05-01T04:00:00"/>
    <d v="2025-06-04T04:00:00"/>
    <d v="2025-06-13T04:00:00"/>
    <n v="0"/>
    <n v="9"/>
    <n v="9"/>
    <n v="56"/>
    <n v="47"/>
    <n v="0"/>
    <n v="0"/>
    <n v="0"/>
    <n v="0"/>
    <n v="0"/>
    <n v="0"/>
    <n v="0"/>
    <n v="0"/>
    <n v="0"/>
    <n v="56"/>
    <n v="47"/>
    <n v="-46"/>
    <n v="1"/>
  </r>
  <r>
    <s v="Cases &amp; Composites"/>
    <n v="111315"/>
    <s v="Austin Bryant"/>
    <s v="Complete"/>
    <s v="Closed"/>
    <x v="1"/>
    <n v="10"/>
    <s v="25FC140"/>
    <s v="Repair-EA"/>
    <x v="0"/>
    <x v="2"/>
    <x v="2"/>
    <s v="50%"/>
    <d v="2025-02-24T05:00:00"/>
    <d v="2025-07-11T04:00:00"/>
    <d v="2025-07-11T04:00:00"/>
    <x v="20"/>
    <d v="2025-07-06T17:39:35"/>
    <s v="Jul2025"/>
    <d v="2025-06-09T04:00:00"/>
    <d v="2025-06-09T04:00:00"/>
    <d v="2025-06-24T04:00:00"/>
    <d v="2025-06-25T04:00:00"/>
    <n v="0"/>
    <n v="1"/>
    <n v="1"/>
    <n v="127.95833333332848"/>
    <n v="126.95833333332848"/>
    <n v="59"/>
    <n v="0"/>
    <n v="0"/>
    <n v="0"/>
    <n v="0"/>
    <n v="0"/>
    <n v="0"/>
    <n v="0"/>
    <n v="59"/>
    <n v="68.958333333328483"/>
    <n v="67.958333333328483"/>
    <n v="-9"/>
    <n v="1"/>
  </r>
  <r>
    <s v="Cases &amp; Composites"/>
    <n v="108392"/>
    <s v="Dean Catlett"/>
    <s v="Complete"/>
    <s v="Closed"/>
    <x v="1"/>
    <n v="11"/>
    <s v="24FC352"/>
    <s v="Repair-EA"/>
    <x v="0"/>
    <x v="2"/>
    <x v="2"/>
    <m/>
    <d v="2024-09-17T04:00:00"/>
    <d v="2024-11-26T05:00:00"/>
    <d v="2024-12-23T05:00:00"/>
    <x v="21"/>
    <d v="2024-12-11T22:31:25"/>
    <s v="December 2024 Commitment"/>
    <d v="2024-11-08T05:00:00"/>
    <d v="2024-11-08T05:00:00"/>
    <d v="2024-11-08T05:00:00"/>
    <d v="2024-12-03T05:00:00"/>
    <n v="0"/>
    <n v="25"/>
    <n v="25"/>
    <n v="85.041666666671517"/>
    <n v="60.041666666671517"/>
    <n v="0"/>
    <n v="0"/>
    <n v="0"/>
    <n v="0"/>
    <n v="8"/>
    <n v="0"/>
    <n v="0"/>
    <n v="0"/>
    <n v="8"/>
    <n v="77.041666666671517"/>
    <n v="52.041666666671517"/>
    <n v="15"/>
    <n v="0"/>
  </r>
  <r>
    <s v="Cases &amp; Composites"/>
    <n v="111576"/>
    <s v="Ferdin Mustafa"/>
    <s v="Complete"/>
    <s v="Closed"/>
    <x v="1"/>
    <n v="11"/>
    <s v="25FC070"/>
    <s v="Repair-EA"/>
    <x v="0"/>
    <x v="2"/>
    <x v="2"/>
    <s v="75%"/>
    <d v="2025-03-11T04:00:00"/>
    <d v="2025-07-12T04:00:00"/>
    <d v="2025-05-16T04:00:00"/>
    <x v="22"/>
    <d v="2025-04-10T15:36:29"/>
    <m/>
    <d v="2025-04-01T04:00:00"/>
    <d v="2025-04-01T04:00:00"/>
    <d v="2025-04-03T04:00:00"/>
    <d v="2025-04-04T04:00:00"/>
    <n v="0"/>
    <n v="1"/>
    <n v="1"/>
    <n v="28"/>
    <n v="27"/>
    <n v="0"/>
    <n v="0"/>
    <n v="0"/>
    <n v="0"/>
    <n v="0"/>
    <n v="0"/>
    <n v="0"/>
    <n v="0"/>
    <n v="0"/>
    <n v="28"/>
    <n v="27"/>
    <n v="-95"/>
    <n v="1"/>
  </r>
  <r>
    <s v="Cases &amp; Composites"/>
    <n v="110045"/>
    <s v="Francisco Astiasaran"/>
    <s v="Complete"/>
    <s v="Closed"/>
    <x v="1"/>
    <n v="11"/>
    <s v="25FC089"/>
    <s v="Repair-EA"/>
    <x v="0"/>
    <x v="2"/>
    <x v="3"/>
    <s v="75%"/>
    <d v="2024-12-10T05:00:00"/>
    <d v="2025-04-29T04:00:00"/>
    <d v="2025-04-29T04:00:00"/>
    <x v="23"/>
    <d v="2025-05-06T12:38:11"/>
    <s v="May2025"/>
    <d v="2025-04-23T04:00:00"/>
    <d v="2025-04-23T04:00:00"/>
    <d v="2025-04-24T04:00:00"/>
    <d v="2025-04-29T04:00:00"/>
    <n v="0"/>
    <n v="5"/>
    <n v="5"/>
    <n v="142.95833333332848"/>
    <n v="137.95833333332848"/>
    <n v="0"/>
    <n v="0"/>
    <n v="0"/>
    <n v="0"/>
    <n v="0"/>
    <n v="0"/>
    <n v="0"/>
    <n v="0"/>
    <n v="0"/>
    <n v="142.95833333332848"/>
    <n v="137.95833333332848"/>
    <n v="3"/>
    <n v="0"/>
  </r>
  <r>
    <s v="Cases &amp; Composites"/>
    <n v="111758"/>
    <s v="Austin Bryant"/>
    <s v="Complete"/>
    <s v="Closed"/>
    <x v="1"/>
    <n v="11"/>
    <s v="25FC141"/>
    <s v="Repair-EA"/>
    <x v="0"/>
    <x v="2"/>
    <x v="2"/>
    <m/>
    <d v="2025-03-18T04:00:00"/>
    <d v="2026-06-30T04:00:00"/>
    <d v="2025-07-16T04:00:00"/>
    <x v="24"/>
    <d v="2025-07-01T19:39:33"/>
    <s v="Jun2025"/>
    <d v="2025-06-09T04:00:00"/>
    <d v="2025-06-09T04:00:00"/>
    <d v="2025-06-24T04:00:00"/>
    <d v="2025-06-24T04:00:00"/>
    <n v="0"/>
    <n v="0"/>
    <n v="0"/>
    <n v="104"/>
    <n v="104"/>
    <n v="45"/>
    <n v="0"/>
    <n v="0"/>
    <n v="0"/>
    <n v="0"/>
    <n v="0"/>
    <n v="0"/>
    <n v="0"/>
    <n v="45"/>
    <n v="59"/>
    <n v="59"/>
    <n v="-365"/>
    <n v="1"/>
  </r>
  <r>
    <s v="Cases &amp; Composites"/>
    <n v="111444"/>
    <s v="Francisco Astiasaran"/>
    <s v="Complete"/>
    <s v="Closed"/>
    <x v="1"/>
    <n v="12"/>
    <s v="25FC057"/>
    <s v="Repair-EA"/>
    <x v="0"/>
    <x v="2"/>
    <x v="3"/>
    <s v="75%"/>
    <d v="2025-02-27T05:00:00"/>
    <d v="2025-04-23T04:00:00"/>
    <d v="2025-05-30T04:00:00"/>
    <x v="25"/>
    <d v="2025-06-02T15:28:50"/>
    <s v="Jun2025"/>
    <d v="2025-05-07T04:00:00"/>
    <d v="2025-05-07T04:00:00"/>
    <d v="2025-05-07T04:00:00"/>
    <d v="2025-05-30T04:00:00"/>
    <n v="0"/>
    <n v="23"/>
    <n v="23"/>
    <n v="94.958333333328483"/>
    <n v="71.958333333328483"/>
    <n v="0"/>
    <n v="0"/>
    <n v="0"/>
    <n v="0"/>
    <n v="0"/>
    <n v="0"/>
    <n v="0"/>
    <n v="0"/>
    <n v="0"/>
    <n v="94.958333333328483"/>
    <n v="71.958333333328483"/>
    <n v="40"/>
    <n v="0"/>
  </r>
  <r>
    <s v="Cases &amp; Composites"/>
    <n v="111691"/>
    <s v="Ferdin Mustafa"/>
    <s v="Complete"/>
    <s v="Closed"/>
    <x v="1"/>
    <n v="12"/>
    <s v="25FC061"/>
    <s v="Repair-EA"/>
    <x v="0"/>
    <x v="2"/>
    <x v="2"/>
    <s v="75%"/>
    <d v="2025-03-13T04:00:00"/>
    <d v="2025-08-29T04:00:00"/>
    <d v="2025-08-29T04:00:00"/>
    <x v="26"/>
    <d v="2025-03-28T19:15:14"/>
    <m/>
    <d v="2025-03-24T04:00:00"/>
    <d v="2025-03-24T04:00:00"/>
    <d v="2025-03-25T04:00:00"/>
    <d v="2025-03-25T04:00:00"/>
    <n v="0"/>
    <n v="0"/>
    <n v="0"/>
    <n v="14"/>
    <n v="14"/>
    <n v="0"/>
    <n v="0"/>
    <n v="0"/>
    <n v="0"/>
    <n v="0"/>
    <n v="0"/>
    <n v="0"/>
    <n v="0"/>
    <n v="0"/>
    <n v="14"/>
    <n v="14"/>
    <n v="-155"/>
    <n v="1"/>
  </r>
  <r>
    <s v="Cases &amp; Composites"/>
    <n v="111395"/>
    <s v="Austin Bryant"/>
    <s v="Complete"/>
    <s v="Closed"/>
    <x v="1"/>
    <n v="12"/>
    <s v="25FC153"/>
    <s v="Repair-EA"/>
    <x v="0"/>
    <x v="2"/>
    <x v="2"/>
    <s v="75%"/>
    <d v="2025-02-26T05:00:00"/>
    <d v="2026-06-30T04:00:00"/>
    <d v="2025-07-11T04:00:00"/>
    <x v="27"/>
    <d v="2025-07-14T19:18:11"/>
    <s v="Jul2025"/>
    <d v="2025-06-16T04:00:00"/>
    <d v="2025-06-16T04:00:00"/>
    <d v="2025-06-24T04:00:00"/>
    <d v="2025-06-27T04:00:00"/>
    <n v="0"/>
    <n v="3"/>
    <n v="3"/>
    <n v="132.95833333332848"/>
    <n v="129.95833333332848"/>
    <n v="64"/>
    <n v="2"/>
    <n v="0"/>
    <n v="0"/>
    <n v="3"/>
    <n v="0"/>
    <n v="0"/>
    <n v="0"/>
    <n v="69"/>
    <n v="63.958333333328483"/>
    <n v="60.958333333328483"/>
    <n v="-356"/>
    <n v="1"/>
  </r>
  <r>
    <s v="Cases &amp; Composites"/>
    <n v="111325"/>
    <s v="Francisco Astiasaran"/>
    <s v="Complete"/>
    <s v="Closed"/>
    <x v="1"/>
    <n v="13"/>
    <s v="25FC092"/>
    <s v="Repair-EA"/>
    <x v="0"/>
    <x v="2"/>
    <x v="3"/>
    <s v="75%"/>
    <d v="2025-02-21T05:00:00"/>
    <d v="2025-04-09T04:00:00"/>
    <d v="2025-05-30T04:00:00"/>
    <x v="11"/>
    <d v="2025-05-30T18:59:55"/>
    <s v="May2025"/>
    <d v="2025-05-08T04:00:00"/>
    <d v="2025-05-08T04:00:00"/>
    <d v="2025-05-15T04:00:00"/>
    <d v="2025-05-28T04:00:00"/>
    <n v="0"/>
    <n v="13"/>
    <n v="13"/>
    <n v="97.958333333328483"/>
    <n v="84.958333333328483"/>
    <n v="0"/>
    <n v="0"/>
    <n v="0"/>
    <n v="0"/>
    <n v="0"/>
    <n v="0"/>
    <n v="0"/>
    <n v="0"/>
    <n v="0"/>
    <n v="97.958333333328483"/>
    <n v="84.958333333328483"/>
    <n v="51"/>
    <n v="0"/>
  </r>
  <r>
    <s v="Cases &amp; Composites"/>
    <n v="113432"/>
    <s v="Austin Bryant"/>
    <s v="Complete"/>
    <s v="Closed"/>
    <x v="1"/>
    <n v="13"/>
    <s v="25FC159"/>
    <s v="Repair-EA"/>
    <x v="0"/>
    <x v="2"/>
    <x v="2"/>
    <s v="75%"/>
    <d v="2025-06-05T04:00:00"/>
    <d v="2026-06-30T04:00:00"/>
    <d v="2025-07-18T04:00:00"/>
    <x v="28"/>
    <d v="2025-07-08T15:26:12"/>
    <s v="Jul2025"/>
    <d v="2025-06-16T04:00:00"/>
    <d v="2025-06-16T04:00:00"/>
    <d v="2025-06-16T04:00:00"/>
    <d v="2025-06-27T04:00:00"/>
    <n v="0"/>
    <n v="11"/>
    <n v="11"/>
    <n v="32"/>
    <n v="21"/>
    <n v="0"/>
    <n v="0"/>
    <n v="0"/>
    <n v="0"/>
    <n v="0"/>
    <n v="0"/>
    <n v="0"/>
    <n v="0"/>
    <n v="0"/>
    <n v="32"/>
    <n v="21"/>
    <n v="-358"/>
    <n v="1"/>
  </r>
  <r>
    <s v="Cases &amp; Composites"/>
    <n v="101015"/>
    <s v="Ferdin Mustafa"/>
    <s v="Complete"/>
    <s v="Closed"/>
    <x v="1"/>
    <n v="2024"/>
    <s v="24FC078"/>
    <s v="Repair-EA"/>
    <x v="0"/>
    <x v="2"/>
    <x v="2"/>
    <m/>
    <d v="2023-09-08T04:00:00"/>
    <d v="2024-04-30T04:00:00"/>
    <d v="2024-04-30T04:00:00"/>
    <x v="29"/>
    <d v="2024-04-16T18:05:21"/>
    <s v="Equivalent ENC: CAS-192708-Q5V7M8"/>
    <d v="2024-03-28T04:00:00"/>
    <d v="2024-04-04T04:00:00"/>
    <d v="2024-04-04T04:00:00"/>
    <d v="2024-04-04T04:00:00"/>
    <n v="7"/>
    <n v="0"/>
    <n v="7"/>
    <n v="221"/>
    <n v="214"/>
    <n v="0"/>
    <n v="0"/>
    <n v="0"/>
    <n v="0"/>
    <n v="0"/>
    <n v="0"/>
    <n v="0"/>
    <n v="0"/>
    <n v="0"/>
    <n v="221"/>
    <n v="214"/>
    <n v="-14"/>
    <n v="1"/>
  </r>
  <r>
    <s v="Cases &amp; Composites"/>
    <n v="100341"/>
    <s v="Pedro Iturrino"/>
    <s v="Complete"/>
    <s v="Open"/>
    <x v="1"/>
    <m/>
    <s v="23FC270"/>
    <s v="Repair-EA"/>
    <x v="0"/>
    <x v="2"/>
    <x v="3"/>
    <m/>
    <d v="2023-08-03T04:00:00"/>
    <d v="2023-11-20T05:00:00"/>
    <d v="2024-01-26T05:00:00"/>
    <x v="30"/>
    <d v="2024-01-22T20:30:49"/>
    <s v="JAN"/>
    <d v="2023-08-28T04:00:00"/>
    <d v="2023-08-30T04:00:00"/>
    <d v="2023-08-30T04:00:00"/>
    <d v="2023-11-06T05:00:00"/>
    <n v="2"/>
    <n v="68.041666666671517"/>
    <n v="70.041666666671517"/>
    <n v="172.04166666667152"/>
    <n v="102"/>
    <n v="0"/>
    <n v="0"/>
    <n v="0"/>
    <n v="0"/>
    <n v="0"/>
    <n v="0"/>
    <n v="0"/>
    <n v="0"/>
    <n v="0"/>
    <n v="172.04166666667152"/>
    <n v="102"/>
    <n v="63"/>
    <n v="0"/>
  </r>
  <r>
    <s v="Cases &amp; Composites"/>
    <n v="102132"/>
    <s v="Pedro Iturrino"/>
    <s v="Complete"/>
    <s v="Open"/>
    <x v="1"/>
    <m/>
    <s v="24FC002"/>
    <s v="Repair-EA"/>
    <x v="0"/>
    <x v="2"/>
    <x v="3"/>
    <m/>
    <d v="2023-11-02T04:00:00"/>
    <d v="2024-01-26T05:00:00"/>
    <d v="2024-01-26T05:00:00"/>
    <x v="30"/>
    <d v="2024-01-22T20:32:24"/>
    <m/>
    <d v="2024-01-08T05:00:00"/>
    <d v="2024-01-17T05:00:00"/>
    <d v="2024-01-17T05:00:00"/>
    <d v="2024-01-17T05:00:00"/>
    <n v="9"/>
    <n v="0"/>
    <n v="9"/>
    <n v="81.041666666671517"/>
    <n v="72.041666666671517"/>
    <n v="0"/>
    <n v="0"/>
    <n v="0"/>
    <n v="0"/>
    <n v="0"/>
    <n v="0"/>
    <n v="0"/>
    <n v="0"/>
    <n v="0"/>
    <n v="81.041666666671517"/>
    <n v="72.041666666671517"/>
    <n v="-4"/>
    <n v="1"/>
  </r>
  <r>
    <s v="Cases &amp; Composites"/>
    <s v="CAS-198957-F2V4Y1"/>
    <s v="Pedro Iturrino"/>
    <s v="Complete"/>
    <s v="Resolved"/>
    <x v="1"/>
    <m/>
    <s v="24FC021"/>
    <s v="Repair-EA"/>
    <x v="0"/>
    <x v="2"/>
    <x v="3"/>
    <m/>
    <d v="2023-11-21T19:35:08"/>
    <d v="2024-03-08T05:00:00"/>
    <d v="2024-03-01T05:00:00"/>
    <x v="31"/>
    <d v="2024-02-26T17:40:04"/>
    <s v="FEB2"/>
    <d v="2024-01-22T05:00:00"/>
    <d v="2024-01-24T05:00:00"/>
    <d v="2024-01-24T05:00:00"/>
    <d v="2024-01-24T05:00:00"/>
    <n v="2"/>
    <n v="0"/>
    <n v="2"/>
    <n v="96.392268518524361"/>
    <n v="94.392268518524361"/>
    <n v="0"/>
    <n v="0"/>
    <n v="0"/>
    <n v="0"/>
    <n v="0"/>
    <n v="0"/>
    <n v="0"/>
    <n v="5"/>
    <n v="5"/>
    <n v="91.392268518524361"/>
    <n v="89.392268518524361"/>
    <n v="-11"/>
    <n v="1"/>
  </r>
  <r>
    <s v="Cases &amp; Composites"/>
    <n v="103146"/>
    <s v="Robert Thompson"/>
    <s v="Complete"/>
    <s v="Closed"/>
    <x v="1"/>
    <m/>
    <s v="24FC003"/>
    <s v="Repair-EA"/>
    <x v="0"/>
    <x v="2"/>
    <x v="2"/>
    <m/>
    <d v="2023-12-22T05:00:00"/>
    <d v="2024-01-12T05:00:00"/>
    <d v="2024-01-12T05:00:00"/>
    <x v="32"/>
    <d v="2024-01-11T18:48:44"/>
    <s v="Jan."/>
    <d v="2024-01-04T05:00:00"/>
    <d v="2024-01-08T05:00:00"/>
    <d v="2024-01-08T05:00:00"/>
    <d v="2024-01-08T05:00:00"/>
    <n v="4"/>
    <n v="0"/>
    <n v="4"/>
    <n v="20"/>
    <n v="16"/>
    <n v="0"/>
    <n v="0"/>
    <n v="0"/>
    <n v="0"/>
    <n v="0"/>
    <n v="0"/>
    <n v="0"/>
    <n v="0"/>
    <n v="0"/>
    <n v="20"/>
    <n v="16"/>
    <n v="-1"/>
    <n v="1"/>
  </r>
  <r>
    <s v="Cases &amp; Composites"/>
    <n v="103694"/>
    <s v="Pedro Iturrino"/>
    <s v="Complete"/>
    <s v="Closed"/>
    <x v="1"/>
    <m/>
    <s v="24FC047"/>
    <s v="Repair-EA"/>
    <x v="0"/>
    <x v="2"/>
    <x v="3"/>
    <m/>
    <d v="2024-01-26T05:00:00"/>
    <d v="2024-03-15T04:00:00"/>
    <d v="2024-03-15T04:00:00"/>
    <x v="33"/>
    <d v="2024-02-22T18:16:07"/>
    <m/>
    <d v="2024-02-13T05:00:00"/>
    <d v="2024-02-15T05:00:00"/>
    <d v="2024-02-15T05:00:00"/>
    <d v="2024-02-15T05:00:00"/>
    <n v="2"/>
    <n v="0"/>
    <n v="2"/>
    <n v="27"/>
    <n v="25"/>
    <n v="0"/>
    <n v="0"/>
    <n v="0"/>
    <n v="0"/>
    <n v="0"/>
    <n v="0"/>
    <n v="0"/>
    <n v="0"/>
    <n v="0"/>
    <n v="27"/>
    <n v="25"/>
    <n v="-21.958333333328483"/>
    <n v="1"/>
  </r>
  <r>
    <s v="Cases &amp; Composites"/>
    <s v="CAS-205562-J4R1J8"/>
    <s v="Ferdin Mustafa"/>
    <s v="Complete"/>
    <s v="Resolved"/>
    <x v="1"/>
    <m/>
    <s v="24KC068"/>
    <s v="Repair-EA"/>
    <x v="0"/>
    <x v="1"/>
    <x v="4"/>
    <m/>
    <d v="2024-02-02T02:41:49"/>
    <d v="2024-03-08T05:00:00"/>
    <d v="2024-03-08T05:00:00"/>
    <x v="34"/>
    <d v="2024-02-08T21:34:06"/>
    <s v="IMC salvage for Tanker OEM Production"/>
    <d v="2024-02-02T05:00:00"/>
    <d v="2024-02-02T05:00:00"/>
    <d v="2024-02-02T05:00:00"/>
    <d v="2024-02-07T05:00:00"/>
    <n v="0"/>
    <n v="5"/>
    <n v="5"/>
    <n v="6.0959606481483206"/>
    <n v="1.0959606481483206"/>
    <n v="0"/>
    <n v="0"/>
    <n v="0"/>
    <n v="0"/>
    <n v="0"/>
    <n v="0"/>
    <n v="0"/>
    <n v="0"/>
    <n v="0"/>
    <n v="6.0959606481483206"/>
    <n v="1.0959606481483206"/>
    <n v="-29"/>
    <n v="1"/>
  </r>
  <r>
    <s v="Cases &amp; Composites"/>
    <n v="104648"/>
    <s v="Pedro Iturrino"/>
    <s v="Complete"/>
    <s v="Closed"/>
    <x v="1"/>
    <m/>
    <s v="24FC095"/>
    <s v="Repair-EA"/>
    <x v="0"/>
    <x v="2"/>
    <x v="3"/>
    <m/>
    <d v="2024-03-11T04:00:00"/>
    <d v="2024-05-31T04:00:00"/>
    <d v="2024-04-26T04:00:00"/>
    <x v="35"/>
    <d v="2024-04-24T20:28:56"/>
    <s v="APR"/>
    <d v="2024-03-22T04:00:00"/>
    <d v="2024-04-09T04:00:00"/>
    <d v="2024-04-09T04:00:00"/>
    <d v="2024-04-09T04:00:00"/>
    <n v="18"/>
    <n v="0"/>
    <n v="18"/>
    <n v="44"/>
    <n v="26"/>
    <n v="0"/>
    <n v="0"/>
    <n v="0"/>
    <n v="0"/>
    <n v="0"/>
    <n v="0"/>
    <n v="0"/>
    <n v="0"/>
    <n v="0"/>
    <n v="44"/>
    <n v="26"/>
    <n v="-37"/>
    <n v="1"/>
  </r>
  <r>
    <s v="Cases &amp; Composites"/>
    <n v="105228"/>
    <s v="Pedro Iturrino"/>
    <s v="Complete"/>
    <s v="Closed"/>
    <x v="1"/>
    <m/>
    <s v="24FC141"/>
    <s v="Repair-EA"/>
    <x v="0"/>
    <x v="2"/>
    <x v="3"/>
    <m/>
    <d v="2024-04-10T04:00:00"/>
    <d v="2024-05-31T04:00:00"/>
    <d v="2024-05-31T04:00:00"/>
    <x v="36"/>
    <d v="2024-05-24T15:33:40"/>
    <m/>
    <d v="2024-05-02T04:00:00"/>
    <d v="2024-05-03T04:00:00"/>
    <d v="2024-05-03T04:00:00"/>
    <d v="2024-05-03T04:00:00"/>
    <n v="1"/>
    <n v="0"/>
    <n v="1"/>
    <n v="44"/>
    <n v="43"/>
    <n v="0"/>
    <n v="0"/>
    <n v="0"/>
    <n v="0"/>
    <n v="5"/>
    <n v="0"/>
    <n v="0"/>
    <n v="0"/>
    <n v="5"/>
    <n v="39"/>
    <n v="38"/>
    <n v="-7"/>
    <n v="1"/>
  </r>
  <r>
    <s v="Cases &amp; Composites"/>
    <s v="CAS-212797-M5C7V0"/>
    <s v="Tyler Abusbah"/>
    <s v="Complete"/>
    <s v="Resolved"/>
    <x v="1"/>
    <m/>
    <s v="24FC162"/>
    <s v="Repair-EA"/>
    <x v="0"/>
    <x v="2"/>
    <x v="3"/>
    <m/>
    <d v="2024-04-18T21:19:33"/>
    <d v="2024-10-16T04:00:00"/>
    <d v="2024-10-30T04:00:00"/>
    <x v="37"/>
    <d v="2024-10-31T12:31:23"/>
    <s v="HPC Rear Outer Case - 10th &amp; 14th Stage Bleed Bosses, Weld Repair Oct"/>
    <d v="2024-05-16T04:00:00"/>
    <d v="2024-09-13T04:00:00"/>
    <d v="2024-09-13T04:00:00"/>
    <d v="2024-09-27T04:00:00"/>
    <n v="120"/>
    <n v="14"/>
    <n v="134"/>
    <n v="194.27809027777403"/>
    <n v="60.278090277774027"/>
    <n v="0"/>
    <n v="0"/>
    <n v="0"/>
    <n v="1"/>
    <n v="0"/>
    <n v="18"/>
    <n v="0"/>
    <n v="0"/>
    <n v="19"/>
    <n v="175.27809027777403"/>
    <n v="41.278090277774027"/>
    <n v="14"/>
    <n v="0"/>
  </r>
  <r>
    <s v="Cases &amp; Composites"/>
    <n v="105720"/>
    <s v="Jia Chen"/>
    <s v="Complete"/>
    <s v="Closed"/>
    <x v="1"/>
    <m/>
    <s v="24FC157"/>
    <s v="Repair-EA"/>
    <x v="0"/>
    <x v="2"/>
    <x v="3"/>
    <s v="75%"/>
    <d v="2024-05-03T04:00:00"/>
    <d v="2024-07-04T04:00:00"/>
    <d v="2024-06-11T04:00:00"/>
    <x v="36"/>
    <d v="2024-05-29T12:53:07"/>
    <m/>
    <d v="2024-05-16T04:00:00"/>
    <d v="2024-05-20T04:00:00"/>
    <d v="2024-05-20T04:00:00"/>
    <d v="2024-05-21T04:00:00"/>
    <n v="4"/>
    <n v="1"/>
    <n v="5"/>
    <n v="21"/>
    <n v="16"/>
    <n v="0"/>
    <n v="0"/>
    <n v="0"/>
    <n v="0"/>
    <n v="0"/>
    <n v="0"/>
    <n v="0"/>
    <n v="0"/>
    <n v="0"/>
    <n v="21"/>
    <n v="16"/>
    <n v="-41"/>
    <n v="1"/>
  </r>
  <r>
    <s v="Cases &amp; Composites"/>
    <s v="CAS-220667-C8J5Y4"/>
    <s v="Orlando Melendez Colon"/>
    <s v="Complete"/>
    <s v="Resolved"/>
    <x v="1"/>
    <m/>
    <s v="24VG135"/>
    <s v="Repair-EA"/>
    <x v="0"/>
    <x v="3"/>
    <x v="5"/>
    <s v="75%"/>
    <d v="2024-07-10T14:22:54"/>
    <d v="2024-07-17T04:00:00"/>
    <d v="2024-07-17T04:00:00"/>
    <x v="38"/>
    <d v="2024-07-16T13:38:46"/>
    <m/>
    <d v="2024-07-13T04:00:00"/>
    <d v="2024-07-15T04:00:00"/>
    <d v="2024-07-15T04:00:00"/>
    <d v="2024-07-15T04:00:00"/>
    <n v="2"/>
    <n v="0"/>
    <n v="2"/>
    <n v="4.5674305555512547"/>
    <n v="2.5674305555512547"/>
    <n v="0"/>
    <n v="0"/>
    <n v="0"/>
    <n v="0"/>
    <n v="2"/>
    <n v="0"/>
    <n v="0"/>
    <n v="0"/>
    <n v="2"/>
    <n v="2.5674305555512547"/>
    <n v="0.56743055555125466"/>
    <n v="-2"/>
    <n v="1"/>
  </r>
  <r>
    <s v="Cases &amp; Composites"/>
    <n v="106033"/>
    <s v="Jia Chen"/>
    <s v="Complete"/>
    <s v="Closed"/>
    <x v="1"/>
    <m/>
    <s v="24FC233"/>
    <s v="Repair-EA"/>
    <x v="0"/>
    <x v="2"/>
    <x v="3"/>
    <s v="75%"/>
    <d v="2024-05-21T04:00:00"/>
    <d v="2024-10-29T04:00:00"/>
    <d v="2024-10-29T04:00:00"/>
    <x v="39"/>
    <d v="2024-10-09T13:51:39"/>
    <s v="HPC REAR OUTER CASE - 14TH STAGE BLEED VALVE FLANGE OVERSIZED BOLTHOLE. Oct"/>
    <d v="2024-09-04T04:00:00"/>
    <d v="2024-09-27T04:00:00"/>
    <d v="2024-09-27T04:00:00"/>
    <d v="2024-09-30T04:00:00"/>
    <n v="23"/>
    <n v="3"/>
    <n v="26"/>
    <n v="140"/>
    <n v="114"/>
    <n v="27"/>
    <n v="0"/>
    <n v="0"/>
    <n v="0"/>
    <n v="18"/>
    <n v="0"/>
    <n v="0"/>
    <n v="0"/>
    <n v="45"/>
    <n v="95"/>
    <n v="69"/>
    <n v="-21"/>
    <n v="1"/>
  </r>
  <r>
    <s v="Cases &amp; Composites"/>
    <n v="105143"/>
    <s v="Jia Chen"/>
    <s v="Complete"/>
    <s v="Open"/>
    <x v="1"/>
    <m/>
    <s v="24FC117"/>
    <s v="Repair-EA"/>
    <x v="0"/>
    <x v="2"/>
    <x v="3"/>
    <s v="25%"/>
    <d v="2024-04-05T04:00:00"/>
    <d v="2024-10-09T04:00:00"/>
    <d v="2024-10-09T04:00:00"/>
    <x v="40"/>
    <d v="2024-09-23T15:26:34"/>
    <s v="The Rear Flange is thicker than the serviceable or repairable limits"/>
    <m/>
    <m/>
    <m/>
    <m/>
    <s v=""/>
    <s v=""/>
    <n v="0"/>
    <n v="171"/>
    <n v="171"/>
    <n v="0"/>
    <n v="4"/>
    <n v="0"/>
    <n v="81"/>
    <n v="0"/>
    <n v="0"/>
    <n v="0"/>
    <n v="0"/>
    <n v="85"/>
    <n v="86"/>
    <n v="86"/>
    <n v="-16"/>
    <n v="1"/>
  </r>
  <r>
    <s v="Cases &amp; Composites"/>
    <s v="MSG-240821-EFF837"/>
    <s v="Ferdin Mustafa"/>
    <s v="Complete"/>
    <s v="Complete"/>
    <x v="1"/>
    <m/>
    <s v="24KC512"/>
    <s v="Repair-EA"/>
    <x v="0"/>
    <x v="1"/>
    <x v="4"/>
    <s v="75%"/>
    <d v="2024-08-21T04:00:00"/>
    <d v="2024-11-27T05:00:00"/>
    <d v="2024-11-27T05:00:00"/>
    <x v="41"/>
    <d v="2024-09-06T20:22:12"/>
    <m/>
    <d v="2024-08-21T04:00:00"/>
    <d v="2024-09-05T04:00:00"/>
    <d v="2024-09-05T04:00:00"/>
    <d v="2024-09-05T04:00:00"/>
    <n v="15"/>
    <n v="0"/>
    <n v="15"/>
    <n v="16"/>
    <n v="1"/>
    <n v="0"/>
    <n v="2"/>
    <n v="0"/>
    <n v="0"/>
    <n v="12"/>
    <n v="0"/>
    <n v="0"/>
    <n v="0"/>
    <n v="14"/>
    <n v="2"/>
    <n v="-13"/>
    <n v="-82.041666666671517"/>
    <n v="1"/>
  </r>
  <r>
    <s v="Cases &amp; Composites"/>
    <n v="108334"/>
    <s v="Jia Chen"/>
    <s v="Complete"/>
    <s v="Closed"/>
    <x v="1"/>
    <m/>
    <s v="24FC332"/>
    <s v="Repair-EA"/>
    <x v="0"/>
    <x v="2"/>
    <x v="3"/>
    <s v="50%"/>
    <d v="2024-09-13T04:00:00"/>
    <d v="2024-11-27T05:00:00"/>
    <d v="2024-12-17T05:00:00"/>
    <x v="42"/>
    <d v="2024-12-12T19:10:45"/>
    <s v="Dec"/>
    <d v="2024-10-17T04:00:00"/>
    <d v="2024-10-28T04:00:00"/>
    <d v="2024-10-28T04:00:00"/>
    <d v="2024-12-05T05:00:00"/>
    <n v="11"/>
    <n v="38.041666666671517"/>
    <n v="49.041666666671517"/>
    <n v="90.041666666671517"/>
    <n v="41"/>
    <n v="16"/>
    <n v="0"/>
    <n v="0"/>
    <n v="0"/>
    <n v="0"/>
    <n v="0"/>
    <n v="0"/>
    <n v="0"/>
    <n v="16"/>
    <n v="74.041666666671517"/>
    <n v="25"/>
    <n v="15"/>
    <n v="0"/>
  </r>
  <r>
    <s v="Cases &amp; Composites"/>
    <n v="106581"/>
    <s v="Jia Chen"/>
    <s v="Complete"/>
    <s v="Closed"/>
    <x v="1"/>
    <m/>
    <s v="24FC334"/>
    <s v="Repair-EA"/>
    <x v="0"/>
    <x v="2"/>
    <x v="3"/>
    <s v="75%"/>
    <d v="2024-06-19T04:00:00"/>
    <d v="2025-01-15T05:00:00"/>
    <d v="2025-01-15T05:00:00"/>
    <x v="43"/>
    <d v="2024-12-23T21:10:28"/>
    <m/>
    <d v="2024-10-30T04:00:00"/>
    <d v="2024-11-04T05:00:00"/>
    <d v="2024-11-04T05:00:00"/>
    <d v="2024-12-09T05:00:00"/>
    <n v="5.0416666666715173"/>
    <n v="35"/>
    <n v="40.041666666671517"/>
    <n v="182.04166666667152"/>
    <n v="142"/>
    <n v="79"/>
    <n v="2"/>
    <n v="0"/>
    <n v="0"/>
    <n v="2"/>
    <n v="0"/>
    <n v="0"/>
    <n v="0"/>
    <n v="83"/>
    <n v="99.041666666671517"/>
    <n v="59"/>
    <n v="-28"/>
    <n v="1"/>
  </r>
  <r>
    <s v="Cases &amp; Composites"/>
    <s v="CAS-234135-B9H9Z1"/>
    <s v="Ferdin Mustafa"/>
    <s v="Complete"/>
    <s v="Resolved"/>
    <x v="1"/>
    <m/>
    <s v="24KC739"/>
    <s v="Repair-EA"/>
    <x v="0"/>
    <x v="1"/>
    <x v="1"/>
    <s v="50%"/>
    <d v="2024-11-14T13:54:27"/>
    <d v="2024-11-29T05:00:00"/>
    <d v="2024-12-19T05:00:00"/>
    <x v="44"/>
    <d v="2024-12-17T19:06:47"/>
    <m/>
    <d v="2024-11-21T05:00:00"/>
    <d v="2024-11-21T05:00:00"/>
    <d v="2024-11-21T05:00:00"/>
    <d v="2024-12-12T05:00:00"/>
    <n v="0"/>
    <n v="21"/>
    <n v="21"/>
    <n v="31.628854166672681"/>
    <n v="10.628854166672681"/>
    <n v="0"/>
    <n v="0"/>
    <n v="0"/>
    <n v="0"/>
    <n v="0"/>
    <n v="0"/>
    <n v="15"/>
    <n v="0"/>
    <n v="15"/>
    <n v="16.628854166672681"/>
    <n v="-4.3711458333273185"/>
    <n v="17"/>
    <n v="0"/>
  </r>
  <r>
    <s v="Cases &amp; Composites"/>
    <n v="109083"/>
    <s v="Ferdin Mustafa"/>
    <s v="Complete"/>
    <s v="Closed"/>
    <x v="1"/>
    <m/>
    <s v="24FC390"/>
    <s v="Repair-EA"/>
    <x v="0"/>
    <x v="2"/>
    <x v="3"/>
    <s v="75%"/>
    <d v="2024-10-18T04:00:00"/>
    <d v="2025-03-20T04:00:00"/>
    <d v="2025-03-20T04:00:00"/>
    <x v="45"/>
    <d v="2025-03-25T18:05:30"/>
    <s v="AMO. Mar2025"/>
    <d v="2025-01-30T05:00:00"/>
    <d v="2025-01-31T05:00:00"/>
    <d v="2025-01-31T05:00:00"/>
    <d v="2025-02-04T05:00:00"/>
    <n v="1"/>
    <n v="4"/>
    <n v="5"/>
    <n v="158"/>
    <n v="153"/>
    <n v="2"/>
    <n v="2"/>
    <n v="0"/>
    <n v="0"/>
    <n v="0"/>
    <n v="0"/>
    <n v="0"/>
    <n v="0"/>
    <n v="4"/>
    <n v="154"/>
    <n v="149"/>
    <n v="5"/>
    <n v="0"/>
  </r>
  <r>
    <s v="Cases &amp; Composites"/>
    <n v="111053"/>
    <s v="Ferdin Mustafa"/>
    <s v="Complete"/>
    <s v="Closed"/>
    <x v="1"/>
    <m/>
    <s v="25FC029"/>
    <s v="Repair-EA"/>
    <x v="0"/>
    <x v="2"/>
    <x v="2"/>
    <s v="75%"/>
    <d v="2025-02-07T05:00:00"/>
    <d v="2025-02-28T05:00:00"/>
    <d v="2025-02-28T05:00:00"/>
    <x v="46"/>
    <d v="2025-02-21T19:54:30"/>
    <m/>
    <d v="2025-02-11T05:00:00"/>
    <d v="2025-02-11T05:00:00"/>
    <d v="2025-02-11T05:00:00"/>
    <d v="2025-02-17T05:00:00"/>
    <n v="0"/>
    <n v="6"/>
    <n v="6"/>
    <n v="14"/>
    <n v="8"/>
    <n v="0"/>
    <n v="0"/>
    <n v="0"/>
    <n v="0"/>
    <n v="0"/>
    <n v="0"/>
    <n v="0"/>
    <n v="0"/>
    <n v="0"/>
    <n v="14"/>
    <n v="8"/>
    <n v="-7"/>
    <n v="1"/>
  </r>
  <r>
    <s v="Cases &amp; Composites"/>
    <s v="MSG-250213-FA477D"/>
    <s v="Ferdin Mustafa"/>
    <s v="Complete"/>
    <s v="Complete"/>
    <x v="1"/>
    <m/>
    <s v="24KC525A"/>
    <s v="Repair-EA"/>
    <x v="0"/>
    <x v="1"/>
    <x v="2"/>
    <s v="75%"/>
    <d v="2025-02-13T05:00:00"/>
    <d v="2025-03-04T05:00:00"/>
    <d v="2025-03-04T05:00:00"/>
    <x v="47"/>
    <d v="2025-02-19T16:24:22"/>
    <s v="Additional cracks found resulting from 24KC525/- repair process"/>
    <d v="2025-02-14T05:00:00"/>
    <d v="2025-02-14T05:00:00"/>
    <d v="2025-02-14T05:00:00"/>
    <d v="2025-02-14T05:00:00"/>
    <n v="0"/>
    <n v="0"/>
    <n v="0"/>
    <n v="5"/>
    <n v="5"/>
    <n v="0"/>
    <n v="0"/>
    <n v="0"/>
    <n v="0"/>
    <n v="0"/>
    <n v="0"/>
    <n v="0"/>
    <n v="0"/>
    <n v="0"/>
    <n v="5"/>
    <n v="5"/>
    <n v="-14"/>
    <n v="1"/>
  </r>
  <r>
    <s v="Cases &amp; Composites"/>
    <n v="111335"/>
    <s v="Francisco Astiasaran"/>
    <s v="Complete"/>
    <s v="Closed"/>
    <x v="1"/>
    <m/>
    <s v="25FC058"/>
    <s v="Repair-EA"/>
    <x v="0"/>
    <x v="2"/>
    <x v="3"/>
    <s v="75%"/>
    <d v="2025-02-24T05:00:00"/>
    <d v="2025-04-04T04:00:00"/>
    <d v="2025-06-11T04:00:00"/>
    <x v="48"/>
    <d v="2025-06-09T17:50:01"/>
    <s v="Jun2025"/>
    <d v="2025-03-27T04:00:00"/>
    <d v="2025-03-27T04:00:00"/>
    <d v="2025-05-07T04:00:00"/>
    <d v="2025-05-30T04:00:00"/>
    <n v="0"/>
    <n v="23"/>
    <n v="23"/>
    <n v="104.95833333332848"/>
    <n v="81.958333333328483"/>
    <n v="0"/>
    <n v="0"/>
    <n v="0"/>
    <n v="0"/>
    <n v="0"/>
    <n v="0"/>
    <n v="0"/>
    <n v="0"/>
    <n v="0"/>
    <n v="104.95833333332848"/>
    <n v="81.958333333328483"/>
    <n v="66"/>
    <n v="0"/>
  </r>
  <r>
    <s v="Cases &amp; Composites"/>
    <n v="110679"/>
    <s v="Jia Chen"/>
    <s v="Complete"/>
    <s v="Closed"/>
    <x v="1"/>
    <m/>
    <s v="25FC052"/>
    <s v="Repair-EA"/>
    <x v="0"/>
    <x v="2"/>
    <x v="3"/>
    <s v="75%"/>
    <d v="2025-01-20T05:00:00"/>
    <d v="2025-03-31T04:00:00"/>
    <d v="2025-03-31T04:00:00"/>
    <x v="49"/>
    <d v="2025-03-19T19:37:41"/>
    <s v="HPC REAR CASE ASSEMBLY - START BLEED BOSS AND MIDCASE SEAL GROOVE - REPAIR-11 AND -14, LIMIT EXTENSIONS"/>
    <d v="2025-03-10T04:00:00"/>
    <d v="2025-03-10T04:00:00"/>
    <d v="2025-03-10T04:00:00"/>
    <d v="2025-03-14T04:00:00"/>
    <n v="0"/>
    <n v="4"/>
    <n v="4"/>
    <n v="57.958333333328483"/>
    <n v="53.958333333328483"/>
    <n v="27"/>
    <n v="0"/>
    <n v="0"/>
    <n v="0"/>
    <n v="0"/>
    <n v="0"/>
    <n v="0"/>
    <n v="0"/>
    <n v="27"/>
    <n v="30.958333333328483"/>
    <n v="26.958333333328483"/>
    <n v="-12"/>
    <n v="1"/>
  </r>
  <r>
    <s v="Cases &amp; Composites"/>
    <n v="111022"/>
    <s v="Jia Chen"/>
    <s v="Complete"/>
    <s v="Closed"/>
    <x v="1"/>
    <m/>
    <s v="25FC054"/>
    <s v="Repair-EA"/>
    <x v="0"/>
    <x v="2"/>
    <x v="3"/>
    <s v="75%"/>
    <d v="2025-02-06T05:00:00"/>
    <d v="2025-03-28T04:00:00"/>
    <d v="2025-03-28T04:00:00"/>
    <x v="50"/>
    <d v="2025-03-20T13:29:57"/>
    <m/>
    <d v="2025-03-10T04:00:00"/>
    <d v="2025-03-10T04:00:00"/>
    <d v="2025-03-10T04:00:00"/>
    <d v="2025-03-14T04:00:00"/>
    <n v="0"/>
    <n v="4"/>
    <n v="4"/>
    <n v="41.958333333328483"/>
    <n v="37.958333333328483"/>
    <n v="14"/>
    <n v="0"/>
    <n v="0"/>
    <n v="0"/>
    <n v="0"/>
    <n v="0"/>
    <n v="0"/>
    <n v="0"/>
    <n v="14"/>
    <n v="27.958333333328483"/>
    <n v="23.958333333328483"/>
    <n v="-8"/>
    <n v="1"/>
  </r>
  <r>
    <s v="Cases &amp; Composites"/>
    <n v="111060"/>
    <s v="Francisco Astiasaran"/>
    <s v="Complete"/>
    <s v="Closed"/>
    <x v="1"/>
    <m/>
    <s v="25FC060"/>
    <s v="Repair-EA"/>
    <x v="0"/>
    <x v="2"/>
    <x v="3"/>
    <s v="75%"/>
    <d v="2025-02-08T05:00:00"/>
    <d v="2025-04-04T04:00:00"/>
    <d v="2025-04-04T04:00:00"/>
    <x v="26"/>
    <d v="2025-03-27T17:08:36"/>
    <s v="Apr2025"/>
    <d v="2025-03-24T04:00:00"/>
    <d v="2025-03-24T04:00:00"/>
    <d v="2025-03-25T04:00:00"/>
    <d v="2025-03-26T04:00:00"/>
    <n v="0"/>
    <n v="1"/>
    <n v="1"/>
    <n v="46.958333333328483"/>
    <n v="45.958333333328483"/>
    <n v="0"/>
    <n v="0"/>
    <n v="0"/>
    <n v="0"/>
    <n v="0"/>
    <n v="0"/>
    <n v="0"/>
    <n v="0"/>
    <n v="0"/>
    <n v="46.958333333328483"/>
    <n v="45.958333333328483"/>
    <n v="-8"/>
    <n v="1"/>
  </r>
  <r>
    <s v="Cases &amp; Composites"/>
    <s v="CAS-246290-Y6Z4F3"/>
    <s v="Francisco Astiasaran"/>
    <s v="Complete"/>
    <s v="Resolved"/>
    <x v="1"/>
    <m/>
    <s v="25CC681"/>
    <s v="Repair-EA"/>
    <x v="0"/>
    <x v="0"/>
    <x v="0"/>
    <s v="75%"/>
    <d v="2025-03-15T12:15:46"/>
    <d v="2025-03-21T04:00:00"/>
    <d v="2025-03-21T04:00:00"/>
    <x v="49"/>
    <d v="2025-03-19T19:45:45"/>
    <s v="Mar2025"/>
    <m/>
    <m/>
    <m/>
    <m/>
    <s v=""/>
    <s v=""/>
    <n v="0"/>
    <n v="3.6557175925918273"/>
    <n v="3.6557175925918273"/>
    <n v="0"/>
    <n v="0"/>
    <n v="0"/>
    <n v="0"/>
    <n v="0"/>
    <n v="0"/>
    <n v="0"/>
    <n v="0"/>
    <n v="0"/>
    <n v="3.6557175925918273"/>
    <n v="3.6557175925918273"/>
    <n v="-2"/>
    <n v="1"/>
  </r>
  <r>
    <s v="Cases &amp; Composites"/>
    <n v="111471"/>
    <s v="Ferdin Mustafa"/>
    <s v="Complete"/>
    <s v="Closed"/>
    <x v="1"/>
    <m/>
    <s v="25FC062"/>
    <s v="Repair-EA"/>
    <x v="0"/>
    <x v="2"/>
    <x v="3"/>
    <s v="75%"/>
    <d v="2025-02-28T05:00:00"/>
    <d v="2025-04-16T04:00:00"/>
    <d v="2025-04-16T04:00:00"/>
    <x v="51"/>
    <d v="2025-03-31T19:12:28"/>
    <m/>
    <d v="2025-03-20T04:00:00"/>
    <d v="2025-03-20T04:00:00"/>
    <d v="2025-03-20T04:00:00"/>
    <d v="2025-03-21T04:00:00"/>
    <n v="0"/>
    <n v="1"/>
    <n v="1"/>
    <n v="30.958333333328483"/>
    <n v="29.958333333328483"/>
    <n v="9"/>
    <n v="0"/>
    <n v="0"/>
    <n v="0"/>
    <n v="0"/>
    <n v="0"/>
    <n v="0"/>
    <n v="0"/>
    <n v="9"/>
    <n v="21.958333333328483"/>
    <n v="20.958333333328483"/>
    <n v="-16"/>
    <n v="1"/>
  </r>
  <r>
    <s v="Cases &amp; Composites"/>
    <n v="112241"/>
    <s v="Ferdin Mustafa"/>
    <s v="Complete"/>
    <s v="Closed"/>
    <x v="1"/>
    <m/>
    <s v="25FC083"/>
    <s v="Repair-EA"/>
    <x v="0"/>
    <x v="2"/>
    <x v="3"/>
    <m/>
    <d v="2025-04-04T04:00:00"/>
    <d v="2025-08-08T04:00:00"/>
    <d v="2025-08-08T04:00:00"/>
    <x v="11"/>
    <d v="2025-06-09T18:26:21"/>
    <m/>
    <d v="2025-05-05T04:00:00"/>
    <d v="2025-05-05T04:00:00"/>
    <d v="2025-05-09T04:00:00"/>
    <d v="2025-05-22T04:00:00"/>
    <n v="0"/>
    <n v="13"/>
    <n v="13"/>
    <n v="56"/>
    <n v="43"/>
    <n v="0"/>
    <n v="0"/>
    <n v="0"/>
    <n v="0"/>
    <n v="0"/>
    <n v="0"/>
    <n v="0"/>
    <n v="0"/>
    <n v="0"/>
    <n v="56"/>
    <n v="43"/>
    <n v="-70"/>
    <n v="1"/>
  </r>
  <r>
    <s v="Cases &amp; Composites"/>
    <n v="111746"/>
    <s v="Jia Chen"/>
    <s v="Complete"/>
    <s v="Closed"/>
    <x v="1"/>
    <m/>
    <s v="25FC081"/>
    <s v="Repair-EA"/>
    <x v="0"/>
    <x v="2"/>
    <x v="3"/>
    <s v="75%"/>
    <d v="2025-03-14T04:00:00"/>
    <d v="2025-07-25T04:00:00"/>
    <d v="2025-07-25T04:00:00"/>
    <x v="52"/>
    <d v="2025-07-14T19:14:27"/>
    <s v="Jul2025"/>
    <d v="2025-06-06T04:00:00"/>
    <d v="2025-06-06T04:00:00"/>
    <d v="2025-06-09T04:00:00"/>
    <d v="2025-06-30T04:00:00"/>
    <n v="0"/>
    <n v="21"/>
    <n v="21"/>
    <n v="122"/>
    <n v="101"/>
    <n v="4"/>
    <n v="0"/>
    <n v="0"/>
    <n v="0"/>
    <n v="0"/>
    <n v="0"/>
    <n v="0"/>
    <n v="0"/>
    <n v="4"/>
    <n v="118"/>
    <n v="97"/>
    <n v="-11"/>
    <n v="1"/>
  </r>
  <r>
    <s v="Cases &amp; Composites"/>
    <n v="112591"/>
    <s v="Francisco Astiasaran"/>
    <s v="Complete"/>
    <s v="Closed"/>
    <x v="1"/>
    <m/>
    <s v="25FC103"/>
    <s v="Repair-EA"/>
    <x v="0"/>
    <x v="2"/>
    <x v="3"/>
    <s v="50%"/>
    <d v="2025-04-22T04:00:00"/>
    <d v="2025-05-02T04:00:00"/>
    <d v="2025-05-02T04:00:00"/>
    <x v="53"/>
    <d v="2025-04-29T15:13:11"/>
    <m/>
    <m/>
    <m/>
    <m/>
    <m/>
    <s v=""/>
    <s v=""/>
    <n v="0"/>
    <n v="7"/>
    <n v="7"/>
    <n v="0"/>
    <n v="0"/>
    <n v="0"/>
    <n v="0"/>
    <n v="0"/>
    <n v="0"/>
    <n v="0"/>
    <n v="0"/>
    <n v="0"/>
    <n v="7"/>
    <n v="7"/>
    <n v="-3"/>
    <n v="1"/>
  </r>
  <r>
    <s v="Cases &amp; Composites"/>
    <s v="CAS-248143-B5W0M9"/>
    <s v="Ferdin Mustafa"/>
    <s v="Complete"/>
    <s v="Resolved"/>
    <x v="1"/>
    <m/>
    <s v="25KC269"/>
    <s v="Repair-EA"/>
    <x v="0"/>
    <x v="1"/>
    <x v="1"/>
    <s v="75%"/>
    <d v="2025-04-03T01:23:59"/>
    <d v="2025-06-06T04:00:00"/>
    <d v="2025-06-06T04:00:00"/>
    <x v="54"/>
    <d v="2025-05-20T18:31:22"/>
    <s v="May2025"/>
    <d v="2025-04-25T04:00:00"/>
    <d v="2025-04-25T04:00:00"/>
    <d v="2025-04-25T04:00:00"/>
    <d v="2025-05-16T04:00:00"/>
    <n v="0"/>
    <n v="21"/>
    <n v="21"/>
    <n v="47.108344907406718"/>
    <n v="26.108344907406718"/>
    <n v="16"/>
    <n v="0"/>
    <n v="0"/>
    <n v="0"/>
    <n v="0"/>
    <n v="0"/>
    <n v="2"/>
    <n v="0"/>
    <n v="18"/>
    <n v="29.108344907406718"/>
    <n v="8.1083449074067175"/>
    <n v="-17"/>
    <n v="1"/>
  </r>
  <r>
    <s v="Cases &amp; Composites"/>
    <n v="113115"/>
    <s v="Francisco Astiasaran"/>
    <s v="Complete"/>
    <s v="Closed"/>
    <x v="1"/>
    <m/>
    <s v="25FC136"/>
    <s v="Repair-EA"/>
    <x v="0"/>
    <x v="2"/>
    <x v="3"/>
    <s v="75%"/>
    <d v="2025-05-16T04:00:00"/>
    <d v="2025-06-20T04:00:00"/>
    <d v="2025-06-25T04:00:00"/>
    <x v="55"/>
    <d v="2025-06-26T14:20:48"/>
    <s v="Jun2025"/>
    <d v="2025-06-04T04:00:00"/>
    <d v="2025-06-04T04:00:00"/>
    <d v="2025-06-16T04:00:00"/>
    <d v="2025-06-18T04:00:00"/>
    <n v="0"/>
    <n v="2"/>
    <n v="2"/>
    <n v="41"/>
    <n v="39"/>
    <n v="0"/>
    <n v="0"/>
    <n v="0"/>
    <n v="0"/>
    <n v="0"/>
    <n v="0"/>
    <n v="0"/>
    <n v="0"/>
    <n v="0"/>
    <n v="41"/>
    <n v="39"/>
    <n v="6"/>
    <n v="0"/>
  </r>
  <r>
    <s v="Cases &amp; Composites"/>
    <n v="113451"/>
    <s v="Francisco Astiasaran"/>
    <s v="Complete"/>
    <s v="Closed"/>
    <x v="1"/>
    <m/>
    <s v="25FC157"/>
    <s v="Repair-EA"/>
    <x v="0"/>
    <x v="2"/>
    <x v="3"/>
    <s v="75%"/>
    <d v="2025-06-05T04:00:00"/>
    <d v="2025-06-27T04:00:00"/>
    <d v="2025-06-27T04:00:00"/>
    <x v="55"/>
    <d v="2025-06-26T18:40:56"/>
    <s v="Jun2025"/>
    <d v="2025-06-16T04:00:00"/>
    <d v="2025-06-16T04:00:00"/>
    <d v="2025-06-16T04:00:00"/>
    <d v="2025-06-24T04:00:00"/>
    <n v="0"/>
    <n v="8"/>
    <n v="8"/>
    <n v="21"/>
    <n v="13"/>
    <n v="0"/>
    <n v="0"/>
    <n v="0"/>
    <n v="0"/>
    <n v="0"/>
    <n v="0"/>
    <n v="0"/>
    <n v="0"/>
    <n v="0"/>
    <n v="21"/>
    <n v="13"/>
    <n v="-1"/>
    <n v="1"/>
  </r>
  <r>
    <s v="Cases &amp; Composites"/>
    <n v="113762"/>
    <s v="Francisco Astiasaran"/>
    <s v="Complete"/>
    <s v="Closed"/>
    <x v="1"/>
    <m/>
    <s v="25FC058A"/>
    <s v="Repair-EA"/>
    <x v="0"/>
    <x v="2"/>
    <x v="3"/>
    <s v="75%"/>
    <d v="2025-06-23T04:00:00"/>
    <d v="2025-07-11T04:00:00"/>
    <d v="2025-07-11T04:00:00"/>
    <x v="7"/>
    <d v="2025-06-27T14:38:40"/>
    <s v="Jun2025"/>
    <m/>
    <m/>
    <m/>
    <m/>
    <s v=""/>
    <s v=""/>
    <n v="0"/>
    <n v="4"/>
    <n v="4"/>
    <n v="0"/>
    <n v="0"/>
    <n v="0"/>
    <n v="0"/>
    <n v="0"/>
    <n v="0"/>
    <n v="0"/>
    <n v="0"/>
    <n v="0"/>
    <n v="4"/>
    <n v="4"/>
    <n v="-14"/>
    <n v="1"/>
  </r>
  <r>
    <s v="Cases &amp; Composites"/>
    <n v="112658"/>
    <s v="Jia Chen"/>
    <s v="Complete"/>
    <s v="Closed"/>
    <x v="1"/>
    <m/>
    <s v="25FC174"/>
    <s v="Repair-EA"/>
    <x v="0"/>
    <x v="2"/>
    <x v="3"/>
    <s v="75%"/>
    <d v="2025-04-24T04:00:00"/>
    <d v="2025-09-03T04:00:00"/>
    <d v="2025-09-03T04:00:00"/>
    <x v="56"/>
    <d v="2025-07-28T13:22:19"/>
    <s v="Sep2025"/>
    <d v="2025-07-16T04:00:00"/>
    <d v="2025-07-21T04:00:00"/>
    <d v="2025-07-21T04:00:00"/>
    <d v="2025-07-23T04:00:00"/>
    <n v="5"/>
    <n v="2"/>
    <n v="7"/>
    <n v="92"/>
    <n v="85"/>
    <n v="30"/>
    <n v="0"/>
    <n v="0"/>
    <n v="0"/>
    <n v="0"/>
    <n v="0"/>
    <n v="0"/>
    <n v="0"/>
    <n v="30"/>
    <n v="62"/>
    <n v="55"/>
    <n v="-40"/>
    <n v="1"/>
  </r>
  <r>
    <s v="Cases &amp; Composites"/>
    <s v="CAS-256190-V3N6Y5"/>
    <s v="Ferdin Mustafa"/>
    <s v="Complete"/>
    <s v="Resolved"/>
    <x v="1"/>
    <m/>
    <s v="25AC102"/>
    <s v="Repair-EA"/>
    <x v="0"/>
    <x v="4"/>
    <x v="6"/>
    <s v="75%"/>
    <d v="2025-06-19T13:56:31"/>
    <d v="2025-06-27T04:00:00"/>
    <d v="2025-06-27T04:00:00"/>
    <x v="7"/>
    <d v="2025-06-27T17:21:52"/>
    <s v="Jun2025 DR# 02203582"/>
    <m/>
    <m/>
    <m/>
    <m/>
    <s v=""/>
    <s v=""/>
    <n v="0"/>
    <n v="7.5857523148151813"/>
    <n v="7.5857523148151813"/>
    <n v="0"/>
    <n v="0"/>
    <n v="0"/>
    <n v="0"/>
    <n v="0"/>
    <n v="0"/>
    <n v="0"/>
    <n v="0"/>
    <n v="0"/>
    <n v="7.5857523148151813"/>
    <n v="7.5857523148151813"/>
    <n v="0"/>
    <n v="1"/>
  </r>
  <r>
    <s v="Cases &amp; Composites"/>
    <n v="113333"/>
    <s v="Austin Bryant"/>
    <s v="Complete"/>
    <s v="Closed"/>
    <x v="1"/>
    <m/>
    <s v="25FC190"/>
    <s v="Repair-EA"/>
    <x v="0"/>
    <x v="2"/>
    <x v="2"/>
    <s v="75%"/>
    <d v="2025-05-30T04:00:00"/>
    <d v="2025-07-28T04:00:00"/>
    <d v="2025-07-28T04:00:00"/>
    <x v="57"/>
    <d v="2025-07-21T18:28:39"/>
    <s v="Jul2025"/>
    <d v="2025-07-10T04:00:00"/>
    <d v="2025-07-10T04:00:00"/>
    <d v="2025-07-10T04:00:00"/>
    <d v="2025-07-10T04:00:00"/>
    <n v="0"/>
    <n v="0"/>
    <n v="0"/>
    <n v="47"/>
    <n v="47"/>
    <n v="0"/>
    <n v="0"/>
    <n v="0"/>
    <n v="0"/>
    <n v="0"/>
    <n v="0"/>
    <n v="0"/>
    <n v="0"/>
    <n v="0"/>
    <n v="47"/>
    <n v="47"/>
    <n v="-12"/>
    <n v="1"/>
  </r>
  <r>
    <s v="Cases &amp; Composites"/>
    <n v="114305"/>
    <s v="Francisco Astiasaran"/>
    <s v="Complete"/>
    <s v="Closed"/>
    <x v="1"/>
    <m/>
    <s v="25FC204"/>
    <s v="Repair-EA"/>
    <x v="0"/>
    <x v="2"/>
    <x v="3"/>
    <s v="75%"/>
    <d v="2025-07-21T04:00:00"/>
    <d v="2025-08-22T04:00:00"/>
    <d v="2025-07-31T04:00:00"/>
    <x v="58"/>
    <d v="2025-07-31T17:32:48"/>
    <s v="Aug2025"/>
    <d v="2025-07-28T04:00:00"/>
    <d v="2025-07-28T04:00:00"/>
    <d v="2025-07-28T04:00:00"/>
    <d v="2025-07-30T04:00:00"/>
    <n v="0"/>
    <n v="2"/>
    <n v="2"/>
    <n v="10"/>
    <n v="8"/>
    <n v="3"/>
    <n v="0"/>
    <n v="0"/>
    <n v="0"/>
    <n v="0"/>
    <n v="0"/>
    <n v="0"/>
    <n v="0"/>
    <n v="3"/>
    <n v="7"/>
    <n v="5"/>
    <n v="-22"/>
    <n v="1"/>
  </r>
  <r>
    <s v="Cases &amp; Composites"/>
    <n v="114136"/>
    <s v="Francisco Astiasaran"/>
    <s v="Complete"/>
    <s v="Open"/>
    <x v="1"/>
    <m/>
    <s v="25FC207"/>
    <s v="Repair-EA"/>
    <x v="0"/>
    <x v="2"/>
    <x v="3"/>
    <s v="50%"/>
    <d v="2025-07-10T04:00:00"/>
    <d v="2025-08-29T04:00:00"/>
    <d v="2025-07-31T04:00:00"/>
    <x v="59"/>
    <d v="2025-08-03T04:00:00"/>
    <s v="Aug2025"/>
    <d v="2025-07-28T04:00:00"/>
    <d v="2025-07-28T04:00:00"/>
    <d v="2025-07-30T04:00:00"/>
    <d v="2025-07-30T04:00:00"/>
    <n v="0"/>
    <n v="0"/>
    <n v="0"/>
    <n v="24"/>
    <n v="24"/>
    <n v="0"/>
    <n v="0"/>
    <n v="0"/>
    <n v="0"/>
    <n v="0"/>
    <n v="0"/>
    <n v="0"/>
    <n v="0"/>
    <n v="0"/>
    <n v="24"/>
    <n v="24"/>
    <n v="-26"/>
    <n v="1"/>
  </r>
  <r>
    <s v="Cases &amp; Composites"/>
    <s v="CAS-163741-T2H8B8"/>
    <s v="Pedro Iturrino"/>
    <s v="Complete"/>
    <s v="Resolved"/>
    <x v="0"/>
    <n v="1"/>
    <s v="22KC646"/>
    <s v="Repair-EA"/>
    <x v="0"/>
    <x v="1"/>
    <x v="3"/>
    <m/>
    <d v="2022-11-17T20:44:57"/>
    <d v="2023-03-10T05:00:00"/>
    <d v="2024-04-12T04:00:00"/>
    <x v="60"/>
    <d v="2024-04-08T20:57:50"/>
    <s v="APR"/>
    <d v="2023-01-06T05:00:00"/>
    <d v="2023-04-14T04:00:00"/>
    <d v="2023-04-14T04:00:00"/>
    <d v="2023-05-19T04:00:00"/>
    <n v="97.958333333328483"/>
    <n v="35"/>
    <n v="132.95833333332848"/>
    <n v="507.30211805555155"/>
    <n v="374.34378472222306"/>
    <n v="0"/>
    <n v="0"/>
    <n v="0"/>
    <n v="0"/>
    <n v="0"/>
    <n v="45"/>
    <n v="0"/>
    <n v="112"/>
    <n v="157"/>
    <n v="350.30211805555155"/>
    <n v="217.34378472222306"/>
    <n v="394.95833333332848"/>
    <n v="0"/>
  </r>
  <r>
    <s v="Cases &amp; Composites"/>
    <s v="CAS-165815-M4Y1S2"/>
    <s v="Ferdin Mustafa"/>
    <s v="Complete"/>
    <s v="Resolved"/>
    <x v="0"/>
    <n v="1"/>
    <s v="23KC390"/>
    <s v="Repair-EA"/>
    <x v="0"/>
    <x v="1"/>
    <x v="3"/>
    <m/>
    <d v="2022-12-13T10:25:03"/>
    <d v="2023-08-25T04:00:00"/>
    <d v="2024-02-02T05:00:00"/>
    <x v="61"/>
    <d v="2024-01-31T15:03:28"/>
    <m/>
    <d v="2023-07-06T04:00:00"/>
    <d v="2023-08-01T04:00:00"/>
    <d v="2023-08-01T04:00:00"/>
    <d v="2023-12-22T05:00:00"/>
    <n v="26"/>
    <n v="143.04166666667152"/>
    <n v="169.04166666667152"/>
    <n v="413.77427083333896"/>
    <n v="244.73260416666744"/>
    <n v="0"/>
    <n v="0"/>
    <n v="0"/>
    <n v="0"/>
    <n v="0"/>
    <n v="9"/>
    <n v="0"/>
    <n v="0"/>
    <n v="9"/>
    <n v="404.77427083333896"/>
    <n v="235.73260416666744"/>
    <n v="159.04166666667152"/>
    <n v="0"/>
  </r>
  <r>
    <s v="Cases &amp; Composites"/>
    <s v="CAS-192478-B0K2T1"/>
    <s v="Pedro Iturrino"/>
    <s v="Complete"/>
    <s v="Resolved"/>
    <x v="0"/>
    <n v="1"/>
    <s v="23KC555"/>
    <s v="Repair-EA"/>
    <x v="0"/>
    <x v="1"/>
    <x v="3"/>
    <m/>
    <d v="2023-09-18T18:55:50"/>
    <d v="2024-01-19T05:00:00"/>
    <d v="2024-02-09T05:00:00"/>
    <x v="62"/>
    <d v="2024-01-30T13:45:52"/>
    <s v="JAN"/>
    <d v="2023-10-18T04:00:00"/>
    <d v="2023-11-06T05:00:00"/>
    <d v="2023-11-06T05:00:00"/>
    <d v="2023-11-06T05:00:00"/>
    <n v="19.041666666671517"/>
    <n v="0"/>
    <n v="19.041666666671517"/>
    <n v="132.41956018518977"/>
    <n v="113.37789351851825"/>
    <n v="0"/>
    <n v="0"/>
    <n v="0"/>
    <n v="0"/>
    <n v="0"/>
    <n v="0"/>
    <n v="0"/>
    <n v="10"/>
    <n v="10"/>
    <n v="122.41956018518977"/>
    <n v="103.37789351851825"/>
    <n v="10"/>
    <n v="0"/>
  </r>
  <r>
    <s v="Cases &amp; Composites"/>
    <s v="MSG-230809-1EA69A"/>
    <s v="Ferdin Mustafa"/>
    <s v="Complete"/>
    <s v="Complete"/>
    <x v="0"/>
    <n v="1"/>
    <s v="23CCQ98"/>
    <s v="Repair-EA"/>
    <x v="1"/>
    <x v="0"/>
    <x v="7"/>
    <m/>
    <d v="2023-08-09T04:00:00"/>
    <d v="2023-12-22T05:00:00"/>
    <d v="2025-01-08T05:00:00"/>
    <x v="63"/>
    <d v="2025-01-08T14:16:12"/>
    <s v="January - Evaluate and substantiate continued viability of subject Cat3a DMCs in CIR manual PN 5315653 for applicability GTFA models and run parameters.  Review latest ESW and update as necessary"/>
    <d v="2023-10-04T04:00:00"/>
    <d v="2024-09-30T04:00:00"/>
    <d v="2024-09-30T04:00:00"/>
    <d v="2024-12-22T05:00:00"/>
    <n v="362"/>
    <n v="83.041666666671517"/>
    <n v="445.04166666667152"/>
    <n v="517.04166666667152"/>
    <n v="72"/>
    <n v="0"/>
    <n v="0"/>
    <n v="0"/>
    <n v="0"/>
    <n v="0"/>
    <n v="208.99278038194461"/>
    <n v="14.163330127310473"/>
    <n v="0"/>
    <n v="223.15611050925509"/>
    <n v="293.88555615741643"/>
    <n v="-151.15611050925509"/>
    <n v="382"/>
    <n v="0"/>
  </r>
  <r>
    <s v="Cases &amp; Composites"/>
    <s v="MSG-230927-FA2DFA"/>
    <s v="Orlando Melendez Colon"/>
    <s v="Complete"/>
    <s v="Complete"/>
    <x v="0"/>
    <n v="1"/>
    <s v="23VC441"/>
    <s v="Repair-EA"/>
    <x v="1"/>
    <x v="3"/>
    <x v="5"/>
    <m/>
    <d v="2023-09-27T04:00:00"/>
    <d v="2023-10-27T04:00:00"/>
    <d v="2024-02-29T05:00:00"/>
    <x v="64"/>
    <d v="2024-03-01T02:04:54"/>
    <s v="feb"/>
    <m/>
    <m/>
    <m/>
    <m/>
    <s v=""/>
    <s v=""/>
    <n v="0"/>
    <n v="153.04166666667152"/>
    <n v="153.04166666667152"/>
    <n v="0"/>
    <n v="0"/>
    <n v="0"/>
    <n v="0"/>
    <n v="0"/>
    <n v="0"/>
    <n v="0"/>
    <n v="0"/>
    <n v="0"/>
    <n v="153.04166666667152"/>
    <n v="153.04166666667152"/>
    <n v="123.04166666667152"/>
    <n v="0"/>
  </r>
  <r>
    <s v="Cases &amp; Composites"/>
    <s v="CAS-196388-L0G1Y1"/>
    <s v="Tyler Abusbah"/>
    <s v="Complete"/>
    <s v="Resolved"/>
    <x v="0"/>
    <n v="1"/>
    <s v="23CCV05"/>
    <s v="Repair-EA"/>
    <x v="0"/>
    <x v="0"/>
    <x v="8"/>
    <m/>
    <d v="2023-10-26T16:14:39"/>
    <d v="2024-01-26T05:00:00"/>
    <d v="2024-06-20T04:00:00"/>
    <x v="65"/>
    <d v="2024-06-14T14:18:03"/>
    <s v="IDC. June"/>
    <d v="2024-01-23T05:00:00"/>
    <d v="2024-02-29T05:00:00"/>
    <d v="2024-02-29T05:00:00"/>
    <d v="2024-06-12T04:00:00"/>
    <n v="37"/>
    <n v="103.95833333332848"/>
    <n v="140.95833333332848"/>
    <n v="231.48982638888992"/>
    <n v="90.531493055561441"/>
    <n v="0"/>
    <n v="0"/>
    <n v="0"/>
    <n v="0"/>
    <n v="0"/>
    <n v="0"/>
    <n v="0"/>
    <n v="0"/>
    <n v="0"/>
    <n v="231.48982638888992"/>
    <n v="90.531493055561441"/>
    <n v="139.95833333332848"/>
    <n v="0"/>
  </r>
  <r>
    <s v="Cases &amp; Composites"/>
    <s v="CAS-197405-N1T5T8"/>
    <s v="Pedro Iturrino"/>
    <s v="Complete"/>
    <s v="Resolved"/>
    <x v="0"/>
    <n v="1"/>
    <s v="23KC614"/>
    <s v="Repair-EA"/>
    <x v="0"/>
    <x v="1"/>
    <x v="3"/>
    <m/>
    <d v="2023-11-06T16:06:30"/>
    <d v="2024-03-20T04:00:00"/>
    <d v="2024-04-26T04:00:00"/>
    <x v="66"/>
    <d v="2024-04-23T21:24:43"/>
    <s v="APR"/>
    <d v="2023-12-01T05:00:00"/>
    <d v="2024-02-01T05:00:00"/>
    <d v="2024-02-01T05:00:00"/>
    <d v="2024-03-22T04:00:00"/>
    <n v="62"/>
    <n v="49.958333333328483"/>
    <n v="111.95833333332848"/>
    <n v="168.49548611111095"/>
    <n v="56.537152777782467"/>
    <n v="0"/>
    <n v="0"/>
    <n v="0"/>
    <n v="0"/>
    <n v="0"/>
    <n v="20"/>
    <n v="0"/>
    <n v="0"/>
    <n v="20"/>
    <n v="148.49548611111095"/>
    <n v="36.537152777782467"/>
    <n v="34"/>
    <n v="0"/>
  </r>
  <r>
    <s v="Cases &amp; Composites"/>
    <s v="CAS-195198-G9T8C2"/>
    <s v="Orlando Melendez Colon"/>
    <s v="Complete"/>
    <s v="Resolved"/>
    <x v="0"/>
    <n v="1"/>
    <s v="23VG359"/>
    <s v="Repair-EA"/>
    <x v="0"/>
    <x v="3"/>
    <x v="5"/>
    <m/>
    <d v="2023-10-16T14:03:17"/>
    <d v="2024-03-13T04:00:00"/>
    <d v="2024-04-12T04:00:00"/>
    <x v="67"/>
    <d v="2024-04-10T00:33:46"/>
    <s v="Apr"/>
    <d v="2023-12-13T05:00:00"/>
    <d v="2024-01-19T05:00:00"/>
    <d v="2024-01-19T05:00:00"/>
    <d v="2024-04-04T04:00:00"/>
    <n v="37"/>
    <n v="75.958333333328483"/>
    <n v="112.95833333332848"/>
    <n v="175.58105324074131"/>
    <n v="62.622719907412829"/>
    <n v="0"/>
    <n v="0"/>
    <n v="0"/>
    <n v="0"/>
    <n v="0"/>
    <n v="22"/>
    <n v="0"/>
    <n v="0"/>
    <n v="22"/>
    <n v="153.58105324074131"/>
    <n v="40.622719907412829"/>
    <n v="27"/>
    <n v="0"/>
  </r>
  <r>
    <s v="Cases &amp; Composites"/>
    <s v="CAS-200911-V2N2B7"/>
    <s v="Jia Chen"/>
    <s v="Complete"/>
    <s v="Resolved"/>
    <x v="0"/>
    <n v="1"/>
    <s v="23KC658"/>
    <s v="Repair-EA"/>
    <x v="0"/>
    <x v="1"/>
    <x v="3"/>
    <m/>
    <d v="2023-12-11T23:39:09"/>
    <d v="2024-02-22T05:00:00"/>
    <d v="2024-02-22T05:00:00"/>
    <x v="68"/>
    <d v="2024-02-09T19:05:27"/>
    <s v="FEB2"/>
    <d v="2024-01-09T05:00:00"/>
    <d v="2024-01-10T05:00:00"/>
    <d v="2024-01-10T05:00:00"/>
    <d v="2024-02-07T05:00:00"/>
    <n v="1"/>
    <n v="28"/>
    <n v="29"/>
    <n v="59.222812500003783"/>
    <n v="30.222812500003783"/>
    <n v="0"/>
    <n v="0"/>
    <n v="0"/>
    <n v="0"/>
    <n v="0"/>
    <n v="0"/>
    <n v="0"/>
    <n v="0"/>
    <n v="0"/>
    <n v="59.222812500003783"/>
    <n v="30.222812500003783"/>
    <n v="-13"/>
    <n v="1"/>
  </r>
  <r>
    <s v="Cases &amp; Composites"/>
    <s v="CAS-200647-C0G3W2"/>
    <s v="Ferdin Mustafa"/>
    <s v="Complete"/>
    <s v="Resolved"/>
    <x v="0"/>
    <n v="1"/>
    <s v="24KC026"/>
    <s v="Repair-EA"/>
    <x v="0"/>
    <x v="1"/>
    <x v="3"/>
    <m/>
    <d v="2023-12-08T13:22:50"/>
    <d v="2024-03-08T05:00:00"/>
    <d v="2024-02-23T05:00:00"/>
    <x v="69"/>
    <d v="2024-01-26T16:04:13"/>
    <m/>
    <d v="2024-01-09T05:00:00"/>
    <d v="2024-01-09T05:00:00"/>
    <d v="2024-01-09T05:00:00"/>
    <d v="2024-01-09T05:00:00"/>
    <n v="0"/>
    <n v="0"/>
    <n v="0"/>
    <n v="48.650810185186856"/>
    <n v="48.650810185186856"/>
    <n v="0"/>
    <n v="0"/>
    <n v="0"/>
    <n v="0"/>
    <n v="0"/>
    <n v="0"/>
    <n v="0"/>
    <n v="0"/>
    <n v="0"/>
    <n v="48.650810185186856"/>
    <n v="48.650810185186856"/>
    <n v="-42"/>
    <n v="1"/>
  </r>
  <r>
    <s v="Cases &amp; Composites"/>
    <s v="MSG-240111-F5E3BB"/>
    <s v="Francisco Astiasaran"/>
    <s v="Complete"/>
    <s v="Complete"/>
    <x v="0"/>
    <n v="1"/>
    <s v="11CC131B"/>
    <s v="Repair-EA"/>
    <x v="1"/>
    <x v="0"/>
    <x v="7"/>
    <m/>
    <d v="2024-01-11T05:00:00"/>
    <d v="2024-04-15T04:00:00"/>
    <d v="2024-12-20T05:00:00"/>
    <x v="70"/>
    <d v="2024-12-19T19:13:28"/>
    <s v="DEC. Due to DesMet has concerns on the adhesive in 20CCK95A and 11CC131A, some additional validation and testing is needed to confirm tasks applicability. "/>
    <m/>
    <m/>
    <m/>
    <m/>
    <s v=""/>
    <s v=""/>
    <n v="0"/>
    <n v="343"/>
    <n v="343"/>
    <n v="0"/>
    <n v="0"/>
    <n v="0"/>
    <n v="0"/>
    <n v="0"/>
    <n v="0"/>
    <n v="0"/>
    <n v="111.80105909721897"/>
    <n v="111.80105909721897"/>
    <n v="231.19894090278103"/>
    <n v="231.19894090278103"/>
    <n v="248.04166666667152"/>
    <n v="0"/>
  </r>
  <r>
    <s v="Cases &amp; Composites"/>
    <s v="MSG-240117-BC4B80"/>
    <s v="Ferdin Mustafa"/>
    <s v="Complete"/>
    <s v="Complete"/>
    <x v="0"/>
    <n v="1"/>
    <s v="16CC311B"/>
    <s v="Repair-EA"/>
    <x v="2"/>
    <x v="0"/>
    <x v="8"/>
    <s v="75%"/>
    <d v="2024-01-17T05:00:00"/>
    <d v="2024-04-12T04:00:00"/>
    <d v="2025-02-07T05:00:00"/>
    <x v="71"/>
    <d v="2025-01-16T18:54:43"/>
    <s v="HPT Case"/>
    <m/>
    <m/>
    <m/>
    <m/>
    <s v=""/>
    <s v=""/>
    <n v="0"/>
    <n v="357"/>
    <n v="357"/>
    <n v="0"/>
    <n v="0"/>
    <n v="4.2837456828710856"/>
    <n v="0"/>
    <n v="0"/>
    <n v="0"/>
    <n v="0"/>
    <n v="0"/>
    <n v="4.2837456828710856"/>
    <n v="352.71625431712891"/>
    <n v="352.71625431712891"/>
    <n v="271.04166666667152"/>
    <n v="0"/>
  </r>
  <r>
    <s v="Cases &amp; Composites"/>
    <s v="CAS-202845-P9X0S6"/>
    <s v="Pedro Iturrino"/>
    <s v="Complete"/>
    <s v="Resolved"/>
    <x v="0"/>
    <n v="1"/>
    <s v="24CC671"/>
    <s v="Repair-EA"/>
    <x v="0"/>
    <x v="0"/>
    <x v="8"/>
    <m/>
    <d v="2024-01-04T21:33:06"/>
    <d v="2024-04-26T04:00:00"/>
    <d v="2024-05-31T04:00:00"/>
    <x v="72"/>
    <d v="2024-05-21T13:08:43"/>
    <s v="IDCMAY"/>
    <d v="2024-03-28T04:00:00"/>
    <d v="2024-04-22T04:00:00"/>
    <d v="2024-04-22T04:00:00"/>
    <d v="2024-04-28T04:00:00"/>
    <n v="25"/>
    <n v="6"/>
    <n v="31"/>
    <n v="136.26868055554951"/>
    <n v="105.26868055554951"/>
    <n v="0"/>
    <n v="0"/>
    <n v="0"/>
    <n v="0"/>
    <n v="0"/>
    <n v="20.037145474540011"/>
    <n v="0"/>
    <n v="0"/>
    <n v="20.037145474540011"/>
    <n v="116.2315350810095"/>
    <n v="85.231535081009497"/>
    <n v="24"/>
    <n v="0"/>
  </r>
  <r>
    <s v="Cases &amp; Composites"/>
    <s v="CAS-204477-B6P7F6"/>
    <s v="Pedro Iturrino"/>
    <s v="Complete"/>
    <s v="Resolved"/>
    <x v="0"/>
    <n v="1"/>
    <s v="24KC105"/>
    <s v="Repair-EA"/>
    <x v="0"/>
    <x v="1"/>
    <x v="3"/>
    <m/>
    <d v="2024-01-22T20:58:54"/>
    <d v="2024-06-14T04:00:00"/>
    <d v="2024-08-02T04:00:00"/>
    <x v="73"/>
    <d v="2024-07-25T19:12:25"/>
    <s v="July"/>
    <d v="2024-02-27T05:00:00"/>
    <d v="2024-05-13T04:00:00"/>
    <d v="2024-05-13T04:00:00"/>
    <d v="2024-06-26T04:00:00"/>
    <n v="75.958333333328483"/>
    <n v="44"/>
    <n v="119.95833333332848"/>
    <n v="184.2924305555498"/>
    <n v="64.334097222221317"/>
    <n v="0"/>
    <n v="0"/>
    <n v="0"/>
    <n v="0"/>
    <n v="0"/>
    <n v="49"/>
    <n v="3"/>
    <n v="0"/>
    <n v="52"/>
    <n v="132.2924305555498"/>
    <n v="12.334097222221317"/>
    <n v="41"/>
    <n v="0"/>
  </r>
  <r>
    <s v="Cases &amp; Composites"/>
    <s v="MSG-240209-739172"/>
    <s v="Jia Chen"/>
    <s v="Complete"/>
    <s v="Complete"/>
    <x v="0"/>
    <n v="1"/>
    <s v="23VC522A"/>
    <s v="Repair-EA"/>
    <x v="0"/>
    <x v="3"/>
    <x v="3"/>
    <m/>
    <d v="2024-02-09T05:00:00"/>
    <d v="2024-02-14T05:00:00"/>
    <d v="2024-02-20T05:00:00"/>
    <x v="74"/>
    <d v="2024-02-19T22:40:56"/>
    <m/>
    <m/>
    <m/>
    <m/>
    <m/>
    <s v=""/>
    <s v=""/>
    <n v="0"/>
    <n v="10"/>
    <n v="10"/>
    <n v="0"/>
    <n v="0"/>
    <n v="0"/>
    <n v="0"/>
    <n v="0"/>
    <n v="0"/>
    <n v="0"/>
    <n v="0"/>
    <n v="0"/>
    <n v="10"/>
    <n v="10"/>
    <n v="5"/>
    <n v="0"/>
  </r>
  <r>
    <s v="Cases &amp; Composites"/>
    <s v="CAS-206329-W3L9V4"/>
    <s v="Ferdin Mustafa"/>
    <s v="Complete"/>
    <s v="Resolved"/>
    <x v="0"/>
    <n v="1"/>
    <s v="24KC094"/>
    <s v="Repair-EA"/>
    <x v="0"/>
    <x v="1"/>
    <x v="1"/>
    <m/>
    <d v="2024-02-09T18:11:31"/>
    <d v="2024-04-11T04:00:00"/>
    <d v="2024-04-25T04:00:00"/>
    <x v="75"/>
    <d v="2024-04-24T13:23:26"/>
    <s v="Apr"/>
    <d v="2024-03-01T05:00:00"/>
    <d v="2024-03-04T05:00:00"/>
    <d v="2024-03-04T05:00:00"/>
    <d v="2024-03-28T04:00:00"/>
    <n v="3"/>
    <n v="23.958333333328483"/>
    <n v="26.958333333328483"/>
    <n v="69.408668981479423"/>
    <n v="42.45033564815094"/>
    <n v="0"/>
    <n v="0"/>
    <n v="0"/>
    <n v="0"/>
    <n v="0"/>
    <n v="0"/>
    <n v="0"/>
    <n v="6"/>
    <n v="6"/>
    <n v="63.408668981479423"/>
    <n v="36.45033564815094"/>
    <n v="8"/>
    <n v="0"/>
  </r>
  <r>
    <s v="Cases &amp; Composites"/>
    <s v="CAS-206596-R2J3W6"/>
    <s v="Robert Thompson"/>
    <s v="Complete"/>
    <s v="Resolved"/>
    <x v="0"/>
    <n v="1"/>
    <s v="24CC476"/>
    <s v="Repair-EA"/>
    <x v="2"/>
    <x v="0"/>
    <x v="0"/>
    <m/>
    <d v="2024-02-13T17:35:55"/>
    <d v="2024-05-20T04:00:00"/>
    <d v="2024-04-29T04:00:00"/>
    <x v="76"/>
    <d v="2024-04-29T13:58:33"/>
    <s v="Apr"/>
    <d v="2024-02-21T05:00:00"/>
    <d v="2024-02-26T05:00:00"/>
    <d v="2024-02-26T05:00:00"/>
    <d v="2024-03-08T05:00:00"/>
    <n v="5"/>
    <n v="11"/>
    <n v="16"/>
    <n v="71.43339120370365"/>
    <n v="55.43339120370365"/>
    <n v="0"/>
    <n v="0"/>
    <n v="0"/>
    <n v="0"/>
    <n v="0"/>
    <n v="0"/>
    <n v="0"/>
    <n v="0"/>
    <n v="0"/>
    <n v="71.43339120370365"/>
    <n v="55.43339120370365"/>
    <n v="-25"/>
    <n v="1"/>
  </r>
  <r>
    <s v="Cases &amp; Composites"/>
    <s v="MSG-240304-2C6BB7"/>
    <s v="Ferdin Mustafa"/>
    <s v="Complete"/>
    <s v="Complete"/>
    <x v="0"/>
    <n v="1"/>
    <s v="22KC638A"/>
    <s v="Repair-EA"/>
    <x v="0"/>
    <x v="1"/>
    <x v="1"/>
    <m/>
    <d v="2024-03-04T05:00:00"/>
    <d v="2024-04-05T04:00:00"/>
    <d v="2024-03-20T04:00:00"/>
    <x v="77"/>
    <d v="2024-03-28T12:33:31"/>
    <m/>
    <m/>
    <m/>
    <m/>
    <m/>
    <s v=""/>
    <s v=""/>
    <n v="0"/>
    <n v="16.958333333328483"/>
    <n v="16.958333333328483"/>
    <n v="0"/>
    <n v="0"/>
    <n v="0"/>
    <n v="0"/>
    <n v="0"/>
    <n v="0"/>
    <n v="0"/>
    <n v="0"/>
    <n v="0"/>
    <n v="16.958333333328483"/>
    <n v="16.958333333328483"/>
    <n v="-15"/>
    <n v="1"/>
  </r>
  <r>
    <s v="Cases &amp; Composites"/>
    <s v="CAS-208479-S9T6P8"/>
    <s v="Jia Chen"/>
    <s v="Complete"/>
    <s v="Resolved"/>
    <x v="0"/>
    <n v="1"/>
    <s v="22FC288B"/>
    <s v="Repair-EA"/>
    <x v="0"/>
    <x v="2"/>
    <x v="3"/>
    <m/>
    <d v="2024-03-04T16:19:03"/>
    <d v="2024-06-21T04:00:00"/>
    <d v="2024-05-21T04:00:00"/>
    <x v="78"/>
    <d v="2024-05-14T13:22:19"/>
    <s v="May"/>
    <d v="2024-04-01T04:00:00"/>
    <d v="2024-04-29T04:00:00"/>
    <d v="2024-04-29T04:00:00"/>
    <d v="2024-04-29T04:00:00"/>
    <n v="28"/>
    <n v="0"/>
    <n v="28"/>
    <n v="69.486770833333139"/>
    <n v="41.486770833333139"/>
    <n v="0"/>
    <n v="0"/>
    <n v="0"/>
    <n v="0"/>
    <n v="0"/>
    <n v="17"/>
    <n v="0"/>
    <n v="0"/>
    <n v="17"/>
    <n v="52.486770833333139"/>
    <n v="24.486770833333139"/>
    <n v="-39"/>
    <n v="1"/>
  </r>
  <r>
    <s v="Cases &amp; Composites"/>
    <s v="MSG-240126-5A47AC"/>
    <s v="Francisco Astiasaran"/>
    <s v="Complete"/>
    <s v="Complete"/>
    <x v="0"/>
    <n v="1"/>
    <s v="20CCK95C"/>
    <s v="Repair-EA"/>
    <x v="2"/>
    <x v="0"/>
    <x v="7"/>
    <m/>
    <d v="2024-01-26T05:00:00"/>
    <d v="2025-01-03T05:00:00"/>
    <d v="2025-01-13T05:00:00"/>
    <x v="79"/>
    <d v="2025-01-14T19:33:55"/>
    <s v="JAN. Utilize learning from 11CC131B to evaluate and substantiate 20CCK95 continued viability of subject DMC for applicability to GTFA models and parameters."/>
    <m/>
    <m/>
    <m/>
    <m/>
    <s v=""/>
    <s v=""/>
    <n v="0"/>
    <n v="354"/>
    <n v="354"/>
    <n v="0"/>
    <n v="0"/>
    <n v="0"/>
    <n v="0"/>
    <n v="0"/>
    <n v="0"/>
    <n v="0"/>
    <n v="121.97776807870832"/>
    <n v="121.97776807870832"/>
    <n v="232.02223192129168"/>
    <n v="232.02223192129168"/>
    <n v="11"/>
    <n v="0"/>
  </r>
  <r>
    <s v="Cases &amp; Composites"/>
    <n v="104240"/>
    <s v="Robert Thompson"/>
    <s v="Complete"/>
    <s v="Closed"/>
    <x v="0"/>
    <n v="1"/>
    <s v="24FC082"/>
    <s v="Repair-EA"/>
    <x v="1"/>
    <x v="2"/>
    <x v="3"/>
    <m/>
    <d v="2024-02-21T05:00:00"/>
    <d v="2024-05-31T04:00:00"/>
    <d v="2024-10-11T04:00:00"/>
    <x v="80"/>
    <d v="2024-09-27T18:10:01"/>
    <s v="Sept"/>
    <d v="2024-04-19T04:00:00"/>
    <d v="2024-05-02T04:00:00"/>
    <d v="2024-05-02T04:00:00"/>
    <d v="2024-07-10T04:00:00"/>
    <n v="13"/>
    <n v="69"/>
    <n v="82"/>
    <n v="218.95833333332848"/>
    <n v="136.95833333332848"/>
    <n v="0"/>
    <n v="0"/>
    <n v="0"/>
    <n v="0"/>
    <n v="0"/>
    <n v="0"/>
    <n v="0"/>
    <n v="0"/>
    <n v="0"/>
    <n v="218.95833333332848"/>
    <n v="136.95833333332848"/>
    <n v="119"/>
    <n v="0"/>
  </r>
  <r>
    <s v="Cases &amp; Composites"/>
    <s v="CAS-208608-D5H3S9"/>
    <s v="Orlando Melendez Colon"/>
    <s v="Complete"/>
    <s v="Resolved"/>
    <x v="0"/>
    <n v="1"/>
    <s v="24VG054"/>
    <s v="Repair-EA"/>
    <x v="0"/>
    <x v="3"/>
    <x v="5"/>
    <m/>
    <d v="2024-03-05T17:56:49"/>
    <d v="2024-03-20T04:00:00"/>
    <d v="2024-03-21T04:00:00"/>
    <x v="1"/>
    <d v="2024-03-21T18:29:11"/>
    <m/>
    <d v="2024-03-14T04:00:00"/>
    <d v="2024-03-14T04:00:00"/>
    <d v="2024-03-14T04:00:00"/>
    <d v="2024-03-14T04:00:00"/>
    <n v="0"/>
    <n v="0"/>
    <n v="0"/>
    <n v="13.418877314812562"/>
    <n v="13.418877314812562"/>
    <n v="0"/>
    <n v="0"/>
    <n v="0"/>
    <n v="0"/>
    <n v="0"/>
    <n v="0"/>
    <n v="0"/>
    <n v="0"/>
    <n v="0"/>
    <n v="13.418877314812562"/>
    <n v="13.418877314812562"/>
    <n v="-1"/>
    <n v="1"/>
  </r>
  <r>
    <s v="Cases &amp; Composites"/>
    <s v="CAS-208623-D6W7J1"/>
    <s v="Orlando Melendez Colon"/>
    <s v="Complete"/>
    <s v="Resolved"/>
    <x v="0"/>
    <n v="1"/>
    <s v="24VG055"/>
    <s v="Repair-EA"/>
    <x v="0"/>
    <x v="3"/>
    <x v="5"/>
    <m/>
    <d v="2024-03-05T20:06:54"/>
    <d v="2024-03-25T04:00:00"/>
    <d v="2024-03-25T04:00:00"/>
    <x v="81"/>
    <d v="2024-03-25T17:36:49"/>
    <s v="Mar"/>
    <d v="2024-03-14T04:00:00"/>
    <d v="2024-03-21T04:00:00"/>
    <d v="2024-03-21T04:00:00"/>
    <d v="2024-03-21T04:00:00"/>
    <n v="7"/>
    <n v="0"/>
    <n v="7"/>
    <n v="19.328541666662204"/>
    <n v="12.328541666662204"/>
    <n v="0"/>
    <n v="0"/>
    <n v="0"/>
    <n v="0"/>
    <n v="0"/>
    <n v="0"/>
    <n v="0"/>
    <n v="0"/>
    <n v="0"/>
    <n v="19.328541666662204"/>
    <n v="12.328541666662204"/>
    <n v="0"/>
    <n v="1"/>
  </r>
  <r>
    <s v="Cases &amp; Composites"/>
    <s v="CAS-209796-H6R0L6"/>
    <s v="Jia Chen"/>
    <s v="Complete"/>
    <s v="Resolved"/>
    <x v="0"/>
    <n v="1"/>
    <s v="24VC110"/>
    <s v="Repair-EA"/>
    <x v="0"/>
    <x v="3"/>
    <x v="5"/>
    <m/>
    <d v="2024-03-18T18:51:25"/>
    <d v="2024-08-14T04:00:00"/>
    <d v="2024-08-20T04:00:00"/>
    <x v="82"/>
    <d v="2024-08-16T15:37:41"/>
    <s v="Aug"/>
    <d v="2024-04-02T04:00:00"/>
    <d v="2024-04-16T04:00:00"/>
    <d v="2024-04-16T04:00:00"/>
    <d v="2024-07-12T04:00:00"/>
    <n v="14"/>
    <n v="87"/>
    <n v="101"/>
    <n v="149.38096064814454"/>
    <n v="48.380960648144537"/>
    <n v="0"/>
    <n v="0"/>
    <n v="0"/>
    <n v="0"/>
    <n v="0"/>
    <n v="0"/>
    <n v="0"/>
    <n v="0"/>
    <n v="0"/>
    <n v="149.38096064814454"/>
    <n v="48.380960648144537"/>
    <n v="1"/>
    <n v="0"/>
  </r>
  <r>
    <s v="Cases &amp; Composites"/>
    <s v="MSG-240126-167421"/>
    <s v="Ferdin Mustafa"/>
    <s v="Complete"/>
    <s v="Complete"/>
    <x v="0"/>
    <n v="1"/>
    <s v="24CCS07"/>
    <s v="Repair-EA"/>
    <x v="2"/>
    <x v="0"/>
    <x v="7"/>
    <m/>
    <d v="2024-01-26T05:00:00"/>
    <d v="2025-07-04T04:00:00"/>
    <d v="2025-01-17T05:00:00"/>
    <x v="83"/>
    <d v="2025-01-14T14:22:45"/>
    <s v="January - Task needs to be updated to latest PN....Add Evaluation and substantiation of subject DMCs for applicability to GTFA models and parameters. Ensure repairable limits are within requirements and evaluate options for limit expansion."/>
    <d v="2024-11-12T05:00:00"/>
    <d v="2024-11-22T05:00:00"/>
    <d v="2024-11-22T05:00:00"/>
    <d v="2024-12-20T05:00:00"/>
    <n v="10"/>
    <n v="28"/>
    <n v="38"/>
    <n v="353"/>
    <n v="315"/>
    <n v="0"/>
    <n v="0"/>
    <n v="7.208712650462985"/>
    <n v="0"/>
    <n v="29.728673784724378"/>
    <n v="0"/>
    <n v="0"/>
    <n v="6.0158679398155073"/>
    <n v="42.953254375002871"/>
    <n v="310.04674562499713"/>
    <n v="272.04674562499713"/>
    <n v="-171.95833333332848"/>
    <n v="1"/>
  </r>
  <r>
    <s v="Cases &amp; Composites"/>
    <s v="MSG-240126-C508DD"/>
    <s v="Bruce Zoyaar"/>
    <s v="Complete"/>
    <s v="Complete"/>
    <x v="0"/>
    <n v="1"/>
    <s v="19CCD54A"/>
    <s v="Repair-EA"/>
    <x v="2"/>
    <x v="0"/>
    <x v="7"/>
    <s v="75%"/>
    <d v="2024-01-26T05:00:00"/>
    <d v="2024-12-11T05:00:00"/>
    <d v="2025-01-14T05:00:00"/>
    <x v="84"/>
    <d v="2025-01-17T20:51:56"/>
    <s v="Task needs to be updated to latest PN....Add Evaluation and substantiation of subject DMCs for applicability to GTFA models and parameters. Ensure repairable limits are within requirements and evaluate options for limit expansion."/>
    <d v="2024-11-18T05:00:00"/>
    <d v="2024-11-22T05:00:00"/>
    <d v="2024-11-22T05:00:00"/>
    <d v="2024-12-20T05:00:00"/>
    <n v="4"/>
    <n v="28"/>
    <n v="32"/>
    <n v="357"/>
    <n v="325"/>
    <n v="0"/>
    <n v="0"/>
    <n v="0"/>
    <n v="0"/>
    <n v="0"/>
    <n v="0"/>
    <n v="0"/>
    <n v="0"/>
    <n v="0"/>
    <n v="357"/>
    <n v="325"/>
    <n v="37"/>
    <n v="0"/>
  </r>
  <r>
    <s v="Cases &amp; Composites"/>
    <s v="MSG-240126-DEECB9"/>
    <s v="Bruce Zoyaar"/>
    <s v="Complete"/>
    <s v="Complete"/>
    <x v="0"/>
    <n v="1"/>
    <s v="22CCD52C"/>
    <s v="Repair-EA"/>
    <x v="2"/>
    <x v="0"/>
    <x v="7"/>
    <m/>
    <d v="2024-01-26T05:00:00"/>
    <d v="2024-10-03T04:00:00"/>
    <d v="2025-01-28T05:00:00"/>
    <x v="84"/>
    <d v="2025-01-17T15:59:25"/>
    <s v="Evaluate and substantiate continued viability of subject DMCs for applicability to GTFA model and parameters. Ensure stack up allowances with GTFA config as well as repairable limits meet requirements. Evaluate options for limit expansion."/>
    <d v="2024-10-11T04:00:00"/>
    <d v="2024-11-07T05:00:00"/>
    <d v="2024-11-07T05:00:00"/>
    <d v="2025-01-10T05:00:00"/>
    <n v="27.041666666671517"/>
    <n v="64"/>
    <n v="91.041666666671517"/>
    <n v="357"/>
    <n v="265.95833333332848"/>
    <n v="0"/>
    <n v="0"/>
    <n v="0"/>
    <n v="0"/>
    <n v="0"/>
    <n v="72.15351572916552"/>
    <n v="0"/>
    <n v="0"/>
    <n v="72.15351572916552"/>
    <n v="284.84648427083448"/>
    <n v="193.80481760416296"/>
    <n v="106.04166666667152"/>
    <n v="0"/>
  </r>
  <r>
    <s v="Cases &amp; Composites"/>
    <n v="104973"/>
    <s v="Ferdin Mustafa"/>
    <s v="Complete"/>
    <s v="Closed"/>
    <x v="0"/>
    <n v="1"/>
    <s v="24FC099"/>
    <s v="Repair-EA"/>
    <x v="0"/>
    <x v="2"/>
    <x v="2"/>
    <m/>
    <d v="2024-03-27T04:00:00"/>
    <d v="2024-07-04T04:00:00"/>
    <d v="2024-07-04T04:00:00"/>
    <x v="85"/>
    <d v="2024-05-07T14:51:22"/>
    <s v="May"/>
    <d v="2024-04-12T04:00:00"/>
    <d v="2024-04-15T04:00:00"/>
    <d v="2024-04-15T04:00:00"/>
    <d v="2024-05-02T04:00:00"/>
    <n v="3"/>
    <n v="17"/>
    <n v="20"/>
    <n v="41"/>
    <n v="21"/>
    <n v="0"/>
    <n v="0"/>
    <n v="0"/>
    <n v="0"/>
    <n v="0"/>
    <n v="0"/>
    <n v="0"/>
    <n v="0"/>
    <n v="0"/>
    <n v="41"/>
    <n v="21"/>
    <n v="-58"/>
    <n v="1"/>
  </r>
  <r>
    <s v="Cases &amp; Composites"/>
    <s v="CAS-211414-N2Q5H9"/>
    <s v="Robert Thompson"/>
    <s v="Complete"/>
    <s v="Resolved"/>
    <x v="0"/>
    <n v="1"/>
    <s v="24KC233"/>
    <s v="Repair-EA"/>
    <x v="0"/>
    <x v="1"/>
    <x v="3"/>
    <m/>
    <d v="2024-04-04T16:19:02"/>
    <d v="2024-08-16T04:00:00"/>
    <d v="2024-08-16T04:00:00"/>
    <x v="86"/>
    <d v="2024-08-16T18:16:11"/>
    <s v="Customer is RSL"/>
    <d v="2024-04-24T04:00:00"/>
    <d v="2024-04-24T04:00:00"/>
    <d v="2024-04-24T04:00:00"/>
    <d v="2024-08-15T04:00:00"/>
    <n v="0"/>
    <n v="113"/>
    <n v="113"/>
    <n v="133.48678240740264"/>
    <n v="20.486782407402643"/>
    <n v="0"/>
    <n v="0"/>
    <n v="0"/>
    <n v="0"/>
    <n v="0"/>
    <n v="0"/>
    <n v="0"/>
    <n v="61"/>
    <n v="61"/>
    <n v="72.486782407402643"/>
    <n v="-40.513217592597357"/>
    <n v="0"/>
    <n v="1"/>
  </r>
  <r>
    <s v="Cases &amp; Composites"/>
    <s v="CAS-212102-W2X7S2"/>
    <s v="Ferdin Mustafa"/>
    <s v="Complete"/>
    <s v="Resolved"/>
    <x v="0"/>
    <n v="1"/>
    <s v="24FC168"/>
    <s v="Repair-EA"/>
    <x v="0"/>
    <x v="2"/>
    <x v="1"/>
    <m/>
    <d v="2024-04-11T17:03:32"/>
    <d v="2024-06-28T04:00:00"/>
    <d v="2024-10-17T04:00:00"/>
    <x v="87"/>
    <d v="2024-08-12T16:26:22"/>
    <s v="August - "/>
    <d v="2024-05-08T04:00:00"/>
    <d v="2024-06-07T04:00:00"/>
    <d v="2024-06-07T04:00:00"/>
    <d v="2024-07-30T04:00:00"/>
    <n v="30"/>
    <n v="53"/>
    <n v="83"/>
    <n v="122.455879629626"/>
    <n v="39.455879629625997"/>
    <n v="0"/>
    <n v="0"/>
    <n v="0"/>
    <n v="0"/>
    <n v="0"/>
    <n v="0"/>
    <n v="0"/>
    <n v="0"/>
    <n v="0"/>
    <n v="122.455879629626"/>
    <n v="39.455879629625997"/>
    <n v="45"/>
    <n v="0"/>
  </r>
  <r>
    <s v="Cases &amp; Composites"/>
    <s v="CAS-215012-B9K9Q1"/>
    <s v="Ferdin Mustafa"/>
    <s v="Complete"/>
    <s v="Resolved"/>
    <x v="0"/>
    <n v="1"/>
    <s v="24KC094A"/>
    <s v="Repair-EA"/>
    <x v="0"/>
    <x v="1"/>
    <x v="1"/>
    <s v="75%"/>
    <d v="2024-05-15T14:06:19"/>
    <d v="2024-07-05T04:00:00"/>
    <d v="2024-09-12T04:00:00"/>
    <x v="88"/>
    <d v="2024-07-05T18:34:27"/>
    <s v="July"/>
    <d v="2024-05-24T04:00:00"/>
    <d v="2024-05-29T04:00:00"/>
    <d v="2024-05-29T04:00:00"/>
    <d v="2024-05-29T04:00:00"/>
    <n v="5"/>
    <n v="0"/>
    <n v="5"/>
    <n v="47.578946759254904"/>
    <n v="42.578946759254904"/>
    <n v="0"/>
    <n v="0"/>
    <n v="0"/>
    <n v="0"/>
    <n v="0"/>
    <n v="0"/>
    <n v="0"/>
    <n v="0"/>
    <n v="0"/>
    <n v="47.578946759254904"/>
    <n v="42.578946759254904"/>
    <n v="-3"/>
    <n v="1"/>
  </r>
  <r>
    <s v="Cases &amp; Composites"/>
    <s v="CAS-215633-Q7N0D1"/>
    <s v="Jia Chen"/>
    <s v="Complete"/>
    <s v="Resolved"/>
    <x v="0"/>
    <n v="1"/>
    <s v="24KC305"/>
    <s v="Repair-EA"/>
    <x v="0"/>
    <x v="1"/>
    <x v="3"/>
    <s v="75%"/>
    <d v="2024-05-22T13:38:41"/>
    <d v="2024-06-04T04:00:00"/>
    <d v="2024-06-04T04:00:00"/>
    <x v="89"/>
    <d v="2024-05-31T20:46:12"/>
    <m/>
    <d v="2024-05-28T04:00:00"/>
    <d v="2024-05-30T04:00:00"/>
    <d v="2024-05-30T04:00:00"/>
    <d v="2024-05-30T04:00:00"/>
    <n v="2"/>
    <n v="0"/>
    <n v="2"/>
    <n v="8.5981365740735782"/>
    <n v="6.5981365740735782"/>
    <n v="3"/>
    <n v="0"/>
    <n v="0"/>
    <n v="0"/>
    <n v="1"/>
    <n v="0"/>
    <n v="0"/>
    <n v="0"/>
    <n v="4"/>
    <n v="4.5981365740735782"/>
    <n v="2.5981365740735782"/>
    <n v="-4"/>
    <n v="1"/>
  </r>
  <r>
    <s v="Cases &amp; Composites"/>
    <s v="CAS-217277-T8T4B2"/>
    <s v="Jia Chen"/>
    <s v="Complete"/>
    <s v="Resolved"/>
    <x v="0"/>
    <n v="1"/>
    <s v="24CCE90"/>
    <s v="Repair-EA"/>
    <x v="0"/>
    <x v="0"/>
    <x v="0"/>
    <s v="75%"/>
    <d v="2024-06-06T11:53:48"/>
    <d v="2024-07-16T04:00:00"/>
    <d v="2024-07-16T04:00:00"/>
    <x v="90"/>
    <d v="2024-07-08T14:53:06"/>
    <s v="July - DIFFUSER INNER CASE ASSEMBLY - W-SEAL PLASMA COAT REPAIR - 21CCM16B LIMIT EXTENSION"/>
    <d v="2024-06-21T04:00:00"/>
    <d v="2024-06-26T04:00:00"/>
    <d v="2024-06-26T04:00:00"/>
    <d v="2024-06-26T04:00:00"/>
    <n v="5"/>
    <n v="0"/>
    <n v="5"/>
    <n v="31.67097222222219"/>
    <n v="26.67097222222219"/>
    <n v="0"/>
    <n v="0"/>
    <n v="0"/>
    <n v="0"/>
    <n v="0"/>
    <n v="0"/>
    <n v="0"/>
    <n v="0"/>
    <n v="0"/>
    <n v="31.67097222222219"/>
    <n v="26.67097222222219"/>
    <n v="-8"/>
    <n v="1"/>
  </r>
  <r>
    <s v="Cases &amp; Composites"/>
    <s v="CAS-216555-R7G0Y8"/>
    <s v="Jia Chen"/>
    <s v="Complete"/>
    <s v="Resolved"/>
    <x v="0"/>
    <n v="1"/>
    <s v="24VCA13"/>
    <s v="Repair-EA"/>
    <x v="0"/>
    <x v="3"/>
    <x v="5"/>
    <s v="75%"/>
    <d v="2024-05-30T14:35:32"/>
    <d v="2024-08-07T04:00:00"/>
    <d v="2024-08-07T04:00:00"/>
    <x v="91"/>
    <d v="2024-07-30T21:06:32"/>
    <m/>
    <m/>
    <m/>
    <m/>
    <m/>
    <s v=""/>
    <s v=""/>
    <n v="0"/>
    <n v="60.558657407404098"/>
    <n v="60.558657407404098"/>
    <n v="0"/>
    <n v="0"/>
    <n v="0"/>
    <n v="0"/>
    <n v="0"/>
    <n v="0"/>
    <n v="0"/>
    <n v="0"/>
    <n v="0"/>
    <n v="60.558657407404098"/>
    <n v="60.558657407404098"/>
    <n v="-8"/>
    <n v="1"/>
  </r>
  <r>
    <s v="Cases &amp; Composites"/>
    <s v="CAS-218168-V0N1Y0"/>
    <s v="Robert Thompson"/>
    <s v="Complete"/>
    <s v="Resolved"/>
    <x v="0"/>
    <n v="1"/>
    <s v="24CCL61"/>
    <s v="Repair-EA"/>
    <x v="0"/>
    <x v="0"/>
    <x v="3"/>
    <s v="25%"/>
    <d v="2024-06-17T11:51:12"/>
    <d v="2024-07-31T04:00:00"/>
    <d v="2024-08-23T04:00:00"/>
    <x v="87"/>
    <d v="2024-08-12T21:13:26"/>
    <m/>
    <m/>
    <m/>
    <m/>
    <m/>
    <s v=""/>
    <s v=""/>
    <n v="0"/>
    <n v="55.67277777777781"/>
    <n v="55.67277777777781"/>
    <n v="0"/>
    <n v="0"/>
    <n v="0"/>
    <n v="0"/>
    <n v="0"/>
    <n v="0"/>
    <n v="0"/>
    <n v="0"/>
    <n v="0"/>
    <n v="55.67277777777781"/>
    <n v="55.67277777777781"/>
    <n v="12"/>
    <n v="0"/>
  </r>
  <r>
    <s v="Cases &amp; Composites"/>
    <s v="CAS-222485-Z2X4B1"/>
    <s v="James Evans"/>
    <s v="Complete"/>
    <s v="Resolved"/>
    <x v="0"/>
    <n v="1"/>
    <s v="24KC450"/>
    <s v="Repair-EA"/>
    <x v="0"/>
    <x v="1"/>
    <x v="3"/>
    <s v="75%"/>
    <d v="2024-07-27T16:10:35"/>
    <d v="2024-07-31T04:00:00"/>
    <d v="2024-07-31T04:00:00"/>
    <x v="92"/>
    <d v="2024-07-31T19:15:54"/>
    <m/>
    <m/>
    <m/>
    <m/>
    <m/>
    <s v=""/>
    <s v=""/>
    <n v="0"/>
    <n v="3.4926504629620467"/>
    <n v="3.4926504629620467"/>
    <n v="0"/>
    <n v="0"/>
    <n v="0"/>
    <n v="0"/>
    <n v="0"/>
    <n v="0"/>
    <n v="0"/>
    <n v="0"/>
    <n v="0"/>
    <n v="3.4926504629620467"/>
    <n v="3.4926504629620467"/>
    <n v="0"/>
    <n v="1"/>
  </r>
  <r>
    <s v="Cases &amp; Composites"/>
    <s v="MSG-240729-99B7C6"/>
    <s v="Ferdin Mustafa"/>
    <s v="Complete"/>
    <s v="Complete"/>
    <x v="0"/>
    <n v="1"/>
    <s v="19KC545A"/>
    <s v="Repair-EA"/>
    <x v="1"/>
    <x v="1"/>
    <x v="2"/>
    <s v="75%"/>
    <d v="2024-07-29T04:00:00"/>
    <d v="2024-08-21T04:00:00"/>
    <d v="2024-08-21T04:00:00"/>
    <x v="93"/>
    <d v="2024-08-23T14:25:59"/>
    <s v="August - ESTO requests EM alignment with QN rework"/>
    <d v="2024-07-30T04:00:00"/>
    <d v="2024-07-31T04:00:00"/>
    <d v="2024-07-31T04:00:00"/>
    <d v="2024-08-01T04:00:00"/>
    <n v="1"/>
    <n v="1"/>
    <n v="2"/>
    <n v="23"/>
    <n v="21"/>
    <n v="0"/>
    <n v="0"/>
    <n v="0"/>
    <n v="0"/>
    <n v="0"/>
    <n v="0"/>
    <n v="0"/>
    <n v="0"/>
    <n v="0"/>
    <n v="23"/>
    <n v="21"/>
    <n v="0"/>
    <n v="1"/>
  </r>
  <r>
    <s v="Cases &amp; Composites"/>
    <n v="107640"/>
    <s v="Ferdin Mustafa"/>
    <s v="Complete"/>
    <s v="Closed"/>
    <x v="0"/>
    <n v="1"/>
    <s v="24FC280"/>
    <s v="Repair-EA"/>
    <x v="0"/>
    <x v="2"/>
    <x v="2"/>
    <s v="75%"/>
    <d v="2024-08-13T04:00:00"/>
    <d v="2024-08-30T04:00:00"/>
    <d v="2024-08-30T04:00:00"/>
    <x v="94"/>
    <d v="2024-08-28T15:11:30"/>
    <s v="Similiar to 107422"/>
    <d v="2024-08-19T04:00:00"/>
    <d v="2024-08-19T04:00:00"/>
    <d v="2024-08-19T04:00:00"/>
    <d v="2024-08-19T04:00:00"/>
    <n v="0"/>
    <n v="0"/>
    <n v="0"/>
    <n v="15"/>
    <n v="15"/>
    <n v="0"/>
    <n v="0"/>
    <n v="0"/>
    <n v="0"/>
    <n v="0"/>
    <n v="0"/>
    <n v="0"/>
    <n v="0"/>
    <n v="0"/>
    <n v="15"/>
    <n v="15"/>
    <n v="-2"/>
    <n v="1"/>
  </r>
  <r>
    <s v="Cases &amp; Composites"/>
    <s v="CAS-226425-H0R7C4"/>
    <s v="Robert Thompson"/>
    <s v="Complete"/>
    <s v="Resolved"/>
    <x v="0"/>
    <n v="1"/>
    <s v="24KC539"/>
    <s v="Repair-EA"/>
    <x v="0"/>
    <x v="1"/>
    <x v="3"/>
    <m/>
    <d v="2024-09-04T18:50:28"/>
    <d v="2024-12-31T05:00:00"/>
    <d v="2024-09-27T04:00:00"/>
    <x v="40"/>
    <d v="2024-09-23T14:49:24"/>
    <m/>
    <d v="2024-09-19T04:00:00"/>
    <d v="2024-09-20T04:00:00"/>
    <d v="2024-09-20T04:00:00"/>
    <d v="2024-09-20T04:00:00"/>
    <n v="1"/>
    <n v="0"/>
    <n v="1"/>
    <n v="18.381620370368182"/>
    <n v="17.381620370368182"/>
    <n v="0"/>
    <n v="0"/>
    <n v="0"/>
    <n v="0"/>
    <n v="0"/>
    <n v="8"/>
    <n v="0"/>
    <n v="0"/>
    <n v="8"/>
    <n v="10.381620370368182"/>
    <n v="9.3816203703681822"/>
    <n v="-99.041666666671517"/>
    <n v="1"/>
  </r>
  <r>
    <s v="Cases &amp; Composites"/>
    <s v="CAS-228817-N8C0J4"/>
    <s v="Orlando Melendez Colon"/>
    <s v="Complete"/>
    <s v="Resolved"/>
    <x v="0"/>
    <n v="1"/>
    <s v="24VC323"/>
    <s v="Repair-EA"/>
    <x v="0"/>
    <x v="3"/>
    <x v="5"/>
    <m/>
    <d v="2024-09-26T03:01:15"/>
    <d v="2024-10-11T04:00:00"/>
    <d v="2024-10-11T04:00:00"/>
    <x v="95"/>
    <d v="2024-09-30T18:38:56"/>
    <m/>
    <d v="2024-09-27T04:00:00"/>
    <d v="2024-09-27T04:00:00"/>
    <d v="2024-09-27T04:00:00"/>
    <d v="2024-09-27T04:00:00"/>
    <n v="0"/>
    <n v="0"/>
    <n v="0"/>
    <n v="4.0407986111094942"/>
    <n v="4.0407986111094942"/>
    <n v="0"/>
    <n v="0"/>
    <n v="0"/>
    <n v="0"/>
    <n v="0"/>
    <n v="0"/>
    <n v="0"/>
    <n v="0"/>
    <n v="0"/>
    <n v="4.0407986111094942"/>
    <n v="4.0407986111094942"/>
    <n v="-11"/>
    <n v="1"/>
  </r>
  <r>
    <s v="Cases &amp; Composites"/>
    <s v="MSG-240614-A2F783"/>
    <s v="Francisco Astiasaran"/>
    <s v="Complete"/>
    <s v="Complete"/>
    <x v="0"/>
    <n v="1"/>
    <s v="24CCT44"/>
    <s v="Repair-EA"/>
    <x v="1"/>
    <x v="0"/>
    <x v="7"/>
    <s v="75%"/>
    <d v="2024-06-14T04:00:00"/>
    <d v="2024-11-28T05:00:00"/>
    <d v="2025-01-10T05:00:00"/>
    <x v="71"/>
    <d v="2025-01-08T19:20:38"/>
    <s v="DEC. Evaluate and substantiate continued viability of subject DMCs in CIR for applicability GTFA models and run parameters. Additionally ensure DMC is inline with latest ESW and that current inspection limits. Review See comments for guidance.."/>
    <d v="2024-11-06T05:00:00"/>
    <d v="2024-11-14T05:00:00"/>
    <d v="2024-11-14T05:00:00"/>
    <d v="2024-11-14T05:00:00"/>
    <n v="8"/>
    <n v="0"/>
    <n v="8"/>
    <n v="208.04166666667152"/>
    <n v="200.04166666667152"/>
    <n v="0"/>
    <n v="0"/>
    <n v="0"/>
    <n v="0"/>
    <n v="0"/>
    <n v="0"/>
    <n v="0"/>
    <n v="0"/>
    <n v="0"/>
    <n v="208.04166666667152"/>
    <n v="200.04166666667152"/>
    <n v="41"/>
    <n v="0"/>
  </r>
  <r>
    <s v="Cases &amp; Composites"/>
    <s v="CAS-234012-Z5V0Q5"/>
    <s v="Francisco Astiasaran"/>
    <s v="Complete"/>
    <s v="Resolved"/>
    <x v="0"/>
    <n v="1"/>
    <s v="08AC093D"/>
    <s v="Repair-EA"/>
    <x v="1"/>
    <x v="4"/>
    <x v="6"/>
    <s v="75%"/>
    <d v="2024-11-13T20:16:45"/>
    <d v="2025-01-29T05:00:00"/>
    <d v="2025-01-29T05:00:00"/>
    <x v="96"/>
    <d v="2025-01-30T17:00:41"/>
    <s v="Fan Blade Fairing"/>
    <m/>
    <m/>
    <m/>
    <m/>
    <s v=""/>
    <s v=""/>
    <n v="0"/>
    <n v="77.363368055557657"/>
    <n v="77.363368055557657"/>
    <n v="0"/>
    <n v="0"/>
    <n v="0"/>
    <n v="0"/>
    <n v="0"/>
    <n v="0"/>
    <n v="0"/>
    <n v="0"/>
    <n v="0"/>
    <n v="77.363368055557657"/>
    <n v="77.363368055557657"/>
    <n v="1"/>
    <n v="0"/>
  </r>
  <r>
    <s v="Cases &amp; Composites"/>
    <s v="MSG-241119-306769"/>
    <s v="Ferdin Mustafa"/>
    <s v="Complete"/>
    <s v="Complete"/>
    <x v="0"/>
    <n v="1"/>
    <s v="16CCD27A"/>
    <s v="Repair-EA"/>
    <x v="1"/>
    <x v="0"/>
    <x v="7"/>
    <m/>
    <d v="2024-11-19T05:00:00"/>
    <d v="2024-12-20T05:00:00"/>
    <d v="2025-01-21T05:00:00"/>
    <x v="79"/>
    <d v="2025-01-15T14:56:41"/>
    <s v="This REA was originally submitted as  Discretionary. Please Review convert to EM as necessary and add GTFA applicability evaluating the specific run parameters. Follow GTFA guidance see comments for more information "/>
    <m/>
    <m/>
    <m/>
    <m/>
    <s v=""/>
    <s v=""/>
    <n v="0"/>
    <n v="56"/>
    <n v="56"/>
    <n v="0"/>
    <n v="0"/>
    <n v="0"/>
    <n v="0"/>
    <n v="0"/>
    <n v="0"/>
    <n v="0"/>
    <n v="0"/>
    <n v="0"/>
    <n v="56"/>
    <n v="56"/>
    <n v="25"/>
    <n v="0"/>
  </r>
  <r>
    <s v="Cases &amp; Composites"/>
    <s v="MSG-241121-0491BB"/>
    <s v="Ferdin Mustafa"/>
    <s v="Complete"/>
    <s v="Complete"/>
    <x v="0"/>
    <n v="1"/>
    <s v="24KC492A"/>
    <s v="Repair-EA"/>
    <x v="0"/>
    <x v="1"/>
    <x v="4"/>
    <s v="75%"/>
    <d v="2024-11-21T05:00:00"/>
    <d v="2025-01-10T05:00:00"/>
    <d v="2025-01-15T05:00:00"/>
    <x v="97"/>
    <d v="2025-01-16T02:17:02"/>
    <s v="Crack discovered during post-cold work FPI from 24KC492.  Follow up to MERLIN 107652 (MSG-240814-317DA9)."/>
    <d v="2024-12-13T05:00:00"/>
    <d v="2025-01-02T05:00:00"/>
    <d v="2025-01-02T05:00:00"/>
    <d v="2025-01-08T05:00:00"/>
    <n v="20"/>
    <n v="6"/>
    <n v="26"/>
    <n v="49"/>
    <n v="23"/>
    <n v="0"/>
    <n v="3"/>
    <n v="0"/>
    <n v="0"/>
    <n v="0"/>
    <n v="0"/>
    <n v="0"/>
    <n v="0"/>
    <n v="3"/>
    <n v="46"/>
    <n v="20"/>
    <n v="-1"/>
    <n v="1"/>
  </r>
  <r>
    <s v="Cases &amp; Composites"/>
    <s v="MSG-241119-BA8EB9"/>
    <s v="Ferdin Mustafa"/>
    <s v="Complete"/>
    <s v="Complete"/>
    <x v="0"/>
    <n v="1"/>
    <s v="18CCL05D"/>
    <s v="Repair-EA"/>
    <x v="2"/>
    <x v="0"/>
    <x v="7"/>
    <s v="75%"/>
    <d v="2024-11-19T05:00:00"/>
    <d v="2024-12-23T05:00:00"/>
    <d v="2025-01-28T05:00:00"/>
    <x v="10"/>
    <d v="2025-01-28T14:09:46"/>
    <s v="This REA was originally submitted as  Discretionary. Please Review convert to EM as necessary and add GTFA applicability evaluating the specific run parameters. Follow GTFA guidance; see comments for more information "/>
    <d v="2024-12-04T05:00:00"/>
    <d v="2024-12-11T05:00:00"/>
    <d v="2024-12-11T05:00:00"/>
    <d v="2024-12-19T05:00:00"/>
    <n v="7"/>
    <n v="8"/>
    <n v="15"/>
    <n v="66"/>
    <n v="51"/>
    <n v="0"/>
    <n v="0"/>
    <n v="0"/>
    <n v="0"/>
    <n v="0"/>
    <n v="0"/>
    <n v="0"/>
    <n v="0"/>
    <n v="0"/>
    <n v="66"/>
    <n v="51"/>
    <n v="32"/>
    <n v="0"/>
  </r>
  <r>
    <s v="Cases &amp; Composites"/>
    <s v="MSG-241119-AA4CF4"/>
    <s v="Francisco Astiasaran"/>
    <s v="Complete"/>
    <s v="Complete"/>
    <x v="0"/>
    <n v="1"/>
    <s v="25CC142"/>
    <s v="Repair-EA"/>
    <x v="1"/>
    <x v="0"/>
    <x v="7"/>
    <m/>
    <d v="2024-11-19T05:00:00"/>
    <d v="2025-01-22T05:00:00"/>
    <d v="2025-01-29T05:00:00"/>
    <x v="98"/>
    <d v="2025-01-29T16:30:07"/>
    <s v="JAN-This task is to deactivate the subject EA. It was reviewed that this EA is not used by PWAA and as cosmetic repair it is not driven by any VIS. Therefore no need to extend applicability for GTFA Commonality; instead deactivate . Guidance provided"/>
    <m/>
    <m/>
    <m/>
    <m/>
    <s v=""/>
    <s v=""/>
    <n v="0"/>
    <n v="71"/>
    <n v="71"/>
    <n v="0"/>
    <n v="0"/>
    <n v="0"/>
    <n v="0"/>
    <n v="0"/>
    <n v="0"/>
    <n v="0"/>
    <n v="0"/>
    <n v="0"/>
    <n v="71"/>
    <n v="71"/>
    <n v="7"/>
    <n v="0"/>
  </r>
  <r>
    <s v="Cases &amp; Composites"/>
    <s v="MSG-250107-1B344E"/>
    <s v="Francisco Astiasaran"/>
    <s v="Complete"/>
    <s v="Complete"/>
    <x v="0"/>
    <n v="1"/>
    <s v="19CCQ82D"/>
    <s v="Repair-EA"/>
    <x v="3"/>
    <x v="0"/>
    <x v="7"/>
    <m/>
    <d v="2025-01-07T05:00:00"/>
    <d v="2025-01-30T05:00:00"/>
    <d v="2025-01-30T05:00:00"/>
    <x v="99"/>
    <d v="2025-01-28T21:04:20"/>
    <s v="JAN"/>
    <m/>
    <m/>
    <m/>
    <m/>
    <s v=""/>
    <s v=""/>
    <n v="0"/>
    <n v="21"/>
    <n v="21"/>
    <n v="0"/>
    <n v="0"/>
    <n v="0"/>
    <n v="0"/>
    <n v="0"/>
    <n v="0"/>
    <n v="0"/>
    <n v="0"/>
    <n v="0"/>
    <n v="21"/>
    <n v="21"/>
    <n v="-2"/>
    <n v="1"/>
  </r>
  <r>
    <s v="Cases &amp; Composites"/>
    <s v="MSG-ID-20230317140936967-878"/>
    <s v="Francisco Astiasaran"/>
    <s v="Complete"/>
    <s v="Complete"/>
    <x v="0"/>
    <n v="2"/>
    <s v="23CC984"/>
    <s v="Repair-EA"/>
    <x v="1"/>
    <x v="0"/>
    <x v="7"/>
    <m/>
    <d v="2023-03-17T04:00:00"/>
    <d v="2023-04-21T04:00:00"/>
    <d v="2025-02-07T05:00:00"/>
    <x v="100"/>
    <d v="2025-02-06T18:58:39"/>
    <s v="FEB - This task supports GTFA validation of Category 3B EM repairs to support AMM development.  Update and validate the subject DMC for GTFA applicability. PW1000G-C-72-11-03-00A-649A-D &amp; PW1000G-C-72-11-03-01A-649A-A Blend Leading Egde."/>
    <d v="2023-04-04T04:00:00"/>
    <d v="2023-05-15T04:00:00"/>
    <d v="2023-05-15T04:00:00"/>
    <d v="2024-10-31T04:00:00"/>
    <n v="41"/>
    <n v="535"/>
    <n v="576"/>
    <n v="692.04166666667152"/>
    <n v="116.04166666667152"/>
    <n v="0"/>
    <n v="0"/>
    <n v="0"/>
    <n v="0"/>
    <n v="0"/>
    <n v="25.01863765046437"/>
    <n v="401.08825248843641"/>
    <n v="0"/>
    <n v="426.10689013890078"/>
    <n v="265.93477652777074"/>
    <n v="-310.06522347222926"/>
    <n v="657.04166666667152"/>
    <n v="0"/>
  </r>
  <r>
    <s v="Cases &amp; Composites"/>
    <s v="CAS-180327-V7M4M0"/>
    <s v="Robert Thompson"/>
    <s v="Complete"/>
    <s v="Resolved"/>
    <x v="0"/>
    <n v="2"/>
    <s v="23FC181"/>
    <s v="Repair-EA"/>
    <x v="1"/>
    <x v="2"/>
    <x v="1"/>
    <m/>
    <d v="2023-05-16T17:26:09"/>
    <d v="2024-04-30T04:00:00"/>
    <d v="2024-06-07T04:00:00"/>
    <x v="101"/>
    <d v="2024-06-06T20:10:54"/>
    <s v="June"/>
    <m/>
    <m/>
    <m/>
    <m/>
    <s v=""/>
    <s v=""/>
    <n v="0"/>
    <n v="386.44017361111037"/>
    <n v="386.44017361111037"/>
    <n v="0"/>
    <n v="0"/>
    <n v="0"/>
    <n v="0"/>
    <n v="0"/>
    <n v="0"/>
    <n v="0"/>
    <n v="0"/>
    <n v="0"/>
    <n v="386.44017361111037"/>
    <n v="386.44017361111037"/>
    <n v="37"/>
    <n v="0"/>
  </r>
  <r>
    <s v="Cases &amp; Composites"/>
    <s v="CAS-182115-R9C4C5"/>
    <s v="Jia Chen"/>
    <s v="Complete"/>
    <s v="Resolved"/>
    <x v="0"/>
    <n v="2"/>
    <s v="22CCD52B"/>
    <s v="Repair-EA"/>
    <x v="2"/>
    <x v="0"/>
    <x v="8"/>
    <m/>
    <d v="2023-06-05T16:24:28"/>
    <d v="2023-09-08T04:00:00"/>
    <d v="2024-03-15T04:00:00"/>
    <x v="102"/>
    <d v="2024-03-12T15:14:26"/>
    <s v="TIC Inner. mar1"/>
    <d v="2023-06-29T04:00:00"/>
    <d v="2023-07-11T04:00:00"/>
    <d v="2023-07-11T04:00:00"/>
    <d v="2023-12-14T05:00:00"/>
    <n v="12"/>
    <n v="156.04166666667152"/>
    <n v="168.04166666667152"/>
    <n v="279.48300925926014"/>
    <n v="111.44134259258863"/>
    <n v="0"/>
    <n v="0"/>
    <n v="0"/>
    <n v="0"/>
    <n v="0"/>
    <n v="0"/>
    <n v="0"/>
    <n v="39.948579178242653"/>
    <n v="39.948579178242653"/>
    <n v="239.53443008101749"/>
    <n v="71.492763414345973"/>
    <n v="185"/>
    <n v="0"/>
  </r>
  <r>
    <s v="Cases &amp; Composites"/>
    <s v="CAS-181829-Z9G8R9"/>
    <s v="Orlando Melendez Colon"/>
    <s v="Complete"/>
    <s v="Resolved"/>
    <x v="0"/>
    <n v="2"/>
    <s v="24VG099"/>
    <s v="Repair-EA"/>
    <x v="1"/>
    <x v="3"/>
    <x v="5"/>
    <m/>
    <d v="2023-06-01T15:18:48"/>
    <d v="2023-11-30T05:00:00"/>
    <d v="2024-07-18T04:00:00"/>
    <x v="103"/>
    <d v="2024-07-18T03:30:27"/>
    <s v="July"/>
    <d v="2023-10-05T04:00:00"/>
    <d v="2023-12-15T05:00:00"/>
    <d v="2023-12-15T05:00:00"/>
    <d v="2023-12-15T05:00:00"/>
    <n v="71.041666666671517"/>
    <n v="0"/>
    <n v="71.041666666671517"/>
    <n v="405.52861111110542"/>
    <n v="334.4869444444339"/>
    <n v="0"/>
    <n v="0"/>
    <n v="0"/>
    <n v="0"/>
    <n v="0"/>
    <n v="0"/>
    <n v="0"/>
    <n v="0"/>
    <n v="0"/>
    <n v="405.52861111110542"/>
    <n v="334.4869444444339"/>
    <n v="223.95833333332848"/>
    <n v="0"/>
  </r>
  <r>
    <s v="Cases &amp; Composites"/>
    <s v="CAS-172261-Z6V4V1"/>
    <s v="Ferdin Mustafa"/>
    <s v="Complete"/>
    <s v="Resolved"/>
    <x v="0"/>
    <n v="2"/>
    <s v="23KC484"/>
    <s v="Repair-EA"/>
    <x v="0"/>
    <x v="1"/>
    <x v="3"/>
    <m/>
    <d v="2023-02-21T14:07:07"/>
    <d v="2023-10-20T04:00:00"/>
    <d v="2024-03-28T04:00:00"/>
    <x v="81"/>
    <d v="2024-03-25T18:27:35"/>
    <m/>
    <d v="2023-08-28T04:00:00"/>
    <d v="2023-10-30T04:00:00"/>
    <d v="2023-10-30T04:00:00"/>
    <d v="2023-11-17T05:00:00"/>
    <n v="63"/>
    <n v="18.041666666671517"/>
    <n v="81.041666666671517"/>
    <n v="397.57839120370045"/>
    <n v="316.53672453702893"/>
    <n v="0"/>
    <n v="0"/>
    <n v="0"/>
    <n v="0"/>
    <n v="0"/>
    <n v="0"/>
    <n v="0"/>
    <n v="47"/>
    <n v="47"/>
    <n v="350.57839120370045"/>
    <n v="269.53672453702893"/>
    <n v="157"/>
    <n v="0"/>
  </r>
  <r>
    <s v="Cases &amp; Composites"/>
    <s v="CAS-190971-Q1Q9K7"/>
    <s v="Ferdin Mustafa"/>
    <s v="Complete"/>
    <s v="Resolved"/>
    <x v="0"/>
    <n v="2"/>
    <s v="23KC618"/>
    <s v="Repair-EA"/>
    <x v="0"/>
    <x v="1"/>
    <x v="1"/>
    <m/>
    <d v="2023-09-04T08:48:35"/>
    <d v="2023-11-10T05:00:00"/>
    <d v="2024-02-16T05:00:00"/>
    <x v="68"/>
    <d v="2024-02-09T21:09:40"/>
    <s v="Feb1 KAL ESN P222242"/>
    <d v="2023-11-06T05:00:00"/>
    <d v="2023-12-08T05:00:00"/>
    <d v="2023-12-08T05:00:00"/>
    <d v="2023-12-18T05:00:00"/>
    <n v="32"/>
    <n v="10"/>
    <n v="42"/>
    <n v="157.84126157407445"/>
    <n v="115.84126157407445"/>
    <n v="0"/>
    <n v="0"/>
    <n v="0"/>
    <n v="0"/>
    <n v="0"/>
    <n v="0"/>
    <n v="0"/>
    <n v="0"/>
    <n v="0"/>
    <n v="157.84126157407445"/>
    <n v="115.84126157407445"/>
    <n v="91"/>
    <n v="0"/>
  </r>
  <r>
    <s v="Cases &amp; Composites"/>
    <s v="CAS-194339-S5F9B3"/>
    <s v="Pedro Iturrino"/>
    <s v="Complete"/>
    <s v="Resolved"/>
    <x v="0"/>
    <n v="2"/>
    <s v="23CCV00"/>
    <s v="Repair-EA"/>
    <x v="0"/>
    <x v="0"/>
    <x v="8"/>
    <m/>
    <d v="2023-10-06T19:48:22"/>
    <d v="2023-12-01T05:00:00"/>
    <d v="2024-01-26T05:00:00"/>
    <x v="104"/>
    <d v="2024-01-23T19:29:18"/>
    <s v="IDC - damage to pass through hole, blend repair"/>
    <d v="2023-11-08T05:00:00"/>
    <d v="2023-11-15T05:00:00"/>
    <d v="2023-11-15T05:00:00"/>
    <d v="2023-12-18T05:00:00"/>
    <n v="7"/>
    <n v="33"/>
    <n v="40"/>
    <n v="108.38307870370772"/>
    <n v="68.383078703707724"/>
    <n v="0"/>
    <n v="0"/>
    <n v="0"/>
    <n v="0"/>
    <n v="0"/>
    <n v="6.9467028356448282"/>
    <n v="0"/>
    <n v="0"/>
    <n v="6.9467028356448282"/>
    <n v="101.4363758680629"/>
    <n v="61.436375868062896"/>
    <n v="53"/>
    <n v="0"/>
  </r>
  <r>
    <s v="Cases &amp; Composites"/>
    <s v="CAS-197677-V0X2Q5"/>
    <s v="Ferdin Mustafa"/>
    <s v="Complete"/>
    <s v="Resolved"/>
    <x v="0"/>
    <n v="2"/>
    <s v="24FC074"/>
    <s v="Repair-EA"/>
    <x v="0"/>
    <x v="2"/>
    <x v="4"/>
    <m/>
    <d v="2023-11-08T12:44:34"/>
    <d v="2024-07-01T04:00:00"/>
    <d v="2024-09-24T04:00:00"/>
    <x v="105"/>
    <d v="2024-09-23T01:11:24"/>
    <s v="September"/>
    <d v="2024-03-01T05:00:00"/>
    <d v="2024-06-06T04:00:00"/>
    <d v="2024-06-06T04:00:00"/>
    <d v="2024-08-14T04:00:00"/>
    <n v="96.958333333328483"/>
    <n v="69"/>
    <n v="165.95833333332848"/>
    <n v="316.63571759258775"/>
    <n v="150.67738425925927"/>
    <n v="0"/>
    <n v="0"/>
    <n v="0"/>
    <n v="0"/>
    <n v="0"/>
    <n v="0"/>
    <n v="0"/>
    <n v="0"/>
    <n v="0"/>
    <n v="316.63571759258775"/>
    <n v="150.67738425925927"/>
    <n v="81"/>
    <n v="0"/>
  </r>
  <r>
    <s v="Cases &amp; Composites"/>
    <s v="CAS-202523-G9Q8M3"/>
    <s v="Robert Thompson"/>
    <s v="Complete"/>
    <s v="Resolved"/>
    <x v="0"/>
    <n v="2"/>
    <s v="24CC062"/>
    <s v="Repair-EA"/>
    <x v="0"/>
    <x v="0"/>
    <x v="0"/>
    <m/>
    <d v="2024-01-02T14:47:01"/>
    <d v="2024-01-19T05:00:00"/>
    <d v="2024-01-26T05:00:00"/>
    <x v="106"/>
    <d v="2024-01-25T20:09:03"/>
    <s v="Jan."/>
    <d v="2024-01-09T05:00:00"/>
    <d v="2024-01-24T05:00:00"/>
    <d v="2024-01-24T05:00:00"/>
    <d v="2024-01-24T05:00:00"/>
    <n v="15"/>
    <n v="0"/>
    <n v="15"/>
    <n v="22.59234953703708"/>
    <n v="7.5923495370370802"/>
    <n v="0"/>
    <n v="0"/>
    <n v="0"/>
    <n v="0"/>
    <n v="0"/>
    <n v="0"/>
    <n v="0"/>
    <n v="0"/>
    <n v="0"/>
    <n v="22.59234953703708"/>
    <n v="7.5923495370370802"/>
    <n v="6"/>
    <n v="0"/>
  </r>
  <r>
    <s v="Cases &amp; Composites"/>
    <n v="103225"/>
    <s v="Robert Thompson"/>
    <s v="Complete"/>
    <s v="Closed"/>
    <x v="0"/>
    <n v="2"/>
    <s v="24FC015"/>
    <s v="Repair-EA"/>
    <x v="0"/>
    <x v="2"/>
    <x v="3"/>
    <m/>
    <d v="2024-01-04T05:00:00"/>
    <d v="2024-01-26T05:00:00"/>
    <d v="2024-01-31T05:00:00"/>
    <x v="61"/>
    <d v="2024-01-31T16:28:33"/>
    <s v="Jan."/>
    <d v="2024-01-18T05:00:00"/>
    <d v="2024-01-26T05:00:00"/>
    <d v="2024-01-26T05:00:00"/>
    <d v="2024-01-30T05:00:00"/>
    <n v="8"/>
    <n v="4"/>
    <n v="12"/>
    <n v="27"/>
    <n v="15"/>
    <n v="0"/>
    <n v="0"/>
    <n v="0"/>
    <n v="0"/>
    <n v="0"/>
    <n v="0"/>
    <n v="0"/>
    <n v="0"/>
    <n v="0"/>
    <n v="27"/>
    <n v="15"/>
    <n v="5"/>
    <n v="0"/>
  </r>
  <r>
    <s v="Cases &amp; Composites"/>
    <s v="CAS-206116-K0B7Q4"/>
    <s v="Robert Thompson"/>
    <s v="Complete"/>
    <s v="Resolved"/>
    <x v="0"/>
    <n v="2"/>
    <s v="11KC492B"/>
    <s v="Repair-EA"/>
    <x v="3"/>
    <x v="1"/>
    <x v="3"/>
    <m/>
    <d v="2024-02-08T16:31:47"/>
    <d v="2024-03-27T04:00:00"/>
    <d v="2024-07-17T04:00:00"/>
    <x v="107"/>
    <d v="2024-07-16T14:54:08"/>
    <s v="July"/>
    <d v="2024-02-21T05:00:00"/>
    <d v="2024-05-14T04:00:00"/>
    <d v="2024-05-14T04:00:00"/>
    <d v="2024-05-24T04:00:00"/>
    <n v="82.958333333328483"/>
    <n v="10"/>
    <n v="92.958333333328483"/>
    <n v="158.47792824073986"/>
    <n v="65.519594907411374"/>
    <n v="0"/>
    <n v="0"/>
    <n v="0"/>
    <n v="0"/>
    <n v="0"/>
    <n v="0"/>
    <n v="0"/>
    <n v="0"/>
    <n v="0"/>
    <n v="158.47792824073986"/>
    <n v="65.519594907411374"/>
    <n v="111"/>
    <n v="0"/>
  </r>
  <r>
    <s v="Cases &amp; Composites"/>
    <s v="CAS-206442-C7V7T5"/>
    <s v="Robert Thompson"/>
    <s v="Complete"/>
    <s v="Resolved"/>
    <x v="0"/>
    <n v="2"/>
    <s v="11KC489C"/>
    <s v="Repair-EA"/>
    <x v="3"/>
    <x v="1"/>
    <x v="3"/>
    <m/>
    <d v="2024-02-12T15:49:18"/>
    <d v="2024-04-30T04:00:00"/>
    <d v="2024-04-19T04:00:00"/>
    <x v="108"/>
    <d v="2024-04-17T20:19:05"/>
    <s v="Apr"/>
    <d v="2024-02-21T05:00:00"/>
    <d v="2024-03-21T04:00:00"/>
    <d v="2024-03-21T04:00:00"/>
    <d v="2024-03-28T04:00:00"/>
    <n v="28.958333333328483"/>
    <n v="7"/>
    <n v="35.958333333328483"/>
    <n v="64.507430555553583"/>
    <n v="28.5490972222251"/>
    <n v="0"/>
    <n v="0"/>
    <n v="0"/>
    <n v="0"/>
    <n v="0"/>
    <n v="0"/>
    <n v="0"/>
    <n v="0"/>
    <n v="0"/>
    <n v="64.507430555553583"/>
    <n v="28.5490972222251"/>
    <n v="-13"/>
    <n v="1"/>
  </r>
  <r>
    <s v="Cases &amp; Composites"/>
    <s v="MSG-240126-610CF9"/>
    <s v="Dean Catlett"/>
    <s v="Complete"/>
    <s v="Complete"/>
    <x v="0"/>
    <n v="2"/>
    <s v="24CC830"/>
    <s v="Repair-EA"/>
    <x v="1"/>
    <x v="0"/>
    <x v="7"/>
    <m/>
    <d v="2024-01-26T05:00:00"/>
    <d v="2024-09-10T04:00:00"/>
    <d v="2024-09-10T04:00:00"/>
    <x v="109"/>
    <d v="2024-04-23T19:17:16"/>
    <s v="Evaluate and substantiate continued viability of subject DMCs for applicability to GTFA models and parameters. Ensure repairable limits are within requirements and evaluate options for limit expansion.  Update applicability from &quot;All&quot; to specific PNs"/>
    <m/>
    <m/>
    <m/>
    <m/>
    <s v=""/>
    <s v=""/>
    <n v="0"/>
    <n v="86.958333333328483"/>
    <n v="86.958333333328483"/>
    <n v="0"/>
    <n v="0"/>
    <n v="0"/>
    <n v="0"/>
    <n v="0"/>
    <n v="0"/>
    <n v="0"/>
    <n v="0"/>
    <n v="0"/>
    <n v="86.958333333328483"/>
    <n v="86.958333333328483"/>
    <n v="-141"/>
    <n v="1"/>
  </r>
  <r>
    <s v="Cases &amp; Composites"/>
    <s v="CAS-213038-Q3G4J1"/>
    <s v="Robert Thompson"/>
    <s v="Complete"/>
    <s v="Resolved"/>
    <x v="0"/>
    <n v="2"/>
    <s v="24CCB34"/>
    <s v="Repair-EA"/>
    <x v="0"/>
    <x v="0"/>
    <x v="8"/>
    <s v="75%"/>
    <d v="2024-04-22T14:27:09"/>
    <d v="2024-05-31T04:00:00"/>
    <d v="2024-05-30T04:00:00"/>
    <x v="110"/>
    <d v="2024-06-05T12:02:56"/>
    <s v="JuneFanR-Blade"/>
    <d v="2024-05-01T04:00:00"/>
    <d v="2024-05-02T04:00:00"/>
    <d v="2024-05-02T04:00:00"/>
    <d v="2024-05-23T04:00:00"/>
    <n v="1"/>
    <n v="21"/>
    <n v="22"/>
    <n v="42.564479166663659"/>
    <n v="20.564479166663659"/>
    <n v="0"/>
    <n v="0"/>
    <n v="0"/>
    <n v="0"/>
    <n v="0"/>
    <n v="0"/>
    <n v="0"/>
    <n v="0"/>
    <n v="0"/>
    <n v="42.564479166663659"/>
    <n v="20.564479166663659"/>
    <n v="4"/>
    <n v="0"/>
  </r>
  <r>
    <s v="Cases &amp; Composites"/>
    <n v="105640"/>
    <s v="Robert Thompson"/>
    <s v="Complete"/>
    <s v="Closed"/>
    <x v="0"/>
    <n v="2"/>
    <s v="24FC200"/>
    <s v="Repair-EA"/>
    <x v="3"/>
    <x v="2"/>
    <x v="2"/>
    <m/>
    <d v="2024-04-30T04:00:00"/>
    <d v="2024-05-30T04:00:00"/>
    <d v="2024-10-11T04:00:00"/>
    <x v="111"/>
    <d v="2024-10-02T18:49:46"/>
    <s v="Sept"/>
    <d v="2024-07-15T04:00:00"/>
    <d v="2024-07-16T04:00:00"/>
    <d v="2024-07-16T04:00:00"/>
    <d v="2024-08-15T04:00:00"/>
    <n v="1"/>
    <n v="30"/>
    <n v="31"/>
    <n v="154"/>
    <n v="123"/>
    <n v="0"/>
    <n v="0"/>
    <n v="0"/>
    <n v="0"/>
    <n v="0"/>
    <n v="0"/>
    <n v="0"/>
    <n v="0"/>
    <n v="0"/>
    <n v="154"/>
    <n v="123"/>
    <n v="124"/>
    <n v="0"/>
  </r>
  <r>
    <s v="Cases &amp; Composites"/>
    <s v="CAS-213975-N9Q9J4"/>
    <s v="Robert Thompson"/>
    <s v="Complete"/>
    <s v="Resolved"/>
    <x v="0"/>
    <n v="2"/>
    <s v="24KC307"/>
    <s v="Repair-EA"/>
    <x v="3"/>
    <x v="1"/>
    <x v="3"/>
    <s v="50%"/>
    <d v="2024-05-02T17:28:17"/>
    <d v="2024-07-25T04:00:00"/>
    <d v="2024-08-16T04:00:00"/>
    <x v="112"/>
    <d v="2024-08-14T12:25:40"/>
    <s v="August"/>
    <m/>
    <m/>
    <m/>
    <m/>
    <s v=""/>
    <s v=""/>
    <n v="0"/>
    <n v="102.43869212962454"/>
    <n v="102.43869212962454"/>
    <n v="0"/>
    <n v="0"/>
    <n v="0"/>
    <n v="0"/>
    <n v="0"/>
    <n v="0"/>
    <n v="0"/>
    <n v="0"/>
    <n v="0"/>
    <n v="102.43869212962454"/>
    <n v="102.43869212962454"/>
    <n v="19"/>
    <n v="0"/>
  </r>
  <r>
    <s v="Cases &amp; Composites"/>
    <s v="CAS-222213-Y6N0V6"/>
    <s v="Ferdin Mustafa"/>
    <s v="Complete"/>
    <s v="Resolved"/>
    <x v="0"/>
    <n v="2"/>
    <s v="24KC363A"/>
    <s v="Repair-EA"/>
    <x v="0"/>
    <x v="1"/>
    <x v="1"/>
    <s v="75%"/>
    <d v="2024-07-24T22:34:46"/>
    <d v="2024-09-13T04:00:00"/>
    <d v="2024-08-15T04:00:00"/>
    <x v="92"/>
    <d v="2024-07-31T19:56:22"/>
    <m/>
    <d v="2024-07-30T04:00:00"/>
    <d v="2024-07-30T04:00:00"/>
    <d v="2024-07-30T04:00:00"/>
    <d v="2024-07-30T04:00:00"/>
    <n v="0"/>
    <n v="0"/>
    <n v="0"/>
    <n v="6.2258564814765123"/>
    <n v="6.2258564814765123"/>
    <n v="0"/>
    <n v="0"/>
    <n v="0"/>
    <n v="0"/>
    <n v="0"/>
    <n v="0"/>
    <n v="0"/>
    <n v="0"/>
    <n v="0"/>
    <n v="6.2258564814765123"/>
    <n v="6.2258564814765123"/>
    <n v="-44"/>
    <n v="1"/>
  </r>
  <r>
    <s v="Cases &amp; Composites"/>
    <s v="MSG-240614-C81069"/>
    <s v="Ferdin Mustafa"/>
    <s v="Complete"/>
    <s v="Complete"/>
    <x v="0"/>
    <n v="2"/>
    <s v="24CCP24"/>
    <s v="Repair-EA"/>
    <x v="1"/>
    <x v="0"/>
    <x v="7"/>
    <m/>
    <d v="2024-06-14T04:00:00"/>
    <d v="2024-10-31T04:00:00"/>
    <d v="2024-10-31T04:00:00"/>
    <x v="113"/>
    <d v="2024-10-28T14:40:55"/>
    <s v="Evaluate and substantiate continued viability of subject DMCs in EMM for applicability GTFA models and run parameters. Where not applicable Process PSAF to change DMC# to be Base Specific. See comments for further instructions."/>
    <m/>
    <m/>
    <m/>
    <m/>
    <s v=""/>
    <s v=""/>
    <n v="0"/>
    <n v="136"/>
    <n v="136"/>
    <n v="0"/>
    <n v="0"/>
    <n v="0"/>
    <n v="0"/>
    <n v="0"/>
    <n v="0"/>
    <n v="0"/>
    <n v="0"/>
    <n v="0"/>
    <n v="136"/>
    <n v="136"/>
    <n v="-3"/>
    <n v="1"/>
  </r>
  <r>
    <s v="Cases &amp; Composites"/>
    <s v="MSG-250110-D57A6D"/>
    <s v="Francisco Astiasaran"/>
    <s v="Complete"/>
    <s v="Complete"/>
    <x v="0"/>
    <n v="2"/>
    <s v="25CC053"/>
    <s v="Repair-EA"/>
    <x v="1"/>
    <x v="0"/>
    <x v="7"/>
    <m/>
    <d v="2025-01-10T05:00:00"/>
    <d v="2025-01-27T05:00:00"/>
    <d v="2025-02-12T05:00:00"/>
    <x v="114"/>
    <d v="2025-02-12T13:40:49"/>
    <s v="FEB-Fan Blade PN 5331821"/>
    <d v="2025-01-14T05:00:00"/>
    <d v="2025-02-01T05:00:00"/>
    <d v="2025-02-01T05:00:00"/>
    <d v="2025-02-10T05:00:00"/>
    <n v="18"/>
    <n v="9"/>
    <n v="27"/>
    <n v="33"/>
    <n v="6"/>
    <n v="0"/>
    <n v="0"/>
    <n v="0"/>
    <n v="0"/>
    <n v="0"/>
    <n v="0"/>
    <n v="0"/>
    <n v="0"/>
    <n v="0"/>
    <n v="33"/>
    <n v="6"/>
    <n v="16"/>
    <n v="0"/>
  </r>
  <r>
    <s v="Cases &amp; Composites"/>
    <s v="CAS-148404-Q1L7D1"/>
    <s v="Ferdin Mustafa"/>
    <s v="Complete"/>
    <s v="Resolved"/>
    <x v="0"/>
    <n v="3"/>
    <s v="22CCH21"/>
    <s v="Repair-EA"/>
    <x v="1"/>
    <x v="5"/>
    <x v="4"/>
    <m/>
    <d v="2022-05-11T21:03:18"/>
    <d v="2022-12-20T05:00:00"/>
    <d v="2024-01-05T05:00:00"/>
    <x v="115"/>
    <d v="2024-01-08T12:59:14"/>
    <m/>
    <d v="2022-10-13T04:00:00"/>
    <d v="2023-03-23T04:00:00"/>
    <d v="2023-03-23T04:00:00"/>
    <d v="2023-08-29T04:00:00"/>
    <n v="161"/>
    <n v="159"/>
    <n v="320"/>
    <n v="603.33104166667181"/>
    <n v="283.33104166667181"/>
    <n v="0"/>
    <n v="0"/>
    <n v="0"/>
    <n v="0"/>
    <n v="0"/>
    <n v="0"/>
    <n v="0"/>
    <n v="0"/>
    <n v="0"/>
    <n v="603.33104166667181"/>
    <n v="283.33104166667181"/>
    <n v="381"/>
    <n v="0"/>
  </r>
  <r>
    <s v="Cases &amp; Composites"/>
    <s v="CAS-158869-Z5C9C5"/>
    <s v="James Evans"/>
    <s v="Complete"/>
    <s v="Resolved"/>
    <x v="0"/>
    <n v="3"/>
    <s v="17CCI96I"/>
    <s v="Repair-EA"/>
    <x v="1"/>
    <x v="0"/>
    <x v="8"/>
    <m/>
    <d v="2022-09-20T20:33:55"/>
    <d v="2022-11-29T05:00:00"/>
    <d v="2024-06-14T04:00:00"/>
    <x v="116"/>
    <d v="2024-06-14T17:48:52"/>
    <s v="FanR-Blade - CIR - Strip &amp; Reapply Polyurethane Erosion Coating"/>
    <m/>
    <m/>
    <m/>
    <m/>
    <s v=""/>
    <s v=""/>
    <n v="0"/>
    <n v="630.30978009258979"/>
    <n v="630.30978009258979"/>
    <n v="0"/>
    <n v="0"/>
    <n v="0"/>
    <n v="0"/>
    <n v="0"/>
    <n v="0"/>
    <n v="0"/>
    <n v="188.22325593749702"/>
    <n v="188.22325593749702"/>
    <n v="442.08652415509277"/>
    <n v="442.08652415509277"/>
    <n v="560.95833333332848"/>
    <n v="0"/>
  </r>
  <r>
    <s v="Cases &amp; Composites"/>
    <s v="CAS-167234-Z5N5X1"/>
    <s v="Pedro Iturrino"/>
    <s v="Complete"/>
    <s v="Resolved"/>
    <x v="0"/>
    <n v="3"/>
    <s v="23CC345"/>
    <s v="Repair-EA"/>
    <x v="0"/>
    <x v="0"/>
    <x v="8"/>
    <m/>
    <d v="2022-12-30T19:04:25"/>
    <d v="2023-04-28T04:00:00"/>
    <d v="2024-03-22T04:00:00"/>
    <x v="117"/>
    <d v="2024-03-22T16:16:38"/>
    <s v="IDC  MAR2"/>
    <d v="2023-03-23T04:00:00"/>
    <d v="2023-04-05T04:00:00"/>
    <d v="2023-04-05T04:00:00"/>
    <d v="2023-09-29T04:00:00"/>
    <n v="13"/>
    <n v="177"/>
    <n v="190"/>
    <n v="445.37193287036644"/>
    <n v="255.37193287036644"/>
    <n v="0"/>
    <n v="0"/>
    <n v="0"/>
    <n v="0"/>
    <n v="0"/>
    <n v="0"/>
    <n v="0"/>
    <n v="0.90879208333353745"/>
    <n v="0.90879208333353745"/>
    <n v="444.4631407870329"/>
    <n v="254.4631407870329"/>
    <n v="327"/>
    <n v="0"/>
  </r>
  <r>
    <s v="Cases &amp; Composites"/>
    <s v="CAS-176098-V4K5N6"/>
    <s v="Robert Thompson"/>
    <s v="Complete"/>
    <s v="Resolved"/>
    <x v="0"/>
    <n v="3"/>
    <s v="23FC158"/>
    <s v="Repair-EA"/>
    <x v="0"/>
    <x v="2"/>
    <x v="1"/>
    <m/>
    <d v="2023-03-30T20:13:18"/>
    <d v="2023-12-22T05:00:00"/>
    <d v="2024-01-31T05:00:00"/>
    <x v="118"/>
    <d v="2024-01-16T15:03:28"/>
    <s v="Jan."/>
    <d v="2023-06-13T04:00:00"/>
    <d v="2023-06-14T04:00:00"/>
    <d v="2023-06-14T04:00:00"/>
    <d v="2023-06-28T04:00:00"/>
    <n v="1"/>
    <n v="14"/>
    <n v="15"/>
    <n v="291.3657638888908"/>
    <n v="276.3657638888908"/>
    <n v="0"/>
    <n v="0"/>
    <n v="0"/>
    <n v="0"/>
    <n v="0"/>
    <n v="0"/>
    <n v="0"/>
    <n v="0"/>
    <n v="0"/>
    <n v="291.3657638888908"/>
    <n v="276.3657638888908"/>
    <n v="25"/>
    <n v="0"/>
  </r>
  <r>
    <s v="Cases &amp; Composites"/>
    <s v="MSG-ID-20230512123251010-172"/>
    <s v="Dean Catlett"/>
    <s v="Complete"/>
    <s v="Complete"/>
    <x v="0"/>
    <n v="3"/>
    <s v="23KC585"/>
    <s v="Repair-EA"/>
    <x v="0"/>
    <x v="1"/>
    <x v="1"/>
    <m/>
    <d v="2023-05-12T04:00:00"/>
    <d v="2023-12-01T05:00:00"/>
    <d v="2024-06-04T04:00:00"/>
    <x v="119"/>
    <d v="2024-05-02T14:39:09"/>
    <s v="S/N 9132. May 2024"/>
    <d v="2023-05-18T04:00:00"/>
    <d v="2024-04-23T04:00:00"/>
    <d v="2024-04-23T04:00:00"/>
    <d v="2024-04-23T04:00:00"/>
    <n v="341"/>
    <n v="0"/>
    <n v="341"/>
    <n v="355"/>
    <n v="14"/>
    <n v="0"/>
    <n v="0"/>
    <n v="0"/>
    <n v="0"/>
    <n v="0"/>
    <n v="0"/>
    <n v="0"/>
    <n v="0"/>
    <n v="0"/>
    <n v="355"/>
    <n v="14"/>
    <n v="151.95833333332848"/>
    <n v="0"/>
  </r>
  <r>
    <s v="Cases &amp; Composites"/>
    <s v="CAS-181701-Q2R9F0"/>
    <s v="Jia Chen"/>
    <s v="Complete"/>
    <s v="Active"/>
    <x v="0"/>
    <n v="3"/>
    <s v="23KC515"/>
    <s v="Repair-EA"/>
    <x v="0"/>
    <x v="1"/>
    <x v="3"/>
    <m/>
    <d v="2023-05-31T13:41:12"/>
    <d v="2023-12-12T05:00:00"/>
    <d v="2024-02-16T05:00:00"/>
    <x v="120"/>
    <d v="2024-02-12T18:48:11"/>
    <s v="FEB2"/>
    <d v="2023-11-30T05:00:00"/>
    <d v="2023-12-01T05:00:00"/>
    <d v="2023-12-01T05:00:00"/>
    <d v="2024-01-19T05:00:00"/>
    <n v="1"/>
    <n v="49"/>
    <n v="50"/>
    <n v="256.63805555555882"/>
    <n v="206.63805555555882"/>
    <n v="0"/>
    <n v="0"/>
    <n v="0"/>
    <n v="0"/>
    <n v="0"/>
    <n v="0"/>
    <n v="0"/>
    <n v="0"/>
    <n v="0"/>
    <n v="256.63805555555882"/>
    <n v="206.63805555555882"/>
    <n v="62"/>
    <n v="0"/>
  </r>
  <r>
    <s v="Cases &amp; Composites"/>
    <s v="CAS-181064-P9L4R0"/>
    <s v="Ferdin Mustafa"/>
    <s v="Complete"/>
    <s v="Resolved"/>
    <x v="0"/>
    <n v="3"/>
    <s v="23AC085"/>
    <s v="Repair-EA"/>
    <x v="1"/>
    <x v="4"/>
    <x v="6"/>
    <m/>
    <d v="2023-05-24T11:11:00"/>
    <d v="2023-12-01T05:00:00"/>
    <d v="2024-06-26T04:00:00"/>
    <x v="121"/>
    <d v="2024-06-11T13:00:02"/>
    <s v="June"/>
    <d v="2023-09-14T04:00:00"/>
    <d v="2023-09-18T04:00:00"/>
    <d v="2023-09-18T04:00:00"/>
    <d v="2024-01-31T05:00:00"/>
    <n v="4"/>
    <n v="135.04166666667152"/>
    <n v="139.04166666667152"/>
    <n v="382.7006944444438"/>
    <n v="243.65902777777228"/>
    <n v="0"/>
    <n v="0"/>
    <n v="0"/>
    <n v="0"/>
    <n v="0"/>
    <n v="0"/>
    <n v="0"/>
    <n v="0"/>
    <n v="0"/>
    <n v="382.7006944444438"/>
    <n v="243.65902777777228"/>
    <n v="191.95833333332848"/>
    <n v="0"/>
  </r>
  <r>
    <s v="Cases &amp; Composites"/>
    <s v="CAS-205524-P7J8N0"/>
    <s v="Robert Thompson"/>
    <s v="Complete"/>
    <s v="Resolved"/>
    <x v="0"/>
    <n v="3"/>
    <s v="20CC974B"/>
    <s v="Repair-EA"/>
    <x v="1"/>
    <x v="0"/>
    <x v="8"/>
    <m/>
    <d v="2024-02-01T18:42:09"/>
    <d v="2024-04-12T04:00:00"/>
    <d v="2024-04-05T04:00:00"/>
    <x v="122"/>
    <d v="2024-04-05T13:37:06"/>
    <s v="AprFanR-Cone"/>
    <m/>
    <m/>
    <m/>
    <m/>
    <s v=""/>
    <s v=""/>
    <n v="0"/>
    <n v="63.387395833327901"/>
    <n v="63.387395833327901"/>
    <n v="0"/>
    <n v="0"/>
    <n v="0"/>
    <n v="0"/>
    <n v="0"/>
    <n v="0"/>
    <n v="0"/>
    <n v="0"/>
    <n v="0"/>
    <n v="63.387395833327901"/>
    <n v="63.387395833327901"/>
    <n v="-7"/>
    <n v="1"/>
  </r>
  <r>
    <s v="Cases &amp; Composites"/>
    <s v="CAS-208502-H9D6S5"/>
    <s v="Robert Thompson"/>
    <s v="Complete"/>
    <s v="Resolved"/>
    <x v="0"/>
    <n v="3"/>
    <s v="24KC209"/>
    <s v="Repair-EA"/>
    <x v="0"/>
    <x v="1"/>
    <x v="3"/>
    <m/>
    <d v="2024-03-04T20:24:03"/>
    <d v="2024-04-29T04:00:00"/>
    <d v="2024-05-03T04:00:00"/>
    <x v="123"/>
    <d v="2024-05-02T20:54:38"/>
    <s v="May"/>
    <m/>
    <m/>
    <m/>
    <m/>
    <s v=""/>
    <s v=""/>
    <n v="0"/>
    <n v="58.316631944442634"/>
    <n v="58.316631944442634"/>
    <n v="0"/>
    <n v="0"/>
    <n v="0"/>
    <n v="0"/>
    <n v="0"/>
    <n v="0"/>
    <n v="0"/>
    <n v="0"/>
    <n v="0"/>
    <n v="58.316631944442634"/>
    <n v="58.316631944442634"/>
    <n v="3"/>
    <n v="0"/>
  </r>
  <r>
    <s v="Cases &amp; Composites"/>
    <s v="CAS-218301-W4D3W8"/>
    <s v="Ferdin Mustafa"/>
    <s v="Complete"/>
    <s v="Resolved"/>
    <x v="0"/>
    <n v="3"/>
    <s v="24KC363"/>
    <s v="Repair-EA"/>
    <x v="0"/>
    <x v="1"/>
    <x v="1"/>
    <s v="75%"/>
    <d v="2024-06-17T15:06:06"/>
    <d v="2024-10-07T04:00:00"/>
    <d v="2024-10-07T04:00:00"/>
    <x v="3"/>
    <d v="2024-07-19T14:48:42"/>
    <s v="July"/>
    <d v="2024-06-27T04:00:00"/>
    <d v="2024-06-27T04:00:00"/>
    <d v="2024-06-27T04:00:00"/>
    <d v="2024-06-27T04:00:00"/>
    <n v="0"/>
    <n v="0"/>
    <n v="0"/>
    <n v="30.537430555552419"/>
    <n v="30.537430555552419"/>
    <n v="0"/>
    <n v="0"/>
    <n v="0"/>
    <n v="0"/>
    <n v="0"/>
    <n v="0"/>
    <n v="0"/>
    <n v="0"/>
    <n v="0"/>
    <n v="30.537430555552419"/>
    <n v="30.537430555552419"/>
    <n v="-81"/>
    <n v="1"/>
  </r>
  <r>
    <s v="Cases &amp; Composites"/>
    <s v="CAS-257437-S8R2J4"/>
    <s v="Joshua Desjardins"/>
    <s v="Complete"/>
    <s v="Resolved"/>
    <x v="0"/>
    <n v="3"/>
    <s v="25AC108"/>
    <s v="Repair-EA"/>
    <x v="3"/>
    <x v="4"/>
    <x v="6"/>
    <m/>
    <d v="2025-07-01T12:51:10"/>
    <d v="2025-07-15T04:00:00"/>
    <d v="2025-07-15T04:00:00"/>
    <x v="124"/>
    <d v="2025-07-09T18:28:50"/>
    <s v="DR# 02201923"/>
    <m/>
    <m/>
    <m/>
    <m/>
    <s v=""/>
    <s v=""/>
    <n v="0"/>
    <n v="6.6311342592598521"/>
    <n v="6.6311342592598521"/>
    <n v="0"/>
    <n v="0"/>
    <n v="0"/>
    <n v="0"/>
    <n v="0"/>
    <n v="0"/>
    <n v="0"/>
    <n v="0"/>
    <n v="0"/>
    <n v="6.6311342592598521"/>
    <n v="6.6311342592598521"/>
    <n v="-7"/>
    <n v="1"/>
  </r>
  <r>
    <s v="Cases &amp; Composites"/>
    <n v="100872"/>
    <s v="Jia Chen"/>
    <s v="Complete"/>
    <s v="Closed"/>
    <x v="0"/>
    <n v="4"/>
    <s v="23FC119A"/>
    <s v="Repair-EA"/>
    <x v="0"/>
    <x v="2"/>
    <x v="3"/>
    <m/>
    <d v="2023-08-31T04:00:00"/>
    <d v="2023-12-22T05:00:00"/>
    <d v="2024-02-28T05:00:00"/>
    <x v="125"/>
    <d v="2024-02-16T19:45:07"/>
    <s v="FEB2"/>
    <d v="2023-09-07T04:00:00"/>
    <d v="2023-09-15T04:00:00"/>
    <d v="2023-09-15T04:00:00"/>
    <d v="2024-02-14T05:00:00"/>
    <n v="8"/>
    <n v="152.04166666667152"/>
    <n v="160.04166666667152"/>
    <n v="169.04166666667152"/>
    <n v="9"/>
    <n v="0"/>
    <n v="0"/>
    <n v="0"/>
    <n v="0"/>
    <n v="0"/>
    <n v="0"/>
    <n v="0"/>
    <n v="0"/>
    <n v="0"/>
    <n v="169.04166666667152"/>
    <n v="9"/>
    <n v="56"/>
    <n v="0"/>
  </r>
  <r>
    <s v="Cases &amp; Composites"/>
    <s v="CAS-181836-T9D3S7"/>
    <s v="Ferdin Mustafa"/>
    <s v="Complete"/>
    <s v="Resolved"/>
    <x v="0"/>
    <n v="4"/>
    <s v="23KC529"/>
    <s v="Repair-EA"/>
    <x v="0"/>
    <x v="1"/>
    <x v="3"/>
    <m/>
    <d v="2023-06-01T16:20:49"/>
    <d v="2023-12-08T05:00:00"/>
    <d v="2024-01-31T05:00:00"/>
    <x v="126"/>
    <d v="2024-01-30T18:31:18"/>
    <m/>
    <d v="2023-10-03T04:00:00"/>
    <d v="2023-11-09T05:00:00"/>
    <d v="2023-11-09T05:00:00"/>
    <d v="2023-12-21T05:00:00"/>
    <n v="37.041666666671517"/>
    <n v="42"/>
    <n v="79.041666666671517"/>
    <n v="242.52721064814978"/>
    <n v="163.48554398147826"/>
    <n v="0"/>
    <n v="0"/>
    <n v="0"/>
    <n v="0"/>
    <n v="0"/>
    <n v="0"/>
    <n v="0"/>
    <n v="0"/>
    <n v="0"/>
    <n v="242.52721064814978"/>
    <n v="163.48554398147826"/>
    <n v="53"/>
    <n v="0"/>
  </r>
  <r>
    <s v="Cases &amp; Composites"/>
    <s v="CAS-190843-V6S2C0"/>
    <s v="Pedro Iturrino"/>
    <s v="Complete"/>
    <s v="Resolved"/>
    <x v="0"/>
    <n v="4"/>
    <s v="23KC580"/>
    <s v="Repair-EA"/>
    <x v="0"/>
    <x v="1"/>
    <x v="3"/>
    <m/>
    <d v="2023-09-06T20:09:32"/>
    <d v="2024-01-26T05:00:00"/>
    <d v="2024-03-08T05:00:00"/>
    <x v="127"/>
    <d v="2024-03-01T10:45:48"/>
    <s v="FEB2"/>
    <d v="2023-11-14T05:00:00"/>
    <d v="2023-11-27T05:00:00"/>
    <d v="2023-11-27T05:00:00"/>
    <d v="2023-11-30T05:00:00"/>
    <n v="13"/>
    <n v="3"/>
    <n v="16"/>
    <n v="175.36837962963182"/>
    <n v="159.36837962963182"/>
    <n v="0"/>
    <n v="0"/>
    <n v="0"/>
    <n v="0"/>
    <n v="0"/>
    <n v="0"/>
    <n v="0"/>
    <n v="0"/>
    <n v="0"/>
    <n v="175.36837962963182"/>
    <n v="159.36837962963182"/>
    <n v="34"/>
    <n v="0"/>
  </r>
  <r>
    <s v="Cases &amp; Composites"/>
    <s v="CAS-195500-B7Q3X4"/>
    <s v="Jia Chen"/>
    <s v="Complete"/>
    <s v="Resolved"/>
    <x v="0"/>
    <n v="4"/>
    <s v="23FC329"/>
    <s v="Repair-EA"/>
    <x v="3"/>
    <x v="2"/>
    <x v="3"/>
    <m/>
    <d v="2023-10-18T13:57:43"/>
    <d v="2024-02-16T05:00:00"/>
    <d v="2024-02-16T05:00:00"/>
    <x v="128"/>
    <d v="2024-02-07T15:11:05"/>
    <s v="FEB1"/>
    <d v="2023-11-17T05:00:00"/>
    <d v="2023-12-21T05:00:00"/>
    <d v="2023-12-21T05:00:00"/>
    <d v="2023-12-21T05:00:00"/>
    <n v="34"/>
    <n v="0"/>
    <n v="34"/>
    <n v="111.62658564814774"/>
    <n v="77.626585648147739"/>
    <n v="0"/>
    <n v="0"/>
    <n v="0"/>
    <n v="0"/>
    <n v="0"/>
    <n v="4"/>
    <n v="0"/>
    <n v="0"/>
    <n v="4"/>
    <n v="107.62658564814774"/>
    <n v="73.626585648147739"/>
    <n v="-9"/>
    <n v="1"/>
  </r>
  <r>
    <s v="Cases &amp; Composites"/>
    <s v="CAS-196510-G0K6B8"/>
    <s v="Robert Thompson"/>
    <s v="Complete"/>
    <s v="Resolved"/>
    <x v="0"/>
    <n v="4"/>
    <s v="22CCG93B"/>
    <s v="Repair-EA"/>
    <x v="1"/>
    <x v="0"/>
    <x v="0"/>
    <m/>
    <d v="2023-10-27T12:27:19"/>
    <d v="2024-02-16T05:00:00"/>
    <d v="2024-03-22T04:00:00"/>
    <x v="129"/>
    <d v="2024-03-25T13:15:15"/>
    <s v="Mar2"/>
    <d v="2023-12-01T05:00:00"/>
    <d v="2024-03-07T05:00:00"/>
    <d v="2024-03-07T05:00:00"/>
    <d v="2024-03-07T05:00:00"/>
    <n v="97"/>
    <n v="0"/>
    <n v="97"/>
    <n v="146.64769675925345"/>
    <n v="49.647696759253449"/>
    <n v="0"/>
    <n v="0"/>
    <n v="0"/>
    <n v="0"/>
    <n v="0"/>
    <n v="23.089565879628935"/>
    <n v="0"/>
    <n v="0"/>
    <n v="23.089565879628935"/>
    <n v="123.55813087962451"/>
    <n v="26.558130879624514"/>
    <n v="34.958333333328483"/>
    <n v="0"/>
  </r>
  <r>
    <s v="Cases &amp; Composites"/>
    <s v="CAS-196528-T0G2Y5"/>
    <s v="Orlando Melendez Colon"/>
    <s v="Complete"/>
    <s v="Resolved"/>
    <x v="0"/>
    <n v="4"/>
    <s v="23VC493"/>
    <s v="Repair-EA"/>
    <x v="0"/>
    <x v="3"/>
    <x v="5"/>
    <m/>
    <d v="2023-10-27T14:43:02"/>
    <d v="2024-01-19T05:00:00"/>
    <d v="2024-05-24T04:00:00"/>
    <x v="130"/>
    <d v="2024-05-20T16:34:30"/>
    <s v="May"/>
    <d v="2023-12-13T05:00:00"/>
    <d v="2023-12-22T05:00:00"/>
    <d v="2023-12-22T05:00:00"/>
    <d v="2023-12-22T05:00:00"/>
    <n v="9"/>
    <n v="0"/>
    <n v="9"/>
    <n v="195.55344907406834"/>
    <n v="186.55344907406834"/>
    <n v="0"/>
    <n v="0"/>
    <n v="0"/>
    <n v="0"/>
    <n v="0"/>
    <n v="0"/>
    <n v="0"/>
    <n v="38"/>
    <n v="38"/>
    <n v="157.55344907406834"/>
    <n v="148.55344907406834"/>
    <n v="111.95833333332848"/>
    <n v="0"/>
  </r>
  <r>
    <s v="Cases &amp; Composites"/>
    <s v="CAS-195545-R6V4J5"/>
    <s v="Ferdin Mustafa"/>
    <s v="Complete"/>
    <s v="Resolved"/>
    <x v="0"/>
    <n v="4"/>
    <s v="23KC652"/>
    <s v="Repair-EA"/>
    <x v="0"/>
    <x v="1"/>
    <x v="4"/>
    <m/>
    <d v="2023-10-19T10:44:59"/>
    <d v="2024-01-12T05:00:00"/>
    <d v="2024-01-31T05:00:00"/>
    <x v="30"/>
    <d v="2024-01-22T21:46:28"/>
    <m/>
    <d v="2023-11-01T04:00:00"/>
    <d v="2023-12-11T05:00:00"/>
    <d v="2023-12-11T05:00:00"/>
    <d v="2024-01-08T05:00:00"/>
    <n v="40.041666666671517"/>
    <n v="28"/>
    <n v="68.041666666671517"/>
    <n v="94.760428240741021"/>
    <n v="26.718761574069504"/>
    <n v="0"/>
    <n v="0"/>
    <n v="0"/>
    <n v="0"/>
    <n v="0"/>
    <n v="7"/>
    <n v="0"/>
    <n v="0"/>
    <n v="7"/>
    <n v="87.760428240741021"/>
    <n v="19.718761574069504"/>
    <n v="10"/>
    <n v="0"/>
  </r>
  <r>
    <s v="Cases &amp; Composites"/>
    <s v="CAS-197681-M2J4H7"/>
    <s v="Ferdin Mustafa"/>
    <s v="Complete"/>
    <s v="Resolved"/>
    <x v="0"/>
    <n v="4"/>
    <s v="24KC117"/>
    <s v="Repair-EA"/>
    <x v="0"/>
    <x v="1"/>
    <x v="3"/>
    <m/>
    <d v="2023-11-08T12:56:08"/>
    <d v="2024-06-05T04:00:00"/>
    <d v="2024-09-30T04:00:00"/>
    <x v="40"/>
    <d v="2024-09-24T05:00:33"/>
    <s v="September"/>
    <d v="2023-11-29T05:00:00"/>
    <d v="2024-02-26T05:00:00"/>
    <d v="2024-02-26T05:00:00"/>
    <d v="2024-06-21T04:00:00"/>
    <n v="89"/>
    <n v="115.95833333332848"/>
    <n v="204.95833333332848"/>
    <n v="319.62768518517987"/>
    <n v="114.66935185185139"/>
    <n v="0"/>
    <n v="0"/>
    <n v="0"/>
    <n v="0"/>
    <n v="0"/>
    <n v="5"/>
    <n v="0"/>
    <n v="0"/>
    <n v="5"/>
    <n v="314.62768518517987"/>
    <n v="109.66935185185139"/>
    <n v="110"/>
    <n v="0"/>
  </r>
  <r>
    <s v="Cases &amp; Composites"/>
    <s v="CAS-203434-K7W1R0"/>
    <s v="Jia Chen"/>
    <s v="Complete"/>
    <s v="Resolved"/>
    <x v="0"/>
    <n v="4"/>
    <s v="24CCD55"/>
    <s v="Repair-EA"/>
    <x v="0"/>
    <x v="0"/>
    <x v="0"/>
    <m/>
    <d v="2024-01-11T16:22:19"/>
    <d v="2024-05-06T04:00:00"/>
    <d v="2024-06-28T04:00:00"/>
    <x v="131"/>
    <d v="2024-07-01T13:25:44"/>
    <s v="June"/>
    <d v="2024-02-22T05:00:00"/>
    <d v="2024-05-03T04:00:00"/>
    <d v="2024-05-03T04:00:00"/>
    <d v="2024-06-06T04:00:00"/>
    <n v="70.958333333328483"/>
    <n v="34"/>
    <n v="104.95833333332848"/>
    <n v="170.48450231481547"/>
    <n v="65.52616898148699"/>
    <n v="0"/>
    <n v="0"/>
    <n v="0"/>
    <n v="0"/>
    <n v="0"/>
    <n v="15.151072870372445"/>
    <n v="0"/>
    <n v="0"/>
    <n v="15.151072870372445"/>
    <n v="155.33342944444303"/>
    <n v="50.375096111114544"/>
    <n v="55"/>
    <n v="0"/>
  </r>
  <r>
    <s v="Cases &amp; Composites"/>
    <s v="CAS-207809-D3T5Z9"/>
    <s v="Jia Chen"/>
    <s v="Complete"/>
    <s v="Resolved"/>
    <x v="0"/>
    <n v="4"/>
    <s v="24VC095"/>
    <s v="Repair-EA"/>
    <x v="0"/>
    <x v="3"/>
    <x v="3"/>
    <m/>
    <d v="2024-02-26T15:49:19"/>
    <d v="2024-04-16T04:00:00"/>
    <d v="2024-05-22T04:00:00"/>
    <x v="72"/>
    <d v="2024-05-20T20:33:03"/>
    <s v="May"/>
    <d v="2024-03-07T05:00:00"/>
    <d v="2024-05-03T04:00:00"/>
    <d v="2024-05-03T04:00:00"/>
    <d v="2024-05-08T04:00:00"/>
    <n v="56.958333333328483"/>
    <n v="5"/>
    <n v="61.958333333328483"/>
    <n v="83.507418981476803"/>
    <n v="21.549085648148321"/>
    <n v="0"/>
    <n v="0"/>
    <n v="0"/>
    <n v="0"/>
    <n v="0"/>
    <n v="0"/>
    <n v="0"/>
    <n v="0"/>
    <n v="0"/>
    <n v="83.507418981476803"/>
    <n v="21.549085648148321"/>
    <n v="34"/>
    <n v="0"/>
  </r>
  <r>
    <s v="Cases &amp; Composites"/>
    <s v="CAS-209381-B0Y4R1"/>
    <s v="Robert Thompson"/>
    <s v="Complete"/>
    <s v="Resolved"/>
    <x v="0"/>
    <n v="4"/>
    <s v="15CCF04G"/>
    <s v="Repair-EA"/>
    <x v="1"/>
    <x v="0"/>
    <x v="8"/>
    <m/>
    <d v="2024-03-13T15:38:36"/>
    <d v="2024-05-03T04:00:00"/>
    <d v="2024-04-29T04:00:00"/>
    <x v="132"/>
    <d v="2024-04-29T17:32:45"/>
    <s v="FanR-Blade"/>
    <m/>
    <m/>
    <m/>
    <m/>
    <s v=""/>
    <s v=""/>
    <n v="0"/>
    <n v="46.514861111107166"/>
    <n v="46.514861111107166"/>
    <n v="0"/>
    <n v="0"/>
    <n v="0"/>
    <n v="0"/>
    <n v="0"/>
    <n v="0"/>
    <n v="0"/>
    <n v="0"/>
    <n v="0"/>
    <n v="46.514861111107166"/>
    <n v="46.514861111107166"/>
    <n v="-4"/>
    <n v="1"/>
  </r>
  <r>
    <s v="Cases &amp; Composites"/>
    <s v="CAS-211529-V9L0T8"/>
    <s v="Ferdin Mustafa"/>
    <s v="Complete"/>
    <s v="Resolved"/>
    <x v="0"/>
    <n v="4"/>
    <s v="24KC201"/>
    <s v="Repair-EA"/>
    <x v="1"/>
    <x v="1"/>
    <x v="4"/>
    <m/>
    <d v="2024-04-05T17:47:54"/>
    <d v="2024-06-07T04:00:00"/>
    <d v="2024-08-23T04:00:00"/>
    <x v="85"/>
    <d v="2024-05-08T13:13:55"/>
    <s v="May"/>
    <m/>
    <m/>
    <m/>
    <m/>
    <s v=""/>
    <s v=""/>
    <n v="0"/>
    <n v="31.42506944444176"/>
    <n v="31.42506944444176"/>
    <n v="0"/>
    <n v="0"/>
    <n v="0"/>
    <n v="0"/>
    <n v="0"/>
    <n v="0"/>
    <n v="0"/>
    <n v="0"/>
    <n v="0"/>
    <n v="31.42506944444176"/>
    <n v="31.42506944444176"/>
    <n v="-31"/>
    <n v="1"/>
  </r>
  <r>
    <s v="Cases &amp; Composites"/>
    <n v="105360"/>
    <s v="Pedro Iturrino"/>
    <s v="Complete"/>
    <s v="Closed"/>
    <x v="0"/>
    <n v="4"/>
    <s v="24FC136"/>
    <s v="Repair-EA"/>
    <x v="0"/>
    <x v="2"/>
    <x v="3"/>
    <m/>
    <d v="2024-04-17T04:00:00"/>
    <d v="2024-05-28T04:00:00"/>
    <d v="2024-05-28T04:00:00"/>
    <x v="133"/>
    <d v="2024-05-22T12:42:03"/>
    <m/>
    <d v="2024-05-06T04:00:00"/>
    <d v="2024-05-07T04:00:00"/>
    <d v="2024-05-07T04:00:00"/>
    <d v="2024-05-09T04:00:00"/>
    <n v="1"/>
    <n v="2"/>
    <n v="3"/>
    <n v="34"/>
    <n v="31"/>
    <n v="0"/>
    <n v="0"/>
    <n v="0"/>
    <n v="0"/>
    <n v="0"/>
    <n v="1"/>
    <n v="0"/>
    <n v="0"/>
    <n v="1"/>
    <n v="33"/>
    <n v="30"/>
    <n v="-7"/>
    <n v="1"/>
  </r>
  <r>
    <s v="Cases &amp; Composites"/>
    <s v="CAS-214982-X2T0F9"/>
    <s v="Robert Thompson"/>
    <s v="Complete"/>
    <s v="Resolved"/>
    <x v="0"/>
    <n v="4"/>
    <s v="24KC295"/>
    <s v="Repair-EA"/>
    <x v="0"/>
    <x v="1"/>
    <x v="3"/>
    <s v="50%"/>
    <d v="2024-05-14T17:16:35"/>
    <d v="2024-06-14T04:00:00"/>
    <d v="2024-06-04T04:00:00"/>
    <x v="134"/>
    <d v="2024-06-06T12:08:04"/>
    <s v="June"/>
    <d v="2024-05-21T04:00:00"/>
    <d v="2024-05-23T04:00:00"/>
    <d v="2024-05-23T04:00:00"/>
    <d v="2024-05-30T04:00:00"/>
    <n v="2"/>
    <n v="7"/>
    <n v="9"/>
    <n v="21.446817129624833"/>
    <n v="12.446817129624833"/>
    <n v="0"/>
    <n v="0"/>
    <n v="0"/>
    <n v="0"/>
    <n v="0"/>
    <n v="0"/>
    <n v="0"/>
    <n v="0"/>
    <n v="0"/>
    <n v="21.446817129624833"/>
    <n v="12.446817129624833"/>
    <n v="-9"/>
    <n v="1"/>
  </r>
  <r>
    <s v="Cases &amp; Composites"/>
    <s v="MSG-240111-343FFA"/>
    <s v="Bruce Zoyaar"/>
    <s v="Complete"/>
    <s v="Complete"/>
    <x v="0"/>
    <n v="4"/>
    <s v="21CCM16C"/>
    <s v="Repair-EA"/>
    <x v="2"/>
    <x v="0"/>
    <x v="0"/>
    <m/>
    <d v="2024-01-11T05:00:00"/>
    <d v="2024-08-23T04:00:00"/>
    <d v="2025-02-14T05:00:00"/>
    <x v="135"/>
    <d v="2025-02-11T19:28:27"/>
    <s v="Feb - Revise 21CCm16B to allow for larger repair limits. Field data from OTC supports this: 23(CC872/CCL23/CC844/CCH59). 23CCh59 is largest wear. Current repair uses  PWA53-47,and an equivalent is 271-47, consider updating when 53-47 limit reached."/>
    <d v="2024-07-18T04:00:00"/>
    <d v="2024-07-19T04:00:00"/>
    <d v="2024-07-19T04:00:00"/>
    <d v="2024-10-20T04:00:00"/>
    <n v="1"/>
    <n v="93"/>
    <n v="94"/>
    <n v="397"/>
    <n v="303"/>
    <n v="0"/>
    <n v="0"/>
    <n v="0"/>
    <n v="0"/>
    <n v="0"/>
    <n v="0"/>
    <n v="0"/>
    <n v="0"/>
    <n v="0"/>
    <n v="397"/>
    <n v="303"/>
    <n v="172.04166666667152"/>
    <n v="0"/>
  </r>
  <r>
    <s v="Cases &amp; Composites"/>
    <s v="MSG-250521-5411ED"/>
    <s v="Alexander Page"/>
    <s v="Complete"/>
    <s v="Complete"/>
    <x v="0"/>
    <n v="4"/>
    <s v="22CCD52E"/>
    <s v="Repair-EA"/>
    <x v="1"/>
    <x v="0"/>
    <x v="8"/>
    <s v="75%"/>
    <d v="2025-05-21T04:00:00"/>
    <d v="2025-08-08T04:00:00"/>
    <d v="2025-08-08T04:00:00"/>
    <x v="136"/>
    <d v="2025-07-21T15:54:21"/>
    <s v="Planning in support of 2025 TIC Inner Case part recovery"/>
    <d v="2025-06-02T04:00:00"/>
    <d v="2025-06-02T04:00:00"/>
    <d v="2025-07-16T04:00:00"/>
    <d v="2025-07-16T04:00:00"/>
    <n v="0"/>
    <n v="0"/>
    <n v="0"/>
    <n v="58"/>
    <n v="58"/>
    <n v="0"/>
    <n v="0"/>
    <n v="0"/>
    <n v="0"/>
    <n v="0"/>
    <n v="0"/>
    <n v="0"/>
    <n v="0"/>
    <n v="0"/>
    <n v="58"/>
    <n v="58"/>
    <n v="-21"/>
    <n v="1"/>
  </r>
  <r>
    <s v="Cases &amp; Composites"/>
    <s v="CAS-171976-D6F1X2"/>
    <s v="Ferdin Mustafa"/>
    <s v="Complete"/>
    <s v="Resolved"/>
    <x v="0"/>
    <n v="5"/>
    <s v="23CCE89"/>
    <s v="Repair-EA"/>
    <x v="1"/>
    <x v="5"/>
    <x v="9"/>
    <m/>
    <d v="2023-02-17T21:46:09"/>
    <d v="2023-08-18T04:00:00"/>
    <d v="2024-02-15T05:00:00"/>
    <x v="127"/>
    <d v="2024-02-29T19:43:07"/>
    <s v="Feb1"/>
    <m/>
    <m/>
    <m/>
    <m/>
    <s v=""/>
    <s v=""/>
    <n v="0"/>
    <n v="376.30128472222714"/>
    <n v="376.30128472222714"/>
    <n v="0"/>
    <n v="0"/>
    <n v="0"/>
    <n v="0"/>
    <n v="0"/>
    <n v="0"/>
    <n v="0"/>
    <n v="0"/>
    <n v="0"/>
    <n v="376.30128472222714"/>
    <n v="376.30128472222714"/>
    <n v="195.04166666667152"/>
    <n v="0"/>
  </r>
  <r>
    <s v="Cases &amp; Composites"/>
    <s v="CAS-178009-N9J0G4"/>
    <s v="Robert Thompson"/>
    <s v="Complete"/>
    <s v="Resolved"/>
    <x v="0"/>
    <n v="5"/>
    <s v="20CC288A"/>
    <s v="Repair-EA"/>
    <x v="1"/>
    <x v="0"/>
    <x v="0"/>
    <m/>
    <d v="2023-04-20T18:17:21"/>
    <d v="2023-05-12T04:00:00"/>
    <d v="2023-12-22T05:00:00"/>
    <x v="137"/>
    <d v="2024-01-02T20:48:29"/>
    <m/>
    <d v="2023-06-27T04:00:00"/>
    <d v="2023-06-30T04:00:00"/>
    <d v="2023-06-30T04:00:00"/>
    <d v="2023-12-14T05:00:00"/>
    <n v="3"/>
    <n v="167.04166666667152"/>
    <n v="170.04166666667152"/>
    <n v="256.44628472222394"/>
    <n v="86.404618055552419"/>
    <n v="0"/>
    <n v="0"/>
    <n v="0"/>
    <n v="0"/>
    <n v="0"/>
    <n v="0"/>
    <n v="135.08897734954371"/>
    <n v="0"/>
    <n v="135.08897734954371"/>
    <n v="121.35730737268022"/>
    <n v="-48.684359293991292"/>
    <n v="235.04166666667152"/>
    <n v="0"/>
  </r>
  <r>
    <s v="Cases &amp; Composites"/>
    <s v="CAS-181112-G6S7C4"/>
    <s v="Robert Thompson"/>
    <s v="Complete"/>
    <s v="Resolved"/>
    <x v="0"/>
    <n v="5"/>
    <s v="22CC864A"/>
    <s v="Repair-EA"/>
    <x v="1"/>
    <x v="0"/>
    <x v="0"/>
    <m/>
    <d v="2023-05-24T18:45:26"/>
    <d v="2023-09-08T04:00:00"/>
    <d v="2024-05-27T04:00:00"/>
    <x v="138"/>
    <d v="2024-05-16T17:57:16"/>
    <s v="May"/>
    <m/>
    <m/>
    <m/>
    <m/>
    <s v=""/>
    <s v=""/>
    <n v="0"/>
    <n v="357.38511574074073"/>
    <n v="357.38511574074073"/>
    <n v="0"/>
    <n v="0"/>
    <n v="0"/>
    <n v="0"/>
    <n v="0"/>
    <n v="0"/>
    <n v="0"/>
    <n v="0"/>
    <n v="0"/>
    <n v="357.38511574074073"/>
    <n v="357.38511574074073"/>
    <n v="251"/>
    <n v="0"/>
  </r>
  <r>
    <s v="Cases &amp; Composites"/>
    <s v="CAS-189465-B1P5S4"/>
    <s v="Pedro Iturrino"/>
    <s v="Complete"/>
    <s v="Active"/>
    <x v="0"/>
    <n v="5"/>
    <s v="23KC469"/>
    <s v="Repair-EA"/>
    <x v="0"/>
    <x v="1"/>
    <x v="3"/>
    <m/>
    <d v="2023-08-18T19:20:57"/>
    <d v="2023-12-15T05:00:00"/>
    <d v="2024-01-25T05:00:00"/>
    <x v="139"/>
    <d v="2024-01-04T13:29:37"/>
    <m/>
    <d v="2023-09-28T04:00:00"/>
    <d v="2023-12-08T05:00:00"/>
    <d v="2023-12-08T05:00:00"/>
    <d v="2023-12-08T05:00:00"/>
    <n v="71.041666666671517"/>
    <n v="0"/>
    <n v="71.041666666671517"/>
    <n v="137.40211805555737"/>
    <n v="66.360451388885849"/>
    <n v="0"/>
    <n v="0"/>
    <n v="0"/>
    <n v="0"/>
    <n v="0"/>
    <n v="5"/>
    <n v="0"/>
    <n v="0"/>
    <n v="5"/>
    <n v="132.40211805555737"/>
    <n v="61.360451388885849"/>
    <n v="19"/>
    <n v="0"/>
  </r>
  <r>
    <s v="Cases &amp; Composites"/>
    <s v="CAS-192003-Z5G6B7"/>
    <s v="Orlando Melendez Colon"/>
    <s v="Complete"/>
    <s v="Resolved"/>
    <x v="0"/>
    <n v="5"/>
    <s v="20VG063A"/>
    <s v="Repair-EA"/>
    <x v="1"/>
    <x v="3"/>
    <x v="5"/>
    <m/>
    <d v="2023-09-13T13:53:18"/>
    <d v="2024-04-19T04:00:00"/>
    <d v="2024-07-18T04:00:00"/>
    <x v="140"/>
    <d v="2024-07-18T16:21:13"/>
    <s v="July"/>
    <m/>
    <m/>
    <m/>
    <m/>
    <s v=""/>
    <s v=""/>
    <n v="0"/>
    <n v="300.58798611110979"/>
    <n v="300.58798611110979"/>
    <n v="0"/>
    <n v="0"/>
    <n v="0"/>
    <n v="0"/>
    <n v="0"/>
    <n v="0"/>
    <n v="0"/>
    <n v="0"/>
    <n v="0"/>
    <n v="300.58798611110979"/>
    <n v="300.58798611110979"/>
    <n v="82"/>
    <n v="0"/>
  </r>
  <r>
    <s v="Cases &amp; Composites"/>
    <s v="CAS-194906-Q8W8W5"/>
    <s v="Pedro Iturrino"/>
    <s v="Complete"/>
    <s v="Resolved"/>
    <x v="0"/>
    <n v="5"/>
    <s v="23KC568"/>
    <s v="Repair-EA"/>
    <x v="0"/>
    <x v="1"/>
    <x v="3"/>
    <m/>
    <d v="2023-10-12T20:50:15"/>
    <d v="2024-04-01T04:00:00"/>
    <d v="2024-05-24T04:00:00"/>
    <x v="141"/>
    <d v="2024-05-22T19:21:30"/>
    <s v="MAY"/>
    <d v="2023-12-04T05:00:00"/>
    <d v="2024-02-19T05:00:00"/>
    <d v="2024-02-19T05:00:00"/>
    <d v="2024-04-15T04:00:00"/>
    <n v="77"/>
    <n v="55.958333333328483"/>
    <n v="132.95833333332848"/>
    <n v="222.29843749999418"/>
    <n v="89.340104166665697"/>
    <n v="0"/>
    <n v="0"/>
    <n v="0"/>
    <n v="0"/>
    <n v="0"/>
    <n v="9"/>
    <n v="0"/>
    <n v="0"/>
    <n v="9"/>
    <n v="213.29843749999418"/>
    <n v="80.340104166665697"/>
    <n v="51"/>
    <n v="0"/>
  </r>
  <r>
    <s v="Cases &amp; Composites"/>
    <s v="CAS-195075-Q7X9L7"/>
    <s v="Pedro Iturrino"/>
    <s v="Complete"/>
    <s v="Resolved"/>
    <x v="0"/>
    <n v="5"/>
    <s v="23KC598"/>
    <s v="Repair-EA"/>
    <x v="0"/>
    <x v="1"/>
    <x v="3"/>
    <m/>
    <d v="2023-10-13T20:12:55"/>
    <d v="2024-02-15T05:00:00"/>
    <d v="2024-02-23T05:00:00"/>
    <x v="125"/>
    <d v="2024-02-19T14:10:10"/>
    <s v="FEB2"/>
    <d v="2023-11-06T05:00:00"/>
    <d v="2024-02-06T05:00:00"/>
    <d v="2024-02-06T05:00:00"/>
    <d v="2024-02-07T05:00:00"/>
    <n v="92"/>
    <n v="1"/>
    <n v="93"/>
    <n v="125.36603009259852"/>
    <n v="32.366030092598521"/>
    <n v="0"/>
    <n v="0"/>
    <n v="0"/>
    <n v="0"/>
    <n v="0"/>
    <n v="0"/>
    <n v="0"/>
    <n v="0"/>
    <n v="0"/>
    <n v="125.36603009259852"/>
    <n v="32.366030092598521"/>
    <n v="1"/>
    <n v="0"/>
  </r>
  <r>
    <s v="Cases &amp; Composites"/>
    <s v="CAS-197442-L0F0G1"/>
    <s v="Jia Chen"/>
    <s v="Complete"/>
    <s v="Resolved"/>
    <x v="0"/>
    <n v="5"/>
    <s v="23FC349"/>
    <s v="Repair-EA"/>
    <x v="0"/>
    <x v="2"/>
    <x v="3"/>
    <m/>
    <d v="2023-11-06T20:58:43"/>
    <d v="2024-02-29T05:00:00"/>
    <d v="2024-02-29T05:00:00"/>
    <x v="142"/>
    <d v="2024-02-21T16:13:55"/>
    <s v="Previous blending or wear puts the case wall below the minimum thickness for the standard blend repair-06. FEB2"/>
    <d v="2023-12-01T05:00:00"/>
    <d v="2023-12-21T05:00:00"/>
    <d v="2023-12-21T05:00:00"/>
    <d v="2024-01-24T05:00:00"/>
    <n v="20"/>
    <n v="34"/>
    <n v="54"/>
    <n v="106.33422453703679"/>
    <n v="52.334224537036789"/>
    <n v="0"/>
    <n v="0"/>
    <n v="0"/>
    <n v="0"/>
    <n v="0"/>
    <n v="8"/>
    <n v="0"/>
    <n v="0"/>
    <n v="8"/>
    <n v="98.334224537036789"/>
    <n v="44.334224537036789"/>
    <n v="-8"/>
    <n v="1"/>
  </r>
  <r>
    <s v="Cases &amp; Composites"/>
    <s v="CAS-198367-T0X0W2"/>
    <s v="Jia Chen"/>
    <s v="Complete"/>
    <s v="Resolved"/>
    <x v="0"/>
    <n v="5"/>
    <s v="24CC330"/>
    <s v="Repair-EA"/>
    <x v="0"/>
    <x v="0"/>
    <x v="3"/>
    <m/>
    <d v="2023-11-15T15:26:25"/>
    <d v="2024-03-26T04:00:00"/>
    <d v="2024-04-19T04:00:00"/>
    <x v="143"/>
    <d v="2024-03-26T15:35:18"/>
    <s v="TIC Inner"/>
    <d v="2024-02-02T05:00:00"/>
    <d v="2024-02-05T05:00:00"/>
    <d v="2024-02-05T05:00:00"/>
    <d v="2024-03-08T05:00:00"/>
    <n v="3"/>
    <n v="32"/>
    <n v="35"/>
    <n v="131.52332175925403"/>
    <n v="96.523321759254031"/>
    <n v="0"/>
    <n v="0"/>
    <n v="0"/>
    <n v="0"/>
    <n v="0"/>
    <n v="0"/>
    <n v="0"/>
    <n v="0"/>
    <n v="0"/>
    <n v="131.52332175925403"/>
    <n v="96.523321759254031"/>
    <n v="0"/>
    <n v="1"/>
  </r>
  <r>
    <s v="Cases &amp; Composites"/>
    <s v="CAS-198498-S8R3Q2"/>
    <s v="Pedro Iturrino"/>
    <s v="Complete"/>
    <s v="Resolved"/>
    <x v="0"/>
    <n v="5"/>
    <s v="23VC555"/>
    <s v="Repair-EA"/>
    <x v="0"/>
    <x v="3"/>
    <x v="3"/>
    <m/>
    <d v="2023-11-16T13:41:36"/>
    <d v="2024-02-29T05:00:00"/>
    <d v="2024-03-22T04:00:00"/>
    <x v="144"/>
    <d v="2024-03-15T14:24:18"/>
    <s v="MAR1"/>
    <d v="2023-12-08T05:00:00"/>
    <d v="2023-12-22T05:00:00"/>
    <d v="2023-12-22T05:00:00"/>
    <d v="2023-12-22T05:00:00"/>
    <n v="14"/>
    <n v="0"/>
    <n v="14"/>
    <n v="118.59611111111008"/>
    <n v="104.59611111111008"/>
    <n v="0"/>
    <n v="0"/>
    <n v="0"/>
    <n v="0"/>
    <n v="0"/>
    <n v="0"/>
    <n v="0"/>
    <n v="0"/>
    <n v="0"/>
    <n v="118.59611111111008"/>
    <n v="104.59611111111008"/>
    <n v="13.958333333328483"/>
    <n v="0"/>
  </r>
  <r>
    <s v="Cases &amp; Composites"/>
    <s v="MSG-231018-4D1648"/>
    <s v="Robert Thompson"/>
    <s v="Complete"/>
    <s v="Complete"/>
    <x v="0"/>
    <n v="5"/>
    <s v="22CCB40C"/>
    <s v="Repair-EA"/>
    <x v="1"/>
    <x v="0"/>
    <x v="0"/>
    <m/>
    <d v="2023-10-18T04:00:00"/>
    <d v="2024-03-15T04:00:00"/>
    <d v="2024-04-30T04:00:00"/>
    <x v="109"/>
    <d v="2024-04-23T14:04:58"/>
    <s v="AprUpdate the Current Body Blend Repair on the Flan Blade with extended limits - revise EA 22CCB40A - Extend serviceable limits  - 0.010&quot; and then repairable limits to ???"/>
    <d v="2023-11-29T05:00:00"/>
    <d v="2024-01-22T05:00:00"/>
    <d v="2024-01-22T05:00:00"/>
    <d v="2024-03-12T04:00:00"/>
    <n v="54"/>
    <n v="49.958333333328483"/>
    <n v="103.95833333332848"/>
    <n v="187"/>
    <n v="83.041666666671517"/>
    <n v="0"/>
    <n v="0"/>
    <n v="0"/>
    <n v="0"/>
    <n v="0"/>
    <n v="0"/>
    <n v="0"/>
    <n v="0"/>
    <n v="0"/>
    <n v="187"/>
    <n v="83.041666666671517"/>
    <n v="38"/>
    <n v="0"/>
  </r>
  <r>
    <s v="Cases &amp; Composites"/>
    <s v="CAS-198816-K4K5R1"/>
    <s v="Robert Thompson"/>
    <s v="Complete"/>
    <s v="Resolved"/>
    <x v="0"/>
    <n v="5"/>
    <s v="21CC250D"/>
    <s v="Repair-EA"/>
    <x v="1"/>
    <x v="0"/>
    <x v="8"/>
    <m/>
    <d v="2023-11-20T18:22:01"/>
    <d v="2024-05-22T04:00:00"/>
    <d v="2024-06-14T04:00:00"/>
    <x v="145"/>
    <d v="2024-06-14T17:57:38"/>
    <s v="FanR-Blade_x000a__x000a_June"/>
    <d v="2023-11-27T05:00:00"/>
    <d v="2024-01-22T05:00:00"/>
    <d v="2024-01-22T05:00:00"/>
    <d v="2024-01-22T05:00:00"/>
    <n v="56"/>
    <n v="0"/>
    <n v="56"/>
    <n v="205.40137731481082"/>
    <n v="149.40137731481082"/>
    <n v="0"/>
    <n v="0"/>
    <n v="0"/>
    <n v="0"/>
    <n v="0"/>
    <n v="0"/>
    <n v="0"/>
    <n v="0"/>
    <n v="0"/>
    <n v="205.40137731481082"/>
    <n v="149.40137731481082"/>
    <n v="22"/>
    <n v="0"/>
  </r>
  <r>
    <s v="Cases &amp; Composites"/>
    <s v="CAS-199019-J5W9H9"/>
    <s v="Tyler Abusbah"/>
    <s v="Complete"/>
    <s v="Resolved"/>
    <x v="0"/>
    <n v="5"/>
    <s v="24KC262"/>
    <s v="Repair-EA"/>
    <x v="0"/>
    <x v="1"/>
    <x v="3"/>
    <m/>
    <d v="2023-11-22T08:23:39"/>
    <d v="2024-05-30T04:00:00"/>
    <d v="2024-09-06T04:00:00"/>
    <x v="146"/>
    <d v="2024-09-05T01:44:32"/>
    <s v="End customer is P&amp;W RSL (July 2024 Commitment). Sept"/>
    <d v="2024-04-30T04:00:00"/>
    <d v="2024-05-02T04:00:00"/>
    <d v="2024-05-02T04:00:00"/>
    <d v="2024-05-15T04:00:00"/>
    <n v="2"/>
    <n v="13"/>
    <n v="15"/>
    <n v="286.81690972221986"/>
    <n v="271.81690972221986"/>
    <n v="0"/>
    <n v="0"/>
    <n v="0"/>
    <n v="0"/>
    <n v="0"/>
    <n v="0"/>
    <n v="0"/>
    <n v="0"/>
    <n v="0"/>
    <n v="286.81690972221986"/>
    <n v="271.81690972221986"/>
    <n v="97"/>
    <n v="0"/>
  </r>
  <r>
    <s v="Cases &amp; Composites"/>
    <s v="CAS-207810-L9N9C1"/>
    <s v="Jia Chen"/>
    <s v="Complete"/>
    <s v="Resolved"/>
    <x v="0"/>
    <n v="5"/>
    <s v="23KC517A"/>
    <s v="Repair-EA"/>
    <x v="0"/>
    <x v="1"/>
    <x v="3"/>
    <m/>
    <d v="2024-02-26T15:58:45"/>
    <d v="2024-04-26T04:00:00"/>
    <d v="2024-06-24T04:00:00"/>
    <x v="134"/>
    <d v="2024-06-05T19:35:24"/>
    <s v="June"/>
    <d v="2024-02-29T05:00:00"/>
    <d v="2024-02-29T05:00:00"/>
    <d v="2024-02-29T05:00:00"/>
    <d v="2024-02-29T05:00:00"/>
    <n v="0"/>
    <n v="0"/>
    <n v="0"/>
    <n v="99.500868055554747"/>
    <n v="99.500868055554747"/>
    <n v="0"/>
    <n v="0"/>
    <n v="0"/>
    <n v="0"/>
    <n v="56"/>
    <n v="0"/>
    <n v="0"/>
    <n v="0"/>
    <n v="56"/>
    <n v="43.500868055554747"/>
    <n v="43.500868055554747"/>
    <n v="40"/>
    <n v="0"/>
  </r>
  <r>
    <s v="Cases &amp; Composites"/>
    <s v="CAS-204533-F9R6V0"/>
    <s v="Ferdin Mustafa"/>
    <s v="Complete"/>
    <s v="Resolved"/>
    <x v="0"/>
    <n v="5"/>
    <s v="24KC248"/>
    <s v="Repair-EA"/>
    <x v="0"/>
    <x v="1"/>
    <x v="3"/>
    <m/>
    <d v="2024-01-23T09:44:33"/>
    <d v="2024-08-08T04:00:00"/>
    <d v="2024-06-28T04:00:00"/>
    <x v="147"/>
    <d v="2024-06-21T19:50:32"/>
    <s v="June"/>
    <d v="2024-04-19T04:00:00"/>
    <d v="2024-06-14T04:00:00"/>
    <d v="2024-06-14T04:00:00"/>
    <d v="2024-06-14T04:00:00"/>
    <n v="56"/>
    <n v="0"/>
    <n v="56"/>
    <n v="149.76072916666453"/>
    <n v="93.760729166664532"/>
    <n v="0"/>
    <n v="0"/>
    <n v="0"/>
    <n v="0"/>
    <n v="0"/>
    <n v="0"/>
    <n v="0"/>
    <n v="0"/>
    <n v="0"/>
    <n v="149.76072916666453"/>
    <n v="93.760729166664532"/>
    <n v="-48"/>
    <n v="1"/>
  </r>
  <r>
    <s v="Cases &amp; Composites"/>
    <s v="CAS-212100-L9L0L9"/>
    <s v="Pedro Iturrino"/>
    <s v="Complete"/>
    <s v="Resolved"/>
    <x v="0"/>
    <n v="5"/>
    <s v="24KC269"/>
    <s v="Repair-EA"/>
    <x v="0"/>
    <x v="1"/>
    <x v="3"/>
    <m/>
    <d v="2024-04-11T16:32:38"/>
    <d v="2024-08-09T04:00:00"/>
    <d v="2024-08-16T04:00:00"/>
    <x v="87"/>
    <d v="2024-08-12T19:37:43"/>
    <s v="AUG"/>
    <d v="2024-05-23T04:00:00"/>
    <d v="2024-06-28T04:00:00"/>
    <d v="2024-06-28T04:00:00"/>
    <d v="2024-07-01T04:00:00"/>
    <n v="36"/>
    <n v="3"/>
    <n v="39"/>
    <n v="122.47733796296234"/>
    <n v="83.477337962962338"/>
    <n v="0"/>
    <n v="0"/>
    <n v="0"/>
    <n v="0"/>
    <n v="12"/>
    <n v="0"/>
    <n v="0"/>
    <n v="0"/>
    <n v="12"/>
    <n v="110.47733796296234"/>
    <n v="71.477337962962338"/>
    <n v="3"/>
    <n v="0"/>
  </r>
  <r>
    <s v="Cases &amp; Composites"/>
    <s v="CAS-218041-C7B6D8"/>
    <s v="Robert Thompson"/>
    <s v="Complete"/>
    <s v="Resolved"/>
    <x v="0"/>
    <n v="5"/>
    <s v="24KC357"/>
    <s v="Repair-EA"/>
    <x v="0"/>
    <x v="1"/>
    <x v="3"/>
    <s v="50%"/>
    <d v="2024-06-13T21:27:52"/>
    <d v="2024-09-30T04:00:00"/>
    <d v="2024-07-12T04:00:00"/>
    <x v="90"/>
    <d v="2024-07-08T21:17:10"/>
    <s v="July"/>
    <d v="2024-06-20T04:00:00"/>
    <d v="2024-06-20T04:00:00"/>
    <d v="2024-06-20T04:00:00"/>
    <d v="2024-06-20T04:00:00"/>
    <n v="0"/>
    <n v="0"/>
    <n v="0"/>
    <n v="24.272314814814308"/>
    <n v="24.272314814814308"/>
    <n v="0"/>
    <n v="0"/>
    <n v="0"/>
    <n v="0"/>
    <n v="0"/>
    <n v="0"/>
    <n v="0"/>
    <n v="0"/>
    <n v="0"/>
    <n v="24.272314814814308"/>
    <n v="24.272314814814308"/>
    <n v="-84"/>
    <n v="1"/>
  </r>
  <r>
    <s v="Cases &amp; Composites"/>
    <s v="MSG-240624-895141"/>
    <s v="Robert Thompson"/>
    <s v="Complete"/>
    <s v="Complete"/>
    <x v="0"/>
    <n v="5"/>
    <s v="24KC368"/>
    <s v="Repair-EA"/>
    <x v="3"/>
    <x v="1"/>
    <x v="1"/>
    <s v="75%"/>
    <d v="2024-06-24T04:00:00"/>
    <d v="2024-11-01T04:00:00"/>
    <d v="2024-07-31T04:00:00"/>
    <x v="148"/>
    <d v="2024-07-17T20:28:05"/>
    <s v="Fan Exit Guide Vane"/>
    <m/>
    <m/>
    <m/>
    <m/>
    <s v=""/>
    <s v=""/>
    <n v="0"/>
    <n v="23"/>
    <n v="23"/>
    <n v="0"/>
    <n v="0"/>
    <n v="0"/>
    <n v="0"/>
    <n v="0"/>
    <n v="0"/>
    <n v="0"/>
    <n v="0"/>
    <n v="0"/>
    <n v="23"/>
    <n v="23"/>
    <n v="-107"/>
    <n v="1"/>
  </r>
  <r>
    <s v="Cases &amp; Composites"/>
    <n v="107928"/>
    <s v="Robert Thompson"/>
    <s v="Complete"/>
    <s v="Closed"/>
    <x v="0"/>
    <n v="5"/>
    <s v="24FC269A"/>
    <s v="Repair-EA"/>
    <x v="0"/>
    <x v="2"/>
    <x v="3"/>
    <m/>
    <d v="2024-08-26T04:00:00"/>
    <d v="2024-08-30T04:00:00"/>
    <d v="2024-08-30T04:00:00"/>
    <x v="94"/>
    <d v="2024-08-28T20:21:02"/>
    <m/>
    <m/>
    <m/>
    <m/>
    <m/>
    <s v=""/>
    <s v=""/>
    <n v="0"/>
    <n v="2"/>
    <n v="2"/>
    <n v="0"/>
    <n v="0"/>
    <n v="0"/>
    <n v="0"/>
    <n v="0"/>
    <n v="0"/>
    <n v="0"/>
    <n v="0"/>
    <n v="0"/>
    <n v="2"/>
    <n v="2"/>
    <n v="-2"/>
    <n v="1"/>
  </r>
  <r>
    <s v="Cases &amp; Composites"/>
    <s v="MSG-241007-53CB00"/>
    <s v="Brian K Holland"/>
    <s v="Complete"/>
    <s v="Complete"/>
    <x v="0"/>
    <n v="5"/>
    <s v="24CCS15"/>
    <s v="Repair-EA"/>
    <x v="1"/>
    <x v="0"/>
    <x v="7"/>
    <m/>
    <d v="2024-10-07T04:00:00"/>
    <d v="2024-11-28T05:00:00"/>
    <d v="2024-11-28T05:00:00"/>
    <x v="149"/>
    <d v="2024-11-13T21:08:21"/>
    <s v="Evaluate and substantiate continued viability of subject DMCs in EMM and EM for applicability GTFA models and run parameters. Where not applicable Process PSAF to change DMC# to be Base Specific. See comments for guidance"/>
    <m/>
    <m/>
    <m/>
    <m/>
    <s v=""/>
    <s v=""/>
    <n v="0"/>
    <n v="37.041666666671517"/>
    <n v="37.041666666671517"/>
    <n v="0"/>
    <n v="0"/>
    <n v="0"/>
    <n v="0"/>
    <n v="0"/>
    <n v="0"/>
    <n v="0"/>
    <n v="0"/>
    <n v="0"/>
    <n v="37.041666666671517"/>
    <n v="37.041666666671517"/>
    <n v="-15"/>
    <n v="1"/>
  </r>
  <r>
    <s v="Cases &amp; Composites"/>
    <s v="CAS-241504-K8D4Q0"/>
    <s v="Bruce Zoyaar"/>
    <s v="Complete"/>
    <s v="Active"/>
    <x v="0"/>
    <n v="5"/>
    <s v="25KC090"/>
    <s v="Repair-EA"/>
    <x v="0"/>
    <x v="1"/>
    <x v="3"/>
    <s v="75%"/>
    <d v="2025-01-29T14:59:23"/>
    <d v="2025-03-28T04:00:00"/>
    <d v="2025-03-17T04:00:00"/>
    <x v="50"/>
    <d v="2025-03-20T16:36:06"/>
    <s v="Mar 2025 -SRT"/>
    <d v="2025-02-06T05:00:00"/>
    <d v="2025-02-25T05:00:00"/>
    <d v="2025-02-25T05:00:00"/>
    <d v="2025-03-14T04:00:00"/>
    <n v="19"/>
    <n v="16.958333333328483"/>
    <n v="35.958333333328483"/>
    <n v="49.542094907403225"/>
    <n v="13.583761574074742"/>
    <n v="0"/>
    <n v="0"/>
    <n v="0"/>
    <n v="0"/>
    <n v="6"/>
    <n v="0"/>
    <n v="0"/>
    <n v="0"/>
    <n v="6"/>
    <n v="43.542094907403225"/>
    <n v="7.5837615740747424"/>
    <n v="-8"/>
    <n v="1"/>
  </r>
  <r>
    <s v="Cases &amp; Composites"/>
    <s v="CAS-256188-B9S2B4"/>
    <s v="Joshua Desjardins"/>
    <s v="Complete"/>
    <s v="Resolved"/>
    <x v="0"/>
    <n v="5"/>
    <s v="25AC098"/>
    <s v="Repair-EA"/>
    <x v="0"/>
    <x v="4"/>
    <x v="6"/>
    <s v="75%"/>
    <d v="2025-06-19T13:47:04"/>
    <d v="2025-06-19T04:00:00"/>
    <d v="2025-06-19T04:00:00"/>
    <x v="150"/>
    <d v="2025-06-20T15:32:21"/>
    <s v="Jun2025 DR# 02206726"/>
    <m/>
    <m/>
    <m/>
    <m/>
    <s v=""/>
    <s v=""/>
    <n v="0"/>
    <n v="-0.40768518518598285"/>
    <n v="-0.40768518518598285"/>
    <n v="0"/>
    <n v="0"/>
    <n v="0"/>
    <n v="0"/>
    <n v="0"/>
    <n v="0"/>
    <n v="0"/>
    <n v="0"/>
    <n v="0"/>
    <n v="-0.40768518518598285"/>
    <n v="-0.40768518518598285"/>
    <n v="0"/>
    <n v="1"/>
  </r>
  <r>
    <s v="Cases &amp; Composites"/>
    <s v="CAS-161071-K2C4V8"/>
    <s v="Robert Thompson"/>
    <s v="Complete"/>
    <s v="Resolved"/>
    <x v="0"/>
    <n v="6"/>
    <s v="15CCH20L"/>
    <s v="Repair-EA"/>
    <x v="1"/>
    <x v="0"/>
    <x v="8"/>
    <m/>
    <d v="2022-10-18T09:12:46"/>
    <d v="2023-06-30T04:00:00"/>
    <d v="2024-06-06T04:00:00"/>
    <x v="151"/>
    <d v="2024-06-10T11:09:23"/>
    <s v="FanR-Blade - CIR - Ground Tab Replacement Repair_x000a__x000a_June"/>
    <d v="2022-11-29T05:00:00"/>
    <d v="2022-12-12T05:00:00"/>
    <d v="2022-12-12T05:00:00"/>
    <d v="2022-12-13T05:00:00"/>
    <n v="13"/>
    <n v="1"/>
    <n v="14"/>
    <n v="597.78280092592468"/>
    <n v="583.78280092592468"/>
    <n v="0"/>
    <n v="0"/>
    <n v="0"/>
    <n v="0"/>
    <n v="0"/>
    <n v="0"/>
    <n v="0"/>
    <n v="0"/>
    <n v="0"/>
    <n v="597.78280092592468"/>
    <n v="583.78280092592468"/>
    <n v="343"/>
    <n v="0"/>
  </r>
  <r>
    <s v="Cases &amp; Composites"/>
    <s v="CAS-177333-R9W0Q8"/>
    <s v="Pedro Iturrino"/>
    <s v="Complete"/>
    <s v="Resolved"/>
    <x v="0"/>
    <n v="6"/>
    <s v="23KC306"/>
    <s v="Repair-EA"/>
    <x v="0"/>
    <x v="1"/>
    <x v="3"/>
    <m/>
    <d v="2023-04-13T17:38:00"/>
    <d v="2024-01-19T05:00:00"/>
    <d v="2024-03-08T05:00:00"/>
    <x v="152"/>
    <d v="2024-03-05T18:06:58"/>
    <s v="MAR1"/>
    <d v="2023-09-15T04:00:00"/>
    <d v="2023-10-02T04:00:00"/>
    <d v="2023-10-02T04:00:00"/>
    <d v="2023-12-11T05:00:00"/>
    <n v="17"/>
    <n v="70.041666666671517"/>
    <n v="87.041666666671517"/>
    <n v="326.4736111111124"/>
    <n v="239.43194444444089"/>
    <n v="0"/>
    <n v="0"/>
    <n v="0"/>
    <n v="0"/>
    <n v="0"/>
    <n v="0"/>
    <n v="0"/>
    <n v="0"/>
    <n v="0"/>
    <n v="326.4736111111124"/>
    <n v="239.43194444444089"/>
    <n v="46"/>
    <n v="0"/>
  </r>
  <r>
    <s v="Cases &amp; Composites"/>
    <s v="CAS-187852-V3P2X4"/>
    <s v="Pedro Iturrino"/>
    <s v="Complete"/>
    <s v="Resolved"/>
    <x v="0"/>
    <n v="6"/>
    <s v="23KC488"/>
    <s v="Repair-EA"/>
    <x v="0"/>
    <x v="1"/>
    <x v="3"/>
    <m/>
    <d v="2023-08-02T14:07:04"/>
    <d v="2023-11-13T05:00:00"/>
    <d v="2024-04-05T04:00:00"/>
    <x v="153"/>
    <d v="2024-04-01T13:56:25"/>
    <s v="APR1"/>
    <d v="2023-09-13T04:00:00"/>
    <d v="2023-10-12T04:00:00"/>
    <d v="2023-10-12T04:00:00"/>
    <d v="2024-01-10T05:00:00"/>
    <n v="29"/>
    <n v="90.041666666671517"/>
    <n v="119.04166666667152"/>
    <n v="239.57842592592351"/>
    <n v="120.53675925925199"/>
    <n v="0"/>
    <n v="0"/>
    <n v="0"/>
    <n v="0"/>
    <n v="0"/>
    <n v="21"/>
    <n v="32"/>
    <n v="0"/>
    <n v="53"/>
    <n v="186.57842592592351"/>
    <n v="67.536759259251994"/>
    <n v="136.95833333332848"/>
    <n v="0"/>
  </r>
  <r>
    <s v="Cases &amp; Composites"/>
    <s v="CAS-194653-F3T5Q1"/>
    <s v="Robert Thompson"/>
    <s v="Complete"/>
    <s v="Resolved"/>
    <x v="0"/>
    <n v="6"/>
    <s v="22CCE47A"/>
    <s v="Repair-EA"/>
    <x v="1"/>
    <x v="0"/>
    <x v="8"/>
    <m/>
    <d v="2023-10-27T12:18:10"/>
    <d v="2024-02-02T05:00:00"/>
    <d v="2024-03-29T04:00:00"/>
    <x v="154"/>
    <d v="2024-03-27T17:36:03"/>
    <s v="FanR-Blade_x000a__x000a_Mar2"/>
    <d v="2024-02-27T05:00:00"/>
    <d v="2024-03-07T05:00:00"/>
    <d v="2024-03-07T05:00:00"/>
    <d v="2024-03-07T05:00:00"/>
    <n v="9"/>
    <n v="0"/>
    <n v="9"/>
    <n v="151.65405092592118"/>
    <n v="142.65405092592118"/>
    <n v="0"/>
    <n v="0"/>
    <n v="0"/>
    <n v="0"/>
    <n v="0"/>
    <n v="0"/>
    <n v="0"/>
    <n v="0"/>
    <n v="0"/>
    <n v="151.65405092592118"/>
    <n v="142.65405092592118"/>
    <n v="53.958333333328483"/>
    <n v="0"/>
  </r>
  <r>
    <s v="Cases &amp; Composites"/>
    <s v="CAS-196152-X1T8H2"/>
    <s v="Jia Chen"/>
    <s v="Complete"/>
    <s v="Resolved"/>
    <x v="0"/>
    <n v="6"/>
    <s v="23KC581"/>
    <s v="Repair-EA"/>
    <x v="0"/>
    <x v="1"/>
    <x v="3"/>
    <m/>
    <d v="2023-10-24T20:40:13"/>
    <d v="2024-01-25T05:00:00"/>
    <d v="2024-02-08T05:00:00"/>
    <x v="126"/>
    <d v="2024-01-30T22:08:05"/>
    <m/>
    <d v="2023-11-16T05:00:00"/>
    <d v="2023-12-19T05:00:00"/>
    <d v="2023-12-19T05:00:00"/>
    <d v="2024-01-15T05:00:00"/>
    <n v="33"/>
    <n v="27"/>
    <n v="60"/>
    <n v="97.347071759264509"/>
    <n v="37.347071759264509"/>
    <n v="0"/>
    <n v="0"/>
    <n v="0"/>
    <n v="0"/>
    <n v="0"/>
    <n v="10"/>
    <n v="14"/>
    <n v="0"/>
    <n v="24"/>
    <n v="73.347071759264509"/>
    <n v="13.347071759264509"/>
    <n v="5"/>
    <n v="0"/>
  </r>
  <r>
    <s v="Cases &amp; Composites"/>
    <s v="CAS-200416-T5T7F9"/>
    <s v="Jia Chen"/>
    <s v="Complete"/>
    <s v="Resolved"/>
    <x v="0"/>
    <n v="6"/>
    <s v="24FC031"/>
    <s v="Repair-EA"/>
    <x v="0"/>
    <x v="2"/>
    <x v="3"/>
    <m/>
    <d v="2023-12-06T20:10:12"/>
    <d v="2024-04-12T04:00:00"/>
    <d v="2024-04-25T04:00:00"/>
    <x v="66"/>
    <d v="2024-04-23T16:10:43"/>
    <m/>
    <d v="2024-02-26T05:00:00"/>
    <d v="2024-02-27T05:00:00"/>
    <d v="2024-02-27T05:00:00"/>
    <d v="2024-03-19T04:00:00"/>
    <n v="1"/>
    <n v="20.958333333328483"/>
    <n v="21.958333333328483"/>
    <n v="138.32624999999825"/>
    <n v="116.36791666666977"/>
    <n v="0"/>
    <n v="0"/>
    <n v="0"/>
    <n v="0"/>
    <n v="0"/>
    <n v="7"/>
    <n v="0"/>
    <n v="12"/>
    <n v="19"/>
    <n v="119.32624999999825"/>
    <n v="97.367916666669771"/>
    <n v="11"/>
    <n v="0"/>
  </r>
  <r>
    <s v="Cases &amp; Composites"/>
    <s v="CAS-202170-D3L0S5"/>
    <s v="Pedro Iturrino"/>
    <s v="Complete"/>
    <s v="Resolved"/>
    <x v="0"/>
    <n v="6"/>
    <s v="24KC023"/>
    <s v="Repair-EA"/>
    <x v="0"/>
    <x v="1"/>
    <x v="3"/>
    <m/>
    <d v="2023-12-26T17:27:51"/>
    <d v="2024-04-05T04:00:00"/>
    <d v="2024-03-15T04:00:00"/>
    <x v="127"/>
    <d v="2024-02-29T18:34:12"/>
    <m/>
    <d v="2024-01-29T05:00:00"/>
    <d v="2024-02-07T05:00:00"/>
    <d v="2024-02-07T05:00:00"/>
    <d v="2024-02-07T05:00:00"/>
    <n v="9"/>
    <n v="0"/>
    <n v="9"/>
    <n v="64.480659722226846"/>
    <n v="55.480659722226846"/>
    <n v="0"/>
    <n v="0"/>
    <n v="0"/>
    <n v="0"/>
    <n v="0"/>
    <n v="0"/>
    <n v="0"/>
    <n v="0"/>
    <n v="0"/>
    <n v="64.480659722226846"/>
    <n v="55.480659722226846"/>
    <n v="-35.958333333328483"/>
    <n v="1"/>
  </r>
  <r>
    <s v="Cases &amp; Composites"/>
    <s v="CAS-205005-P8G9D1"/>
    <s v="Jia Chen"/>
    <s v="Complete"/>
    <s v="Resolved"/>
    <x v="0"/>
    <n v="6"/>
    <s v="24KC065"/>
    <s v="Repair-EA"/>
    <x v="0"/>
    <x v="1"/>
    <x v="3"/>
    <m/>
    <d v="2024-01-26T21:44:36"/>
    <d v="2024-04-17T04:00:00"/>
    <d v="2024-05-02T04:00:00"/>
    <x v="75"/>
    <d v="2024-04-19T20:50:53"/>
    <m/>
    <d v="2024-02-01T05:00:00"/>
    <d v="2024-02-07T05:00:00"/>
    <d v="2024-02-07T05:00:00"/>
    <d v="2024-04-18T04:00:00"/>
    <n v="6"/>
    <n v="70.958333333328483"/>
    <n v="76.958333333328483"/>
    <n v="83.260694444441469"/>
    <n v="6.3023611111129867"/>
    <n v="0"/>
    <n v="0"/>
    <n v="0"/>
    <n v="0"/>
    <n v="0"/>
    <n v="0"/>
    <n v="0"/>
    <n v="0"/>
    <n v="0"/>
    <n v="83.260694444441469"/>
    <n v="6.3023611111129867"/>
    <n v="2"/>
    <n v="0"/>
  </r>
  <r>
    <s v="Cases &amp; Composites"/>
    <s v="CAS-207640-F0D9W5"/>
    <s v="Jia Chen"/>
    <s v="Complete"/>
    <s v="Resolved"/>
    <x v="0"/>
    <n v="6"/>
    <s v="24KC109"/>
    <s v="Repair-EA"/>
    <x v="0"/>
    <x v="1"/>
    <x v="3"/>
    <m/>
    <d v="2024-02-23T16:42:33"/>
    <d v="2024-07-04T04:00:00"/>
    <d v="2024-05-29T04:00:00"/>
    <x v="36"/>
    <d v="2024-05-24T17:46:09"/>
    <s v="May"/>
    <d v="2024-03-13T04:00:00"/>
    <d v="2024-04-25T04:00:00"/>
    <d v="2024-04-25T04:00:00"/>
    <d v="2024-05-02T04:00:00"/>
    <n v="43"/>
    <n v="7"/>
    <n v="50"/>
    <n v="90.470451388886431"/>
    <n v="40.470451388886431"/>
    <n v="0"/>
    <n v="0"/>
    <n v="0"/>
    <n v="0"/>
    <n v="0"/>
    <n v="12"/>
    <n v="0"/>
    <n v="0"/>
    <n v="12"/>
    <n v="78.470451388886431"/>
    <n v="28.470451388886431"/>
    <n v="-41"/>
    <n v="1"/>
  </r>
  <r>
    <s v="Cases &amp; Composites"/>
    <s v="CAS-218767-G2W0H9"/>
    <s v="James Evans"/>
    <s v="Complete"/>
    <s v="Resolved"/>
    <x v="0"/>
    <n v="6"/>
    <s v="24KC387"/>
    <s v="Repair-EA"/>
    <x v="0"/>
    <x v="1"/>
    <x v="4"/>
    <s v="75%"/>
    <d v="2024-06-21T06:00:43"/>
    <d v="2024-07-12T04:00:00"/>
    <d v="2024-07-12T04:00:00"/>
    <x v="155"/>
    <d v="2024-07-13T12:44:00"/>
    <m/>
    <m/>
    <m/>
    <m/>
    <m/>
    <s v=""/>
    <s v=""/>
    <n v="0"/>
    <n v="20.916168981479132"/>
    <n v="20.916168981479132"/>
    <n v="0"/>
    <n v="0"/>
    <n v="0"/>
    <n v="0"/>
    <n v="0"/>
    <n v="0"/>
    <n v="0"/>
    <n v="0"/>
    <n v="0"/>
    <n v="20.916168981479132"/>
    <n v="20.916168981479132"/>
    <n v="0"/>
    <n v="1"/>
  </r>
  <r>
    <s v="Cases &amp; Composites"/>
    <s v="CAS-222023-D1H2V3"/>
    <s v="Robert Thompson"/>
    <s v="Complete"/>
    <s v="Active"/>
    <x v="0"/>
    <n v="6"/>
    <s v="24KC490"/>
    <s v="Repair-EA"/>
    <x v="0"/>
    <x v="1"/>
    <x v="3"/>
    <s v="50%"/>
    <d v="2024-07-23T19:42:41"/>
    <d v="2024-12-31T05:00:00"/>
    <d v="2024-09-30T04:00:00"/>
    <x v="156"/>
    <d v="2024-09-24T17:14:29"/>
    <m/>
    <d v="2024-08-27T04:00:00"/>
    <d v="2024-08-27T04:00:00"/>
    <d v="2024-08-27T04:00:00"/>
    <d v="2024-09-12T04:00:00"/>
    <n v="0"/>
    <n v="16"/>
    <n v="16"/>
    <n v="62.345358796294022"/>
    <n v="46.345358796294022"/>
    <n v="0"/>
    <n v="0"/>
    <n v="0"/>
    <n v="0"/>
    <n v="0"/>
    <n v="0"/>
    <n v="0"/>
    <n v="0"/>
    <n v="0"/>
    <n v="62.345358796294022"/>
    <n v="46.345358796294022"/>
    <n v="-98.041666666671517"/>
    <n v="1"/>
  </r>
  <r>
    <s v="Cases &amp; Composites"/>
    <s v="CAS-244874-F9L4G4"/>
    <s v="Francisco Astiasaran"/>
    <s v="Complete"/>
    <s v="Resolved"/>
    <x v="0"/>
    <n v="6"/>
    <s v="25CC991"/>
    <s v="Repair-EA"/>
    <x v="0"/>
    <x v="0"/>
    <x v="8"/>
    <s v="50%"/>
    <d v="2025-03-03T11:51:47"/>
    <d v="2025-05-16T04:00:00"/>
    <d v="2025-05-16T04:00:00"/>
    <x v="157"/>
    <d v="2025-05-28T13:02:23"/>
    <s v="May2025"/>
    <d v="2025-05-01T04:00:00"/>
    <d v="2025-05-06T04:00:00"/>
    <d v="2025-05-06T04:00:00"/>
    <d v="2025-05-08T04:00:00"/>
    <n v="5"/>
    <n v="2"/>
    <n v="7"/>
    <n v="69.67237268518511"/>
    <n v="62.67237268518511"/>
    <n v="0"/>
    <n v="0"/>
    <n v="0"/>
    <n v="0"/>
    <n v="0"/>
    <n v="0"/>
    <n v="0"/>
    <n v="0"/>
    <n v="0"/>
    <n v="69.67237268518511"/>
    <n v="62.67237268518511"/>
    <n v="-4"/>
    <n v="1"/>
  </r>
  <r>
    <s v="Cases &amp; Composites"/>
    <s v="MSG-250311-6B0069"/>
    <s v="Ferdin Mustafa"/>
    <s v="Complete"/>
    <s v="Complete"/>
    <x v="0"/>
    <n v="6"/>
    <s v="23CCE23A"/>
    <s v="Repair-EA"/>
    <x v="1"/>
    <x v="0"/>
    <x v="7"/>
    <s v="75%"/>
    <d v="2025-03-10T04:00:00"/>
    <d v="2025-08-15T04:00:00"/>
    <d v="2025-07-14T04:00:00"/>
    <x v="158"/>
    <d v="2025-07-06T17:40:07"/>
    <s v="Jul2025 - Review 23CCE23 submitted for PW1100G-B-72-51-02-00A-920A-D to determine if there is an impact with this Must Conform EC. Contact RPM for confirmation of next steps. "/>
    <m/>
    <m/>
    <m/>
    <m/>
    <s v=""/>
    <s v=""/>
    <n v="0"/>
    <n v="115"/>
    <n v="115"/>
    <n v="0"/>
    <n v="0"/>
    <n v="0"/>
    <n v="0"/>
    <n v="0"/>
    <n v="0"/>
    <n v="0"/>
    <n v="0"/>
    <n v="0"/>
    <n v="115"/>
    <n v="115"/>
    <n v="-43"/>
    <n v="1"/>
  </r>
  <r>
    <s v="Cases &amp; Composites"/>
    <s v="CAS-251791-X2S4G6"/>
    <s v="Francisco Astiasaran"/>
    <s v="Complete"/>
    <s v="Resolved"/>
    <x v="0"/>
    <n v="6"/>
    <s v="25KC332"/>
    <s v="Repair-EA"/>
    <x v="0"/>
    <x v="1"/>
    <x v="1"/>
    <s v="75%"/>
    <d v="2025-05-09T21:34:44"/>
    <d v="2025-06-11T04:00:00"/>
    <d v="2025-06-18T04:00:00"/>
    <x v="150"/>
    <d v="2025-06-19T20:18:47"/>
    <s v="Jun2025"/>
    <d v="2025-06-03T04:00:00"/>
    <d v="2025-06-03T04:00:00"/>
    <d v="2025-06-03T04:00:00"/>
    <d v="2025-06-13T04:00:00"/>
    <n v="0"/>
    <n v="10"/>
    <n v="10"/>
    <n v="40.267546296294313"/>
    <n v="30.267546296294313"/>
    <n v="0"/>
    <n v="0"/>
    <n v="0"/>
    <n v="0"/>
    <n v="0"/>
    <n v="0"/>
    <n v="0"/>
    <n v="0"/>
    <n v="0"/>
    <n v="40.267546296294313"/>
    <n v="30.267546296294313"/>
    <n v="8"/>
    <n v="0"/>
  </r>
  <r>
    <s v="Cases &amp; Composites"/>
    <s v="CAS-257280-C6F7L0"/>
    <s v="Ferdin Mustafa"/>
    <s v="Complete"/>
    <s v="Resolved"/>
    <x v="0"/>
    <n v="6"/>
    <s v="25AC107"/>
    <s v="Repair-EA"/>
    <x v="0"/>
    <x v="4"/>
    <x v="6"/>
    <s v="75%"/>
    <d v="2025-06-30T13:20:28"/>
    <d v="2025-09-12T04:00:00"/>
    <d v="2025-09-12T04:00:00"/>
    <x v="13"/>
    <d v="2025-07-01T21:12:36"/>
    <s v="jUl2025 - DR# 02213434"/>
    <m/>
    <m/>
    <m/>
    <m/>
    <s v=""/>
    <s v=""/>
    <n v="0"/>
    <n v="0.61078703703242354"/>
    <n v="0.61078703703242354"/>
    <n v="0"/>
    <n v="0"/>
    <n v="0"/>
    <n v="0"/>
    <n v="0"/>
    <n v="0"/>
    <n v="0"/>
    <n v="0"/>
    <n v="0"/>
    <n v="0.61078703703242354"/>
    <n v="0.61078703703242354"/>
    <n v="-73"/>
    <n v="1"/>
  </r>
  <r>
    <s v="Cases &amp; Composites"/>
    <s v="CAS-148405-W3J6L9"/>
    <s v="Ferdin Mustafa"/>
    <s v="Complete"/>
    <s v="Resolved"/>
    <x v="0"/>
    <n v="7"/>
    <s v="22CCH22"/>
    <s v="Repair-EA"/>
    <x v="1"/>
    <x v="5"/>
    <x v="9"/>
    <m/>
    <d v="2022-05-11T21:06:32"/>
    <d v="2022-12-20T05:00:00"/>
    <d v="2024-04-25T04:00:00"/>
    <x v="159"/>
    <d v="2024-04-04T18:28:47"/>
    <s v="Apr"/>
    <d v="2022-10-13T04:00:00"/>
    <d v="2023-03-23T04:00:00"/>
    <d v="2023-03-23T04:00:00"/>
    <d v="2023-08-30T04:00:00"/>
    <n v="161"/>
    <n v="160"/>
    <n v="321"/>
    <n v="693.28712962962891"/>
    <n v="372.28712962962891"/>
    <n v="0"/>
    <n v="0"/>
    <n v="0"/>
    <n v="0"/>
    <n v="0"/>
    <n v="13.084853634260071"/>
    <n v="0"/>
    <n v="0"/>
    <n v="13.084853634260071"/>
    <n v="680.20227599536884"/>
    <n v="359.20227599536884"/>
    <n v="470.95833333332848"/>
    <n v="0"/>
  </r>
  <r>
    <s v="Cases &amp; Composites"/>
    <s v="CAS-182120-V6R1X7"/>
    <s v="Jia Chen"/>
    <s v="Complete"/>
    <s v="Resolved"/>
    <x v="0"/>
    <n v="7"/>
    <s v="24KC062"/>
    <s v="Repair-EA"/>
    <x v="0"/>
    <x v="1"/>
    <x v="3"/>
    <m/>
    <d v="2023-06-05T18:15:41"/>
    <d v="2024-03-13T04:00:00"/>
    <d v="2024-03-13T04:00:00"/>
    <x v="160"/>
    <d v="2024-02-23T16:27:54"/>
    <m/>
    <d v="2024-02-09T05:00:00"/>
    <d v="2024-02-12T05:00:00"/>
    <d v="2024-02-12T05:00:00"/>
    <d v="2024-02-22T05:00:00"/>
    <n v="3"/>
    <n v="10"/>
    <n v="13"/>
    <n v="262.44744212963269"/>
    <n v="249.44744212963269"/>
    <n v="0"/>
    <n v="0"/>
    <n v="0"/>
    <n v="0"/>
    <n v="0"/>
    <n v="0"/>
    <n v="0"/>
    <n v="0"/>
    <n v="0"/>
    <n v="262.44744212963269"/>
    <n v="249.44744212963269"/>
    <n v="-18.958333333328483"/>
    <n v="1"/>
  </r>
  <r>
    <s v="Cases &amp; Composites"/>
    <n v="101523"/>
    <s v="Jia Chen"/>
    <s v="Complete"/>
    <s v="Open"/>
    <x v="0"/>
    <n v="7"/>
    <s v="23FC318"/>
    <s v="Repair-EA"/>
    <x v="0"/>
    <x v="2"/>
    <x v="3"/>
    <m/>
    <d v="2023-10-04T04:00:00"/>
    <d v="2024-01-11T05:00:00"/>
    <d v="2024-02-08T05:00:00"/>
    <x v="161"/>
    <d v="2024-01-12T14:45:06"/>
    <s v="JAN"/>
    <d v="2023-10-25T04:00:00"/>
    <d v="2023-12-22T05:00:00"/>
    <d v="2023-12-22T05:00:00"/>
    <d v="2024-01-08T05:00:00"/>
    <n v="58.041666666671517"/>
    <n v="17"/>
    <n v="75.041666666671517"/>
    <n v="100.04166666667152"/>
    <n v="25"/>
    <n v="0"/>
    <n v="0"/>
    <n v="0"/>
    <n v="0"/>
    <n v="0"/>
    <n v="0"/>
    <n v="0"/>
    <n v="0"/>
    <n v="0"/>
    <n v="100.04166666667152"/>
    <n v="25"/>
    <n v="1"/>
    <n v="0"/>
  </r>
  <r>
    <s v="Cases &amp; Composites"/>
    <n v="101998"/>
    <s v="Pedro Iturrino"/>
    <s v="Complete"/>
    <s v="Closed"/>
    <x v="0"/>
    <n v="7"/>
    <s v="23FC345"/>
    <s v="Repair-EA"/>
    <x v="0"/>
    <x v="2"/>
    <x v="3"/>
    <m/>
    <d v="2023-10-26T04:00:00"/>
    <d v="2024-03-08T05:00:00"/>
    <d v="2024-03-29T04:00:00"/>
    <x v="81"/>
    <d v="2024-03-25T17:03:38"/>
    <s v="MAR2"/>
    <d v="2023-11-06T05:00:00"/>
    <d v="2023-12-20T05:00:00"/>
    <d v="2023-12-20T05:00:00"/>
    <d v="2024-02-27T05:00:00"/>
    <n v="44"/>
    <n v="69"/>
    <n v="113"/>
    <n v="151"/>
    <n v="38"/>
    <n v="0"/>
    <n v="0"/>
    <n v="0"/>
    <n v="0"/>
    <n v="0"/>
    <n v="0"/>
    <n v="0"/>
    <n v="0"/>
    <n v="0"/>
    <n v="151"/>
    <n v="38"/>
    <n v="16.958333333328483"/>
    <n v="0"/>
  </r>
  <r>
    <s v="Cases &amp; Composites"/>
    <n v="102278"/>
    <s v="Pedro Iturrino"/>
    <s v="Complete"/>
    <s v="Closed"/>
    <x v="0"/>
    <n v="7"/>
    <s v="23FC376"/>
    <s v="Repair-EA"/>
    <x v="0"/>
    <x v="2"/>
    <x v="3"/>
    <m/>
    <d v="2023-11-09T05:00:00"/>
    <d v="2024-03-29T04:00:00"/>
    <d v="2024-05-03T04:00:00"/>
    <x v="132"/>
    <d v="2024-04-29T20:34:09"/>
    <m/>
    <d v="2023-12-18T05:00:00"/>
    <d v="2024-02-12T05:00:00"/>
    <d v="2024-02-12T05:00:00"/>
    <d v="2024-04-03T04:00:00"/>
    <n v="56"/>
    <n v="50.958333333328483"/>
    <n v="106.95833333332848"/>
    <n v="171.95833333332848"/>
    <n v="65"/>
    <n v="0"/>
    <n v="0"/>
    <n v="0"/>
    <n v="0"/>
    <n v="0"/>
    <n v="0"/>
    <n v="0"/>
    <n v="0"/>
    <n v="0"/>
    <n v="171.95833333332848"/>
    <n v="65"/>
    <n v="31"/>
    <n v="0"/>
  </r>
  <r>
    <s v="Cases &amp; Composites"/>
    <s v="CAS-198935-G6B6Z3"/>
    <s v="Jia Chen"/>
    <s v="Complete"/>
    <s v="Resolved"/>
    <x v="0"/>
    <n v="7"/>
    <s v="24KC029"/>
    <s v="Repair-EA"/>
    <x v="0"/>
    <x v="1"/>
    <x v="3"/>
    <m/>
    <d v="2023-11-21T16:45:04"/>
    <d v="2024-08-08T04:00:00"/>
    <d v="2024-08-14T04:00:00"/>
    <x v="5"/>
    <d v="2024-08-05T15:53:44"/>
    <s v="Damage beyond blend limit. Aug"/>
    <d v="2024-07-19T04:00:00"/>
    <d v="2024-07-23T04:00:00"/>
    <d v="2024-07-23T04:00:00"/>
    <d v="2024-07-29T04:00:00"/>
    <n v="4"/>
    <n v="6"/>
    <n v="10"/>
    <n v="257.46870370370016"/>
    <n v="247.46870370370016"/>
    <n v="0"/>
    <n v="0"/>
    <n v="0"/>
    <n v="0"/>
    <n v="56"/>
    <n v="0"/>
    <n v="0"/>
    <n v="0"/>
    <n v="56"/>
    <n v="201.46870370370016"/>
    <n v="191.46870370370016"/>
    <n v="-3"/>
    <n v="1"/>
  </r>
  <r>
    <s v="Cases &amp; Composites"/>
    <s v="CAS-197675-G5F6N5"/>
    <s v="Ferdin Mustafa"/>
    <s v="Complete"/>
    <s v="Resolved"/>
    <x v="0"/>
    <n v="7"/>
    <s v="23KC641"/>
    <s v="Repair-EA"/>
    <x v="0"/>
    <x v="1"/>
    <x v="3"/>
    <m/>
    <d v="2023-11-08T12:37:30"/>
    <d v="2024-03-01T05:00:00"/>
    <d v="2024-03-01T05:00:00"/>
    <x v="162"/>
    <d v="2024-02-16T03:52:49"/>
    <m/>
    <d v="2023-12-01T05:00:00"/>
    <d v="2023-12-12T05:00:00"/>
    <d v="2023-12-12T05:00:00"/>
    <d v="2023-12-12T05:00:00"/>
    <n v="11"/>
    <n v="0"/>
    <n v="11"/>
    <n v="98.682291666671517"/>
    <n v="87.682291666671517"/>
    <n v="0"/>
    <n v="0"/>
    <n v="0"/>
    <n v="0"/>
    <n v="0"/>
    <n v="0"/>
    <n v="0"/>
    <n v="0"/>
    <n v="0"/>
    <n v="98.682291666671517"/>
    <n v="87.682291666671517"/>
    <n v="-15"/>
    <n v="1"/>
  </r>
  <r>
    <s v="Cases &amp; Composites"/>
    <n v="104185"/>
    <s v="Jia Chen"/>
    <s v="Complete"/>
    <s v="Closed"/>
    <x v="0"/>
    <n v="7"/>
    <s v="24FC087"/>
    <s v="Repair-EA"/>
    <x v="0"/>
    <x v="2"/>
    <x v="3"/>
    <m/>
    <d v="2024-02-19T05:00:00"/>
    <d v="2024-07-05T04:00:00"/>
    <d v="2024-08-21T04:00:00"/>
    <x v="82"/>
    <d v="2024-08-19T13:53:01"/>
    <s v="Aug"/>
    <d v="2024-04-01T04:00:00"/>
    <d v="2024-04-09T04:00:00"/>
    <d v="2024-04-09T04:00:00"/>
    <d v="2024-04-09T04:00:00"/>
    <n v="8"/>
    <n v="0"/>
    <n v="8"/>
    <n v="177.95833333332848"/>
    <n v="169.95833333332848"/>
    <n v="0"/>
    <n v="0"/>
    <n v="0"/>
    <n v="0"/>
    <n v="0"/>
    <n v="0"/>
    <n v="0"/>
    <n v="0"/>
    <n v="0"/>
    <n v="177.95833333332848"/>
    <n v="169.95833333332848"/>
    <n v="41"/>
    <n v="0"/>
  </r>
  <r>
    <s v="Cases &amp; Composites"/>
    <n v="104738"/>
    <s v="Pedro Iturrino"/>
    <s v="Complete"/>
    <s v="Closed"/>
    <x v="0"/>
    <n v="7"/>
    <s v="24FC140"/>
    <s v="Repair-EA"/>
    <x v="0"/>
    <x v="2"/>
    <x v="3"/>
    <m/>
    <d v="2024-03-15T04:00:00"/>
    <d v="2024-07-12T04:00:00"/>
    <d v="2024-08-02T04:00:00"/>
    <x v="163"/>
    <d v="2024-07-22T19:54:43"/>
    <m/>
    <d v="2024-05-01T04:00:00"/>
    <d v="2024-05-08T04:00:00"/>
    <d v="2024-05-08T04:00:00"/>
    <d v="2024-05-08T04:00:00"/>
    <n v="7"/>
    <n v="0"/>
    <n v="7"/>
    <n v="129"/>
    <n v="122"/>
    <n v="0"/>
    <n v="0"/>
    <n v="0"/>
    <n v="0"/>
    <n v="0"/>
    <n v="0"/>
    <n v="0"/>
    <n v="0"/>
    <n v="0"/>
    <n v="129"/>
    <n v="122"/>
    <n v="10"/>
    <n v="0"/>
  </r>
  <r>
    <s v="Cases &amp; Composites"/>
    <s v="CAS-218948-L8X6B2"/>
    <s v="Robert Thompson"/>
    <s v="Complete"/>
    <s v="Resolved"/>
    <x v="0"/>
    <n v="7"/>
    <s v="24FC230"/>
    <s v="Repair-EA"/>
    <x v="1"/>
    <x v="2"/>
    <x v="3"/>
    <m/>
    <d v="2024-06-24T11:07:50"/>
    <d v="2024-12-12T05:00:00"/>
    <d v="2024-09-27T04:00:00"/>
    <x v="164"/>
    <d v="2024-09-25T15:40:35"/>
    <s v="Sept"/>
    <d v="2024-07-17T04:00:00"/>
    <d v="2024-08-09T04:00:00"/>
    <d v="2024-08-09T04:00:00"/>
    <d v="2024-08-13T04:00:00"/>
    <n v="23"/>
    <n v="4"/>
    <n v="27"/>
    <n v="92.702893518515339"/>
    <n v="65.702893518515339"/>
    <n v="0"/>
    <n v="0"/>
    <n v="0"/>
    <n v="0"/>
    <n v="0"/>
    <n v="0"/>
    <n v="0"/>
    <n v="0"/>
    <n v="0"/>
    <n v="92.702893518515339"/>
    <n v="65.702893518515339"/>
    <n v="-78.041666666671517"/>
    <n v="1"/>
  </r>
  <r>
    <s v="Cases &amp; Composites"/>
    <s v="CAS-148496-Y9P1T8"/>
    <s v="Ferdin Mustafa"/>
    <s v="Complete"/>
    <s v="Resolved"/>
    <x v="0"/>
    <n v="8"/>
    <s v="23CCF88"/>
    <s v="Repair-EA"/>
    <x v="1"/>
    <x v="5"/>
    <x v="9"/>
    <m/>
    <d v="2022-05-12T11:32:46"/>
    <d v="2023-12-08T05:00:00"/>
    <d v="2024-04-25T04:00:00"/>
    <x v="165"/>
    <d v="2024-04-04T09:23:17"/>
    <s v="Apr ---------- PW800 update EA15CCC67 borescope plug lock replacement. OTC -"/>
    <m/>
    <m/>
    <m/>
    <m/>
    <s v=""/>
    <s v=""/>
    <n v="0"/>
    <n v="691.68557870369841"/>
    <n v="691.68557870369841"/>
    <n v="0"/>
    <n v="0"/>
    <n v="0"/>
    <n v="0"/>
    <n v="0"/>
    <n v="0"/>
    <n v="0"/>
    <n v="13.984068182871852"/>
    <n v="13.984068182871852"/>
    <n v="677.70151052082656"/>
    <n v="677.70151052082656"/>
    <n v="116.95833333332848"/>
    <n v="0"/>
  </r>
  <r>
    <s v="Cases &amp; Composites"/>
    <s v="CAS-188541-W0M8G7"/>
    <s v="Pedro Iturrino"/>
    <s v="Complete"/>
    <s v="Resolved"/>
    <x v="0"/>
    <n v="8"/>
    <s v="23KC646"/>
    <s v="Repair-EA"/>
    <x v="0"/>
    <x v="1"/>
    <x v="3"/>
    <m/>
    <d v="2023-08-09T21:27:15"/>
    <d v="2024-03-12T04:00:00"/>
    <d v="2024-04-19T04:00:00"/>
    <x v="75"/>
    <d v="2024-04-19T15:51:20"/>
    <s v="APR"/>
    <d v="2024-01-04T05:00:00"/>
    <d v="2024-02-01T05:00:00"/>
    <d v="2024-02-01T05:00:00"/>
    <d v="2024-03-06T05:00:00"/>
    <n v="28"/>
    <n v="34"/>
    <n v="62"/>
    <n v="253.27274305555329"/>
    <n v="191.27274305555329"/>
    <n v="0"/>
    <n v="0"/>
    <n v="0"/>
    <n v="0"/>
    <n v="0"/>
    <n v="0"/>
    <n v="0"/>
    <n v="0"/>
    <n v="0"/>
    <n v="253.27274305555329"/>
    <n v="191.27274305555329"/>
    <n v="38"/>
    <n v="0"/>
  </r>
  <r>
    <s v="Cases &amp; Composites"/>
    <s v="CAS-190502-X6H1T4"/>
    <s v="Orlando Melendez Colon"/>
    <s v="Complete"/>
    <s v="Resolved"/>
    <x v="0"/>
    <n v="8"/>
    <s v="23VG298"/>
    <s v="Repair-EA"/>
    <x v="0"/>
    <x v="3"/>
    <x v="5"/>
    <m/>
    <d v="2023-08-30T07:48:12"/>
    <d v="2023-11-10T05:00:00"/>
    <d v="2024-07-31T04:00:00"/>
    <x v="166"/>
    <d v="2024-07-30T01:45:00"/>
    <s v="July"/>
    <d v="2023-09-25T04:00:00"/>
    <d v="2023-09-28T04:00:00"/>
    <d v="2023-09-28T04:00:00"/>
    <d v="2023-10-09T04:00:00"/>
    <n v="3"/>
    <n v="11"/>
    <n v="14"/>
    <n v="328.8415277777749"/>
    <n v="314.8415277777749"/>
    <n v="0"/>
    <n v="0"/>
    <n v="0"/>
    <n v="0"/>
    <n v="0"/>
    <n v="0"/>
    <n v="0"/>
    <n v="0"/>
    <n v="0"/>
    <n v="328.8415277777749"/>
    <n v="314.8415277777749"/>
    <n v="256.95833333332848"/>
    <n v="0"/>
  </r>
  <r>
    <s v="Cases &amp; Composites"/>
    <s v="CAS-196404-Z9C4Q8"/>
    <s v="Pedro Iturrino"/>
    <s v="Complete"/>
    <s v="Resolved"/>
    <x v="0"/>
    <n v="8"/>
    <s v="23KC615"/>
    <s v="Repair-EA"/>
    <x v="0"/>
    <x v="1"/>
    <x v="3"/>
    <m/>
    <d v="2023-10-26T19:15:53"/>
    <d v="2024-02-22T05:00:00"/>
    <d v="2024-02-22T05:00:00"/>
    <x v="34"/>
    <d v="2024-02-09T12:35:30"/>
    <s v="FEB2"/>
    <d v="2023-11-30T05:00:00"/>
    <d v="2023-12-12T05:00:00"/>
    <d v="2023-12-12T05:00:00"/>
    <d v="2024-01-26T05:00:00"/>
    <n v="12"/>
    <n v="45"/>
    <n v="57"/>
    <n v="104.4056365740762"/>
    <n v="47.405636574076198"/>
    <n v="0"/>
    <n v="0"/>
    <n v="0"/>
    <n v="0"/>
    <n v="0"/>
    <n v="0"/>
    <n v="0"/>
    <n v="0"/>
    <n v="0"/>
    <n v="104.4056365740762"/>
    <n v="47.405636574076198"/>
    <n v="-14"/>
    <n v="1"/>
  </r>
  <r>
    <s v="Cases &amp; Composites"/>
    <s v="CAS-200280-J8V5M8"/>
    <s v="Pedro Iturrino"/>
    <s v="Complete"/>
    <s v="Resolved"/>
    <x v="0"/>
    <n v="8"/>
    <s v="24VC008"/>
    <s v="Repair-EA"/>
    <x v="0"/>
    <x v="3"/>
    <x v="3"/>
    <m/>
    <d v="2023-12-05T20:07:06"/>
    <d v="2024-03-20T04:00:00"/>
    <d v="2024-05-17T04:00:00"/>
    <x v="72"/>
    <d v="2024-05-20T20:22:45"/>
    <s v="MAY"/>
    <d v="2024-01-11T05:00:00"/>
    <d v="2024-02-07T05:00:00"/>
    <d v="2024-02-07T05:00:00"/>
    <d v="2024-02-28T05:00:00"/>
    <n v="27"/>
    <n v="21"/>
    <n v="48"/>
    <n v="166.32840277777723"/>
    <n v="118.32840277777723"/>
    <n v="0"/>
    <n v="0"/>
    <n v="0"/>
    <n v="0"/>
    <n v="0"/>
    <n v="0"/>
    <n v="0"/>
    <n v="0"/>
    <n v="0"/>
    <n v="166.32840277777723"/>
    <n v="118.32840277777723"/>
    <n v="61"/>
    <n v="0"/>
  </r>
  <r>
    <s v="Cases &amp; Composites"/>
    <s v="MSG-231215-321AE4"/>
    <s v="Ferdin Mustafa"/>
    <s v="Complete"/>
    <s v="Complete"/>
    <x v="0"/>
    <n v="8"/>
    <s v="24CC229"/>
    <s v="Repair-EA"/>
    <x v="1"/>
    <x v="0"/>
    <x v="0"/>
    <m/>
    <d v="2023-12-15T05:00:00"/>
    <d v="2024-03-29T04:00:00"/>
    <d v="2024-06-06T04:00:00"/>
    <x v="167"/>
    <d v="2024-06-19T13:50:18"/>
    <s v="June Index 1 VIS: https://prod61-ews.prattwhitney.com/ietp/PW1000G-77445-25072-00/PW1000G-A-72-41-0211-00A-310A-C.html   Reference OTC 23CC872"/>
    <m/>
    <m/>
    <m/>
    <m/>
    <s v=""/>
    <s v=""/>
    <n v="0"/>
    <n v="186.95833333332848"/>
    <n v="186.95833333332848"/>
    <n v="0"/>
    <n v="0"/>
    <n v="0"/>
    <n v="0"/>
    <n v="0"/>
    <n v="0"/>
    <n v="0"/>
    <n v="15.160699467596714"/>
    <n v="15.160699467596714"/>
    <n v="171.79763386573177"/>
    <n v="171.79763386573177"/>
    <n v="82"/>
    <n v="0"/>
  </r>
  <r>
    <s v="Cases &amp; Composites"/>
    <s v="CAS-208225-L3F8Z8"/>
    <s v="Jia Chen"/>
    <s v="Complete"/>
    <s v="Resolved"/>
    <x v="0"/>
    <n v="8"/>
    <s v="24KC202"/>
    <s v="Repair-EA"/>
    <x v="0"/>
    <x v="1"/>
    <x v="3"/>
    <m/>
    <d v="2024-02-29T22:35:29"/>
    <d v="2024-07-09T04:00:00"/>
    <d v="2024-07-09T04:00:00"/>
    <x v="167"/>
    <d v="2024-06-19T19:07:37"/>
    <s v="June"/>
    <d v="2024-03-08T05:00:00"/>
    <d v="2024-03-20T04:00:00"/>
    <d v="2024-03-20T04:00:00"/>
    <d v="2024-05-13T04:00:00"/>
    <n v="11.958333333328483"/>
    <n v="54"/>
    <n v="65.958333333328483"/>
    <n v="110.2253587962914"/>
    <n v="44.26702546296292"/>
    <n v="0"/>
    <n v="0"/>
    <n v="0"/>
    <n v="0"/>
    <n v="0"/>
    <n v="0"/>
    <n v="0"/>
    <n v="0"/>
    <n v="0"/>
    <n v="110.2253587962914"/>
    <n v="44.26702546296292"/>
    <n v="-20"/>
    <n v="1"/>
  </r>
  <r>
    <s v="Cases &amp; Composites"/>
    <s v="CAS-209515-V9H4S1"/>
    <s v="Jia Chen"/>
    <s v="Complete"/>
    <s v="Resolved"/>
    <x v="0"/>
    <n v="8"/>
    <s v="24VC118"/>
    <s v="Repair-EA"/>
    <x v="0"/>
    <x v="3"/>
    <x v="3"/>
    <m/>
    <d v="2024-03-14T16:04:41"/>
    <d v="2024-07-01T04:00:00"/>
    <d v="2024-09-18T04:00:00"/>
    <x v="168"/>
    <d v="2024-09-18T13:31:50"/>
    <s v="Sept"/>
    <d v="2024-04-01T04:00:00"/>
    <d v="2024-04-11T04:00:00"/>
    <d v="2024-04-11T04:00:00"/>
    <d v="2024-09-06T04:00:00"/>
    <n v="10"/>
    <n v="148"/>
    <n v="158"/>
    <n v="186.49674768518162"/>
    <n v="28.496747685181617"/>
    <n v="0"/>
    <n v="0"/>
    <n v="0"/>
    <n v="0"/>
    <n v="0"/>
    <n v="0"/>
    <n v="20"/>
    <n v="0"/>
    <n v="20"/>
    <n v="166.49674768518162"/>
    <n v="8.4967476851816173"/>
    <n v="78"/>
    <n v="0"/>
  </r>
  <r>
    <s v="Cases &amp; Composites"/>
    <n v="106590"/>
    <s v="Robert Thompson"/>
    <s v="Complete"/>
    <s v="Closed"/>
    <x v="0"/>
    <n v="8"/>
    <s v="24FC269"/>
    <s v="Repair-EA"/>
    <x v="0"/>
    <x v="2"/>
    <x v="3"/>
    <s v="50%"/>
    <d v="2024-06-24T04:00:00"/>
    <d v="2024-08-30T04:00:00"/>
    <d v="2024-08-30T04:00:00"/>
    <x v="86"/>
    <d v="2024-08-16T20:12:19"/>
    <m/>
    <m/>
    <m/>
    <m/>
    <m/>
    <s v=""/>
    <s v=""/>
    <n v="0"/>
    <n v="53"/>
    <n v="53"/>
    <n v="0"/>
    <n v="0"/>
    <n v="0"/>
    <n v="0"/>
    <n v="0"/>
    <n v="0"/>
    <n v="0"/>
    <n v="0"/>
    <n v="0"/>
    <n v="53"/>
    <n v="53"/>
    <n v="-14"/>
    <n v="1"/>
  </r>
  <r>
    <s v="Cases &amp; Composites"/>
    <s v="CAS-221592-N7L2B1"/>
    <s v="Alexander Page"/>
    <s v="Complete"/>
    <s v="Resolved"/>
    <x v="0"/>
    <n v="8"/>
    <s v="24CCL31"/>
    <s v="Repair-EA"/>
    <x v="0"/>
    <x v="0"/>
    <x v="0"/>
    <s v="75%"/>
    <d v="2024-07-18T15:00:43"/>
    <d v="2024-09-13T04:00:00"/>
    <d v="2024-09-13T04:00:00"/>
    <x v="169"/>
    <d v="2024-08-29T18:38:41"/>
    <s v="DIFFUSER INNER CASE ASSEMBLY - W-SEAL PLASMA COAT REPAIR - 21CCM16B LIMIT EXTENSION"/>
    <d v="2024-08-15T04:00:00"/>
    <d v="2024-08-16T04:00:00"/>
    <d v="2024-08-16T04:00:00"/>
    <d v="2024-08-19T04:00:00"/>
    <n v="1"/>
    <n v="3"/>
    <n v="4"/>
    <n v="41.541168981479132"/>
    <n v="37.541168981479132"/>
    <n v="0"/>
    <n v="0"/>
    <n v="0"/>
    <n v="0"/>
    <n v="0"/>
    <n v="0"/>
    <n v="0"/>
    <n v="0"/>
    <n v="0"/>
    <n v="41.541168981479132"/>
    <n v="37.541168981479132"/>
    <n v="-15"/>
    <n v="1"/>
  </r>
  <r>
    <s v="Cases &amp; Composites"/>
    <s v="CAS-224559-P3D6F9"/>
    <s v="Robert Thompson"/>
    <s v="Complete"/>
    <s v="Resolved"/>
    <x v="0"/>
    <n v="8"/>
    <s v="24KC523"/>
    <s v="Repair-EA"/>
    <x v="0"/>
    <x v="1"/>
    <x v="3"/>
    <m/>
    <d v="2024-08-19T12:38:11"/>
    <d v="2024-11-30T05:00:00"/>
    <d v="2024-09-18T04:00:00"/>
    <x v="170"/>
    <d v="2024-09-12T15:39:18"/>
    <m/>
    <m/>
    <m/>
    <m/>
    <m/>
    <s v=""/>
    <s v=""/>
    <n v="0"/>
    <n v="22.640150462961174"/>
    <n v="22.640150462961174"/>
    <n v="0"/>
    <n v="0"/>
    <n v="0"/>
    <n v="0"/>
    <n v="0"/>
    <n v="0"/>
    <n v="0"/>
    <n v="0"/>
    <n v="0"/>
    <n v="22.640150462961174"/>
    <n v="22.640150462961174"/>
    <n v="-80.041666666671517"/>
    <n v="1"/>
  </r>
  <r>
    <s v="Cases &amp; Composites"/>
    <s v="CAS-252538-V1V1F6"/>
    <s v="Bruce Zoyaar"/>
    <s v="Complete"/>
    <s v="Resolved"/>
    <x v="0"/>
    <n v="8"/>
    <s v="25AC085"/>
    <s v="Repair-EA"/>
    <x v="0"/>
    <x v="4"/>
    <x v="6"/>
    <s v="75%"/>
    <d v="2025-05-16T13:22:23"/>
    <d v="2025-07-08T04:00:00"/>
    <d v="2025-05-30T04:00:00"/>
    <x v="171"/>
    <d v="2025-05-28T23:58:02"/>
    <s v="DR# 02188219, 02191287, 02191297"/>
    <m/>
    <m/>
    <m/>
    <m/>
    <s v=""/>
    <s v=""/>
    <n v="0"/>
    <n v="11.60945601851563"/>
    <n v="11.60945601851563"/>
    <n v="0"/>
    <n v="0"/>
    <n v="0"/>
    <n v="0"/>
    <n v="0"/>
    <n v="0"/>
    <n v="0"/>
    <n v="0"/>
    <n v="0"/>
    <n v="11.60945601851563"/>
    <n v="11.60945601851563"/>
    <n v="-41"/>
    <n v="1"/>
  </r>
  <r>
    <s v="Cases &amp; Composites"/>
    <s v="CAS-148403-H5Q6J7"/>
    <s v="Dean Catlett"/>
    <s v="Complete"/>
    <s v="Resolved"/>
    <x v="0"/>
    <n v="9"/>
    <s v="23CCF87"/>
    <s v="Repair-EA"/>
    <x v="1"/>
    <x v="5"/>
    <x v="9"/>
    <m/>
    <d v="2022-05-11T20:44:03"/>
    <d v="2024-02-16T05:00:00"/>
    <d v="2024-04-30T04:00:00"/>
    <x v="165"/>
    <d v="2024-04-04T16:12:23"/>
    <s v="EM - PW800 update EA15CCC79 borescope thread chase repair OTC - Apr"/>
    <m/>
    <m/>
    <m/>
    <m/>
    <s v=""/>
    <s v=""/>
    <n v="0"/>
    <n v="692.30274305555213"/>
    <n v="692.30274305555213"/>
    <n v="0"/>
    <n v="0"/>
    <n v="0"/>
    <n v="0"/>
    <n v="0"/>
    <n v="0"/>
    <n v="0"/>
    <n v="13.984316712965665"/>
    <n v="13.984316712965665"/>
    <n v="678.31842634258646"/>
    <n v="678.31842634258646"/>
    <n v="46.958333333328483"/>
    <n v="0"/>
  </r>
  <r>
    <s v="Cases &amp; Composites"/>
    <s v="CAS-173448-K8Z4Z0"/>
    <s v="Jia Chen"/>
    <s v="Complete"/>
    <s v="Resolved"/>
    <x v="0"/>
    <n v="9"/>
    <s v="23CCB42"/>
    <s v="Repair-EA"/>
    <x v="0"/>
    <x v="0"/>
    <x v="3"/>
    <m/>
    <d v="2023-03-03T15:18:49"/>
    <d v="2023-09-20T04:00:00"/>
    <d v="2024-03-05T05:00:00"/>
    <x v="172"/>
    <d v="2024-03-04T15:15:39"/>
    <s v="TIC Inner. mar1"/>
    <d v="2023-06-12T04:00:00"/>
    <d v="2023-06-14T04:00:00"/>
    <d v="2023-06-14T04:00:00"/>
    <d v="2023-10-26T04:00:00"/>
    <n v="2"/>
    <n v="134"/>
    <n v="136"/>
    <n v="366.57026620370743"/>
    <n v="230.57026620370743"/>
    <n v="0"/>
    <n v="0"/>
    <n v="0"/>
    <n v="0"/>
    <n v="0"/>
    <n v="0"/>
    <n v="0"/>
    <n v="0"/>
    <n v="0"/>
    <n v="366.57026620370743"/>
    <n v="230.57026620370743"/>
    <n v="166.04166666667152"/>
    <n v="0"/>
  </r>
  <r>
    <s v="Cases &amp; Composites"/>
    <s v="CAS-176621-P9J0X1"/>
    <s v="Jia Chen"/>
    <s v="Complete"/>
    <s v="Resolved"/>
    <x v="0"/>
    <n v="9"/>
    <s v="23KC517"/>
    <s v="Repair-EA"/>
    <x v="0"/>
    <x v="1"/>
    <x v="3"/>
    <m/>
    <d v="2023-04-05T14:36:28"/>
    <d v="2023-10-19T04:00:00"/>
    <d v="2024-01-31T05:00:00"/>
    <x v="30"/>
    <d v="2024-01-22T16:06:35"/>
    <s v="JAN"/>
    <d v="2023-05-01T04:00:00"/>
    <d v="2023-09-26T04:00:00"/>
    <d v="2023-09-26T04:00:00"/>
    <d v="2023-12-15T05:00:00"/>
    <n v="148"/>
    <n v="80.041666666671517"/>
    <n v="228.04166666667152"/>
    <n v="291.59967592592875"/>
    <n v="63.558009259257233"/>
    <n v="0"/>
    <n v="0"/>
    <n v="0"/>
    <n v="0"/>
    <n v="0"/>
    <n v="0"/>
    <n v="35"/>
    <n v="0"/>
    <n v="35"/>
    <n v="256.59967592592875"/>
    <n v="28.558009259257233"/>
    <n v="95.041666666671517"/>
    <n v="0"/>
  </r>
  <r>
    <s v="Cases &amp; Composites"/>
    <s v="CAS-197572-Z0G8R2"/>
    <s v="Jia Chen"/>
    <s v="Complete"/>
    <s v="Resolved"/>
    <x v="0"/>
    <n v="9"/>
    <s v="23VC517"/>
    <s v="Repair-EA"/>
    <x v="1"/>
    <x v="3"/>
    <x v="5"/>
    <m/>
    <d v="2023-11-07T15:27:50"/>
    <d v="2024-02-29T05:00:00"/>
    <d v="2024-01-18T05:00:00"/>
    <x v="118"/>
    <d v="2024-01-16T18:15:20"/>
    <s v="JAN"/>
    <d v="2023-11-09T05:00:00"/>
    <d v="2023-11-09T05:00:00"/>
    <d v="2023-11-09T05:00:00"/>
    <d v="2023-12-20T05:00:00"/>
    <n v="0"/>
    <n v="41"/>
    <n v="41"/>
    <n v="69.564004629632109"/>
    <n v="28.564004629632109"/>
    <n v="0"/>
    <n v="0"/>
    <n v="0"/>
    <n v="0"/>
    <n v="0"/>
    <n v="0"/>
    <n v="0"/>
    <n v="0"/>
    <n v="0"/>
    <n v="69.564004629632109"/>
    <n v="28.564004629632109"/>
    <n v="-44"/>
    <n v="1"/>
  </r>
  <r>
    <s v="Cases &amp; Composites"/>
    <s v="CAS-199976-N6W0W6"/>
    <s v="Pedro Iturrino"/>
    <s v="Complete"/>
    <s v="Resolved"/>
    <x v="0"/>
    <n v="9"/>
    <s v="24KC028"/>
    <s v="Repair-EA"/>
    <x v="0"/>
    <x v="1"/>
    <x v="3"/>
    <m/>
    <d v="2023-12-01T16:38:43"/>
    <d v="2024-03-25T04:00:00"/>
    <d v="2024-04-19T04:00:00"/>
    <x v="108"/>
    <d v="2024-04-17T16:54:56"/>
    <s v="APR"/>
    <d v="2024-01-03T05:00:00"/>
    <d v="2024-02-08T05:00:00"/>
    <d v="2024-02-08T05:00:00"/>
    <d v="2024-03-20T04:00:00"/>
    <n v="36"/>
    <n v="40.958333333328483"/>
    <n v="76.958333333328483"/>
    <n v="137.47311342592002"/>
    <n v="60.514780092591536"/>
    <n v="0"/>
    <n v="0"/>
    <n v="0"/>
    <n v="0"/>
    <n v="0"/>
    <n v="0"/>
    <n v="0"/>
    <n v="0"/>
    <n v="0"/>
    <n v="137.47311342592002"/>
    <n v="60.514780092591536"/>
    <n v="23"/>
    <n v="0"/>
  </r>
  <r>
    <s v="Cases &amp; Composites"/>
    <s v="CAS-200292-X8X0Q5"/>
    <s v="Robert Thompson"/>
    <s v="Complete"/>
    <s v="Resolved"/>
    <x v="0"/>
    <n v="9"/>
    <s v="17CCE31A"/>
    <s v="Repair-EA"/>
    <x v="1"/>
    <x v="0"/>
    <x v="0"/>
    <m/>
    <d v="2023-12-05T22:43:10"/>
    <d v="2024-02-09T05:00:00"/>
    <d v="2024-02-09T05:00:00"/>
    <x v="62"/>
    <d v="2024-01-29T16:48:53"/>
    <m/>
    <m/>
    <m/>
    <m/>
    <m/>
    <s v=""/>
    <s v=""/>
    <n v="0"/>
    <n v="54.261689814818965"/>
    <n v="54.261689814818965"/>
    <n v="0"/>
    <n v="0"/>
    <n v="0"/>
    <n v="0"/>
    <n v="0"/>
    <n v="0"/>
    <n v="0"/>
    <n v="0"/>
    <n v="0"/>
    <n v="54.261689814818965"/>
    <n v="54.261689814818965"/>
    <n v="-11"/>
    <n v="1"/>
  </r>
  <r>
    <s v="Cases &amp; Composites"/>
    <s v="CAS-200561-X6C1R3"/>
    <s v="Pedro Iturrino"/>
    <s v="Complete"/>
    <s v="Resolved"/>
    <x v="0"/>
    <n v="9"/>
    <s v="23FC380"/>
    <s v="Repair-EA"/>
    <x v="0"/>
    <x v="2"/>
    <x v="3"/>
    <m/>
    <d v="2023-12-07T19:37:36"/>
    <d v="2024-02-29T05:00:00"/>
    <d v="2024-03-15T04:00:00"/>
    <x v="173"/>
    <d v="2024-03-18T15:17:15"/>
    <m/>
    <d v="2023-12-14T05:00:00"/>
    <d v="2023-12-21T05:00:00"/>
    <d v="2023-12-21T05:00:00"/>
    <d v="2024-01-23T05:00:00"/>
    <n v="7"/>
    <n v="33"/>
    <n v="40"/>
    <n v="101.34888888888963"/>
    <n v="61.348888888889633"/>
    <n v="0"/>
    <n v="0"/>
    <n v="0"/>
    <n v="0"/>
    <n v="0"/>
    <n v="0"/>
    <n v="0"/>
    <n v="0"/>
    <n v="0"/>
    <n v="101.34888888888963"/>
    <n v="61.348888888889633"/>
    <n v="17.958333333328483"/>
    <n v="0"/>
  </r>
  <r>
    <s v="Cases &amp; Composites"/>
    <s v="CAS-201903-S8T5T1"/>
    <s v="Robert Thompson"/>
    <s v="Complete"/>
    <s v="Resolved"/>
    <x v="0"/>
    <n v="9"/>
    <s v="24KC095"/>
    <s v="Repair-EA"/>
    <x v="1"/>
    <x v="1"/>
    <x v="3"/>
    <m/>
    <d v="2024-01-03T17:59:41"/>
    <d v="2024-03-08T05:00:00"/>
    <d v="2024-08-06T04:00:00"/>
    <x v="174"/>
    <d v="2024-08-07T16:49:09"/>
    <m/>
    <d v="2024-07-09T04:00:00"/>
    <d v="2024-07-10T04:00:00"/>
    <d v="2024-07-10T04:00:00"/>
    <d v="2024-07-10T04:00:00"/>
    <n v="1"/>
    <n v="0"/>
    <n v="1"/>
    <n v="215.41688657407212"/>
    <n v="214.41688657407212"/>
    <n v="0"/>
    <n v="0"/>
    <n v="0"/>
    <n v="0"/>
    <n v="0"/>
    <n v="5"/>
    <n v="0"/>
    <n v="0"/>
    <n v="5"/>
    <n v="210.41688657407212"/>
    <n v="209.41688657407212"/>
    <n v="150.95833333332848"/>
    <n v="0"/>
  </r>
  <r>
    <s v="Cases &amp; Composites"/>
    <s v="CAS-207964-W7Y0T3"/>
    <s v="Jia Chen"/>
    <s v="Complete"/>
    <s v="Resolved"/>
    <x v="0"/>
    <n v="9"/>
    <s v="24CC683"/>
    <s v="Repair-EA"/>
    <x v="0"/>
    <x v="0"/>
    <x v="8"/>
    <m/>
    <d v="2024-02-27T17:59:26"/>
    <d v="2024-06-14T04:00:00"/>
    <d v="2024-05-15T04:00:00"/>
    <x v="2"/>
    <d v="2024-04-30T17:04:27"/>
    <s v="IDC"/>
    <d v="2024-03-26T04:00:00"/>
    <d v="2024-04-03T04:00:00"/>
    <d v="2024-04-03T04:00:00"/>
    <d v="2024-04-26T04:00:00"/>
    <n v="8"/>
    <n v="23"/>
    <n v="31"/>
    <n v="62.417060185180162"/>
    <n v="31.417060185180162"/>
    <n v="0"/>
    <n v="0"/>
    <n v="0"/>
    <n v="0"/>
    <n v="0"/>
    <n v="0"/>
    <n v="0"/>
    <n v="0"/>
    <n v="0"/>
    <n v="62.417060185180162"/>
    <n v="31.417060185180162"/>
    <n v="-45"/>
    <n v="1"/>
  </r>
  <r>
    <s v="Cases &amp; Composites"/>
    <s v="CAS-236783-S4W5B1"/>
    <s v="Francisco Astiasaran"/>
    <s v="Complete"/>
    <s v="Resolved"/>
    <x v="0"/>
    <n v="9"/>
    <s v="24CCY71"/>
    <s v="Repair-EA"/>
    <x v="0"/>
    <x v="0"/>
    <x v="8"/>
    <s v="50%"/>
    <d v="2024-12-10T21:23:34"/>
    <d v="2025-01-08T05:00:00"/>
    <d v="2025-01-08T05:00:00"/>
    <x v="175"/>
    <d v="2024-12-21T00:15:04"/>
    <m/>
    <d v="2024-12-18T05:00:00"/>
    <d v="2024-12-18T05:00:00"/>
    <d v="2024-12-18T05:00:00"/>
    <d v="2024-12-19T05:00:00"/>
    <n v="0"/>
    <n v="1"/>
    <n v="1"/>
    <n v="9.3169675925964839"/>
    <n v="8.3169675925964839"/>
    <n v="0"/>
    <n v="0"/>
    <n v="0"/>
    <n v="0"/>
    <n v="0"/>
    <n v="0"/>
    <n v="0"/>
    <n v="0"/>
    <n v="0"/>
    <n v="9.3169675925964839"/>
    <n v="8.3169675925964839"/>
    <n v="-19"/>
    <n v="1"/>
  </r>
  <r>
    <s v="Cases &amp; Composites"/>
    <s v="CAS-247358-W6W6D9"/>
    <s v="Francisco Astiasaran"/>
    <s v="Complete"/>
    <s v="Resolved"/>
    <x v="0"/>
    <n v="9"/>
    <s v="25CC872"/>
    <s v="Repair-EA"/>
    <x v="0"/>
    <x v="0"/>
    <x v="0"/>
    <s v="75%"/>
    <d v="2025-03-26T13:04:08"/>
    <d v="2025-05-14T04:00:00"/>
    <d v="2025-05-28T04:00:00"/>
    <x v="176"/>
    <d v="2025-05-21T20:18:44"/>
    <s v="May2025 - FASM: Proposing follow on EM repair given number of occurrences."/>
    <d v="2025-05-09T04:00:00"/>
    <d v="2025-05-09T04:00:00"/>
    <d v="2025-05-09T04:00:00"/>
    <d v="2025-05-19T04:00:00"/>
    <n v="0"/>
    <n v="10"/>
    <n v="10"/>
    <n v="55.622129629628034"/>
    <n v="45.622129629628034"/>
    <n v="0"/>
    <n v="0"/>
    <n v="0"/>
    <n v="0"/>
    <n v="0"/>
    <n v="0"/>
    <n v="0"/>
    <n v="0"/>
    <n v="0"/>
    <n v="55.622129629628034"/>
    <n v="45.622129629628034"/>
    <n v="7"/>
    <n v="0"/>
  </r>
  <r>
    <s v="Cases &amp; Composites"/>
    <s v="MSG-250318-098751"/>
    <s v="Ferdin Mustafa"/>
    <s v="Complete"/>
    <s v="Complete"/>
    <x v="0"/>
    <n v="9"/>
    <s v="23CCA12A"/>
    <s v="Repair-EA"/>
    <x v="1"/>
    <x v="0"/>
    <x v="7"/>
    <s v="75%"/>
    <d v="2025-03-18T04:00:00"/>
    <d v="2025-08-15T04:00:00"/>
    <d v="2025-07-18T04:00:00"/>
    <x v="177"/>
    <d v="2025-07-17T17:16:31"/>
    <s v="ASE processed 23CCA12 authorizing PW1100G-A-72-35-01-00A-920A-D to be used as common to 30K/GTFA. Due to Pre- Post SB call out MDE is now updating the DMC to PW1100G-B (30K) and PW1100G-C GTFA Variants. Provide REA to confirm MDE draft. Contact RPM"/>
    <m/>
    <m/>
    <m/>
    <m/>
    <s v=""/>
    <s v=""/>
    <n v="0"/>
    <n v="121"/>
    <n v="121"/>
    <n v="0"/>
    <n v="8.3237430671288166"/>
    <n v="0"/>
    <n v="0"/>
    <n v="0"/>
    <n v="0"/>
    <n v="0"/>
    <n v="0"/>
    <n v="8.3237430671288166"/>
    <n v="112.67625693287118"/>
    <n v="112.67625693287118"/>
    <n v="-29"/>
    <n v="1"/>
  </r>
  <r>
    <s v="Cases &amp; Composites"/>
    <s v="CAS-162920-P9B5W9"/>
    <s v="Robert Thompson"/>
    <s v="Complete"/>
    <s v="Resolved"/>
    <x v="0"/>
    <n v="10"/>
    <s v="17CC668A"/>
    <s v="Repair-EA"/>
    <x v="1"/>
    <x v="0"/>
    <x v="0"/>
    <m/>
    <d v="2022-11-09T00:27:43"/>
    <d v="2024-05-29T04:00:00"/>
    <d v="2024-07-31T04:00:00"/>
    <x v="91"/>
    <d v="2024-07-30T18:14:42"/>
    <m/>
    <m/>
    <m/>
    <m/>
    <m/>
    <s v=""/>
    <s v=""/>
    <n v="0"/>
    <n v="629.14741898147622"/>
    <n v="629.14741898147622"/>
    <n v="0"/>
    <n v="0"/>
    <n v="0"/>
    <n v="0"/>
    <n v="0"/>
    <n v="0"/>
    <n v="0"/>
    <n v="0"/>
    <n v="0"/>
    <n v="629.14741898147622"/>
    <n v="629.14741898147622"/>
    <n v="62"/>
    <n v="0"/>
  </r>
  <r>
    <s v="Cases &amp; Composites"/>
    <s v="CAS-177728-R3P3F3"/>
    <s v="Robert Thompson"/>
    <s v="Complete"/>
    <s v="Resolved"/>
    <x v="0"/>
    <n v="10"/>
    <s v="20CCK95B"/>
    <s v="Repair-EA"/>
    <x v="2"/>
    <x v="0"/>
    <x v="8"/>
    <m/>
    <d v="2023-04-18T11:47:57"/>
    <d v="2023-06-16T04:00:00"/>
    <d v="2024-02-16T05:00:00"/>
    <x v="68"/>
    <d v="2024-02-12T19:19:04"/>
    <s v="(Jan.)  Inlet Cap, Inlet Cone"/>
    <m/>
    <m/>
    <m/>
    <m/>
    <s v=""/>
    <s v=""/>
    <n v="0"/>
    <n v="296.71670138889021"/>
    <n v="296.71670138889021"/>
    <n v="0"/>
    <n v="0"/>
    <n v="0"/>
    <n v="0"/>
    <n v="0"/>
    <n v="0"/>
    <n v="0"/>
    <n v="63.006091527779063"/>
    <n v="63.006091527779063"/>
    <n v="233.71060986111115"/>
    <n v="233.71060986111115"/>
    <n v="238.04166666667152"/>
    <n v="0"/>
  </r>
  <r>
    <s v="Cases &amp; Composites"/>
    <s v="CAS-193424-N6V4T2"/>
    <s v="Ferdin Mustafa"/>
    <s v="Complete"/>
    <s v="Resolved"/>
    <x v="0"/>
    <n v="10"/>
    <s v="19CC090B"/>
    <s v="Repair-EA"/>
    <x v="1"/>
    <x v="0"/>
    <x v="4"/>
    <m/>
    <d v="2023-09-27T07:22:23"/>
    <d v="2023-12-08T05:00:00"/>
    <d v="2024-04-12T04:00:00"/>
    <x v="60"/>
    <d v="2024-04-16T15:13:38"/>
    <s v="Apr"/>
    <m/>
    <m/>
    <m/>
    <m/>
    <s v=""/>
    <s v=""/>
    <n v="0"/>
    <n v="193.85945601851563"/>
    <n v="193.85945601851563"/>
    <n v="0"/>
    <n v="0"/>
    <n v="0"/>
    <n v="0"/>
    <n v="0"/>
    <n v="0"/>
    <n v="0"/>
    <n v="0"/>
    <n v="0"/>
    <n v="193.85945601851563"/>
    <n v="193.85945601851563"/>
    <n v="121.95833333332848"/>
    <n v="0"/>
  </r>
  <r>
    <s v="Cases &amp; Composites"/>
    <s v="CAS-204584-H7R3F1"/>
    <s v="Ferdin Mustafa"/>
    <s v="Complete"/>
    <s v="Resolved"/>
    <x v="0"/>
    <n v="10"/>
    <s v="24FC132"/>
    <s v="Repair-EA"/>
    <x v="0"/>
    <x v="2"/>
    <x v="1"/>
    <m/>
    <d v="2024-01-23T16:42:37"/>
    <d v="2024-10-02T04:00:00"/>
    <d v="2025-01-10T05:00:00"/>
    <x v="97"/>
    <d v="2025-01-09T17:09:51"/>
    <s v="January - "/>
    <d v="2024-03-14T04:00:00"/>
    <d v="2024-04-09T04:00:00"/>
    <d v="2024-04-09T04:00:00"/>
    <d v="2024-08-15T04:00:00"/>
    <n v="26"/>
    <n v="128"/>
    <n v="154"/>
    <n v="351.51207175925811"/>
    <n v="197.51207175925811"/>
    <n v="0"/>
    <n v="0"/>
    <n v="0"/>
    <n v="0"/>
    <n v="0"/>
    <n v="0"/>
    <n v="0"/>
    <n v="0"/>
    <n v="0"/>
    <n v="351.51207175925811"/>
    <n v="197.51207175925811"/>
    <n v="99.041666666671517"/>
    <n v="0"/>
  </r>
  <r>
    <s v="Cases &amp; Composites"/>
    <s v="CAS-208078-K6V0Q3"/>
    <s v="Ferdin Mustafa"/>
    <s v="Complete"/>
    <s v="Resolved"/>
    <x v="0"/>
    <n v="10"/>
    <s v="24AC032"/>
    <s v="Repair-EA"/>
    <x v="0"/>
    <x v="4"/>
    <x v="6"/>
    <m/>
    <d v="2024-02-28T14:36:48"/>
    <d v="2024-06-26T04:00:00"/>
    <d v="2025-04-03T04:00:00"/>
    <x v="178"/>
    <d v="2025-03-19T17:04:02"/>
    <s v="Mar2025 Salesforce Case #01933543"/>
    <d v="2024-12-17T05:00:00"/>
    <d v="2024-12-17T05:00:00"/>
    <d v="2024-12-17T05:00:00"/>
    <d v="2025-01-28T05:00:00"/>
    <n v="0"/>
    <n v="42"/>
    <n v="42"/>
    <n v="383.55777777777257"/>
    <n v="341.55777777777257"/>
    <n v="0"/>
    <n v="0"/>
    <n v="0"/>
    <n v="0"/>
    <n v="147"/>
    <n v="57"/>
    <n v="0"/>
    <n v="0"/>
    <n v="204"/>
    <n v="179.55777777777257"/>
    <n v="137.55777777777257"/>
    <n v="265"/>
    <n v="0"/>
  </r>
  <r>
    <s v="Cases &amp; Composites"/>
    <n v="104723"/>
    <s v="Pedro Iturrino"/>
    <s v="Complete"/>
    <s v="Closed"/>
    <x v="0"/>
    <n v="10"/>
    <s v="22FC236B"/>
    <s v="Repair-EA"/>
    <x v="3"/>
    <x v="2"/>
    <x v="3"/>
    <m/>
    <d v="2024-03-15T04:00:00"/>
    <d v="2024-06-21T04:00:00"/>
    <d v="2024-10-31T04:00:00"/>
    <x v="179"/>
    <d v="2024-10-22T19:05:17"/>
    <m/>
    <m/>
    <m/>
    <m/>
    <m/>
    <s v=""/>
    <s v=""/>
    <n v="0"/>
    <n v="221"/>
    <n v="221"/>
    <n v="0"/>
    <n v="0"/>
    <n v="0"/>
    <n v="0"/>
    <n v="4"/>
    <n v="0"/>
    <n v="0"/>
    <n v="0"/>
    <n v="4"/>
    <n v="217"/>
    <n v="217"/>
    <n v="123"/>
    <n v="0"/>
  </r>
  <r>
    <s v="Cases &amp; Composites"/>
    <n v="105567"/>
    <s v="Ferdin Mustafa"/>
    <s v="Complete"/>
    <s v="Closed"/>
    <x v="0"/>
    <n v="10"/>
    <s v="24FC169"/>
    <s v="Repair-EA"/>
    <x v="1"/>
    <x v="2"/>
    <x v="2"/>
    <s v="50%"/>
    <d v="2024-04-26T04:00:00"/>
    <d v="2024-08-08T04:00:00"/>
    <d v="2025-02-05T05:00:00"/>
    <x v="180"/>
    <d v="2024-10-04T17:18:59"/>
    <s v="October - See related case MSG-240611-B8DEE3"/>
    <m/>
    <m/>
    <m/>
    <m/>
    <s v=""/>
    <s v=""/>
    <n v="0"/>
    <n v="161"/>
    <n v="161"/>
    <n v="15"/>
    <n v="0"/>
    <n v="0"/>
    <n v="0"/>
    <n v="0"/>
    <n v="0"/>
    <n v="0"/>
    <n v="0"/>
    <n v="15"/>
    <n v="146"/>
    <n v="146"/>
    <n v="57"/>
    <n v="0"/>
  </r>
  <r>
    <s v="Cases &amp; Composites"/>
    <s v="CAS-214859-P2Q3L5"/>
    <s v="Jia Chen"/>
    <s v="Complete"/>
    <s v="Resolved"/>
    <x v="0"/>
    <n v="10"/>
    <s v="22KC646A"/>
    <s v="Repair-EA"/>
    <x v="0"/>
    <x v="1"/>
    <x v="3"/>
    <m/>
    <d v="2024-05-13T16:04:08"/>
    <d v="2024-07-18T04:00:00"/>
    <d v="2025-01-24T05:00:00"/>
    <x v="181"/>
    <d v="2025-01-15T21:09:02"/>
    <s v="Jan"/>
    <d v="2024-06-07T04:00:00"/>
    <d v="2024-06-11T04:00:00"/>
    <d v="2024-06-11T04:00:00"/>
    <d v="2024-12-05T05:00:00"/>
    <n v="4"/>
    <n v="177.04166666667152"/>
    <n v="181.04166666667152"/>
    <n v="246.53879629629955"/>
    <n v="65.497129629628034"/>
    <n v="0"/>
    <n v="0"/>
    <n v="0"/>
    <n v="0"/>
    <n v="0"/>
    <n v="0"/>
    <n v="0"/>
    <n v="0"/>
    <n v="0"/>
    <n v="246.53879629629955"/>
    <n v="65.497129629628034"/>
    <n v="181.04166666667152"/>
    <n v="0"/>
  </r>
  <r>
    <s v="Cases &amp; Composites"/>
    <s v="CAS-217603-G1Y4X1"/>
    <s v="Tyler Abusbah"/>
    <s v="Complete"/>
    <s v="Resolved"/>
    <x v="0"/>
    <n v="10"/>
    <s v="24CC330B"/>
    <s v="Repair-EA"/>
    <x v="0"/>
    <x v="0"/>
    <x v="3"/>
    <s v="50%"/>
    <d v="2024-06-10T19:41:04"/>
    <d v="2024-11-21T05:00:00"/>
    <d v="2025-02-12T05:00:00"/>
    <x v="99"/>
    <d v="2025-01-28T17:05:09"/>
    <s v="TIC Inner Feb"/>
    <d v="2024-08-22T04:00:00"/>
    <d v="2024-10-31T04:00:00"/>
    <d v="2024-10-31T04:00:00"/>
    <d v="2025-01-08T05:00:00"/>
    <n v="70"/>
    <n v="69.041666666671517"/>
    <n v="139.04166666667152"/>
    <n v="231.38814814815123"/>
    <n v="92.346481481479714"/>
    <n v="44.695421666663606"/>
    <n v="0"/>
    <n v="0"/>
    <n v="0"/>
    <n v="19.919439432873332"/>
    <n v="13.973793738427048"/>
    <n v="0"/>
    <n v="0"/>
    <n v="78.588654837963986"/>
    <n v="152.79949331018724"/>
    <n v="13.757826643515727"/>
    <n v="68"/>
    <n v="0"/>
  </r>
  <r>
    <s v="Cases &amp; Composites"/>
    <s v="CAS-221073-C0K3L3"/>
    <s v="Ferdin Mustafa"/>
    <s v="Complete"/>
    <s v="Resolved"/>
    <x v="0"/>
    <n v="10"/>
    <s v="25KC027"/>
    <s v="Repair-EA"/>
    <x v="0"/>
    <x v="1"/>
    <x v="1"/>
    <s v="75%"/>
    <d v="2024-07-15T05:44:01"/>
    <d v="2025-04-17T04:00:00"/>
    <d v="2025-07-23T04:00:00"/>
    <x v="52"/>
    <d v="2025-07-15T06:59:27"/>
    <s v="Jul2025"/>
    <d v="2024-09-04T04:00:00"/>
    <d v="2025-01-08T05:00:00"/>
    <d v="2025-05-01T04:00:00"/>
    <d v="2025-05-15T04:00:00"/>
    <n v="126.04166666667152"/>
    <n v="14"/>
    <n v="140.04166666667152"/>
    <n v="363.92776620369841"/>
    <n v="223.88609953702689"/>
    <n v="0"/>
    <n v="13"/>
    <n v="0"/>
    <n v="38"/>
    <n v="0"/>
    <n v="84"/>
    <n v="22"/>
    <n v="0"/>
    <n v="157"/>
    <n v="206.92776620369841"/>
    <n v="66.886099537026894"/>
    <n v="88"/>
    <n v="0"/>
  </r>
  <r>
    <s v="Cases &amp; Composites"/>
    <s v="MSG-230901-695F67"/>
    <s v="Alexander Page"/>
    <s v="Complete"/>
    <s v="Complete"/>
    <x v="0"/>
    <n v="10"/>
    <s v="19CC090C"/>
    <s v="Repair-EA"/>
    <x v="2"/>
    <x v="0"/>
    <x v="0"/>
    <m/>
    <d v="2023-09-01T04:00:00"/>
    <d v="2023-11-24T05:00:00"/>
    <d v="2024-11-27T05:00:00"/>
    <x v="182"/>
    <d v="2024-11-26T18:01:00"/>
    <s v="Update 19CC090 - PWA 255 ABRADABLE COATING REPLACEMENT to new PN based on EC 22CA136H. Nov"/>
    <d v="2024-09-16T04:00:00"/>
    <d v="2024-09-27T04:00:00"/>
    <d v="2024-09-27T04:00:00"/>
    <d v="2024-10-11T04:00:00"/>
    <n v="11"/>
    <n v="14"/>
    <n v="25"/>
    <n v="441.04166666667152"/>
    <n v="416.04166666667152"/>
    <n v="0"/>
    <n v="0"/>
    <n v="0"/>
    <n v="0"/>
    <n v="0"/>
    <n v="0"/>
    <n v="0"/>
    <n v="0"/>
    <n v="0"/>
    <n v="441.04166666667152"/>
    <n v="416.04166666667152"/>
    <n v="357"/>
    <n v="0"/>
  </r>
  <r>
    <s v="Cases &amp; Composites"/>
    <s v="CAS-225145-Q1R4L0"/>
    <s v="Nathan Winger"/>
    <s v="Complete"/>
    <s v="Resolved"/>
    <x v="0"/>
    <n v="10"/>
    <s v="24VC110A"/>
    <s v="Repair-EA"/>
    <x v="0"/>
    <x v="3"/>
    <x v="3"/>
    <s v="50%"/>
    <d v="2024-08-22T16:37:38"/>
    <d v="2025-04-25T04:00:00"/>
    <d v="2025-07-14T04:00:00"/>
    <x v="124"/>
    <d v="2025-07-09T14:54:16"/>
    <s v="Jul2025"/>
    <d v="2025-01-23T05:00:00"/>
    <d v="2025-01-29T05:00:00"/>
    <d v="2025-01-29T05:00:00"/>
    <d v="2025-05-29T04:00:00"/>
    <n v="6"/>
    <n v="119.95833333332848"/>
    <n v="125.95833333332848"/>
    <n v="319.47386574073607"/>
    <n v="193.51553240740759"/>
    <n v="0"/>
    <n v="0"/>
    <n v="0"/>
    <n v="0"/>
    <n v="0"/>
    <n v="0"/>
    <n v="2"/>
    <n v="0"/>
    <n v="2"/>
    <n v="317.47386574073607"/>
    <n v="191.51553240740759"/>
    <n v="74"/>
    <n v="0"/>
  </r>
  <r>
    <s v="Cases &amp; Composites"/>
    <s v="MSG-241008-561166"/>
    <s v="Ferdin Mustafa"/>
    <s v="Complete"/>
    <s v="Complete"/>
    <x v="0"/>
    <n v="10"/>
    <s v="24AC072A"/>
    <s v="Repair-EA"/>
    <x v="0"/>
    <x v="4"/>
    <x v="6"/>
    <s v="75%"/>
    <d v="2024-10-08T04:00:00"/>
    <d v="2024-10-31T04:00:00"/>
    <d v="2024-10-31T04:00:00"/>
    <x v="183"/>
    <d v="2024-10-23T14:58:38"/>
    <s v="  1. For SFC-02023004,  work order number is mentioned instead of the fan case serial number. The correct serial number for this case is F550350.   2. For SFC-02002702, wrong fan case serial number is mentioned. The correct serial number for this cas"/>
    <m/>
    <m/>
    <m/>
    <m/>
    <s v=""/>
    <s v=""/>
    <n v="0"/>
    <n v="15"/>
    <n v="15"/>
    <n v="0"/>
    <n v="0"/>
    <n v="0"/>
    <n v="0"/>
    <n v="0"/>
    <n v="0"/>
    <n v="0"/>
    <n v="0"/>
    <n v="0"/>
    <n v="15"/>
    <n v="15"/>
    <n v="-8"/>
    <n v="1"/>
  </r>
  <r>
    <s v="Cases &amp; Composites"/>
    <s v="CAS-232095-D6M8L4"/>
    <s v="Brian K Holland"/>
    <s v="Complete"/>
    <s v="Resolved"/>
    <x v="0"/>
    <n v="10"/>
    <s v="24AC091"/>
    <s v="Repair-EA"/>
    <x v="0"/>
    <x v="4"/>
    <x v="6"/>
    <s v="75%"/>
    <d v="2024-10-25T14:10:21"/>
    <d v="2024-11-18T05:00:00"/>
    <d v="2024-11-18T05:00:00"/>
    <x v="184"/>
    <d v="2024-12-03T12:38:33"/>
    <m/>
    <d v="2024-11-05T05:00:00"/>
    <d v="2024-11-08T05:00:00"/>
    <d v="2024-11-08T05:00:00"/>
    <d v="2024-11-13T05:00:00"/>
    <n v="3"/>
    <n v="5"/>
    <n v="8"/>
    <n v="37.617812500000582"/>
    <n v="29.617812500000582"/>
    <n v="0"/>
    <n v="0"/>
    <n v="0"/>
    <n v="0"/>
    <n v="0"/>
    <n v="1"/>
    <n v="0"/>
    <n v="0"/>
    <n v="1"/>
    <n v="36.617812500000582"/>
    <n v="28.617812500000582"/>
    <n v="14"/>
    <n v="0"/>
  </r>
  <r>
    <s v="Cases &amp; Composites"/>
    <s v="CAS-214062-X7R9S3"/>
    <s v="Ferdin Mustafa"/>
    <s v="Complete"/>
    <s v="Resolved"/>
    <x v="0"/>
    <n v="10"/>
    <s v="24KC689"/>
    <s v="Repair-EA"/>
    <x v="0"/>
    <x v="1"/>
    <x v="2"/>
    <m/>
    <d v="2024-05-03T17:17:55"/>
    <d v="2025-02-17T05:00:00"/>
    <d v="2024-11-27T05:00:00"/>
    <x v="185"/>
    <d v="2024-11-25T18:07:53"/>
    <s v="Tanker OEM to MRO"/>
    <d v="2024-11-13T05:00:00"/>
    <d v="2024-11-13T05:00:00"/>
    <d v="2024-11-13T05:00:00"/>
    <d v="2024-11-18T05:00:00"/>
    <n v="0"/>
    <n v="5"/>
    <n v="5"/>
    <n v="202.48755787037226"/>
    <n v="197.48755787037226"/>
    <n v="0"/>
    <n v="0"/>
    <n v="0"/>
    <n v="0"/>
    <n v="0"/>
    <n v="0"/>
    <n v="0"/>
    <n v="0"/>
    <n v="0"/>
    <n v="202.48755787037226"/>
    <n v="197.48755787037226"/>
    <n v="-87"/>
    <n v="1"/>
  </r>
  <r>
    <s v="Cases &amp; Composites"/>
    <s v="CAS-230100-D7Q5V1"/>
    <s v="Jia Chen"/>
    <s v="Complete"/>
    <s v="Resolved"/>
    <x v="0"/>
    <n v="10"/>
    <s v="24AC100"/>
    <s v="Repair-EA"/>
    <x v="0"/>
    <x v="4"/>
    <x v="6"/>
    <s v="75%"/>
    <d v="2024-10-08T12:14:43"/>
    <d v="2025-01-23T05:00:00"/>
    <d v="2025-01-23T05:00:00"/>
    <x v="186"/>
    <d v="2024-12-10T20:06:45"/>
    <s v="DR # 02063412"/>
    <d v="2024-11-14T05:00:00"/>
    <d v="2024-11-14T05:00:00"/>
    <d v="2024-11-14T05:00:00"/>
    <d v="2024-11-22T05:00:00"/>
    <n v="0"/>
    <n v="8"/>
    <n v="8"/>
    <n v="62.69811342592584"/>
    <n v="54.69811342592584"/>
    <n v="4"/>
    <n v="0"/>
    <n v="0"/>
    <n v="0"/>
    <n v="0"/>
    <n v="0"/>
    <n v="0"/>
    <n v="0"/>
    <n v="4"/>
    <n v="58.69811342592584"/>
    <n v="50.69811342592584"/>
    <n v="-44"/>
    <n v="1"/>
  </r>
  <r>
    <s v="Cases &amp; Composites"/>
    <s v="CAS-233538-Q2F7H5"/>
    <s v="Brian K Holland"/>
    <s v="Complete"/>
    <s v="Resolved"/>
    <x v="0"/>
    <n v="10"/>
    <s v="24CCT93A"/>
    <s v="Repair-EA"/>
    <x v="0"/>
    <x v="0"/>
    <x v="0"/>
    <s v="50%"/>
    <d v="2024-11-08T20:16:24"/>
    <d v="2024-11-13T05:00:00"/>
    <d v="2024-11-14T05:00:00"/>
    <x v="187"/>
    <d v="2024-11-14T15:25:32"/>
    <m/>
    <d v="2024-11-09T05:00:00"/>
    <d v="2024-11-13T05:00:00"/>
    <d v="2024-11-13T05:00:00"/>
    <d v="2024-11-13T05:00:00"/>
    <n v="4"/>
    <n v="0"/>
    <n v="4"/>
    <n v="5.3636111111118225"/>
    <n v="1.3636111111118225"/>
    <n v="0"/>
    <n v="0"/>
    <n v="0"/>
    <n v="0"/>
    <n v="0"/>
    <n v="0"/>
    <n v="0"/>
    <n v="0"/>
    <n v="0"/>
    <n v="5.3636111111118225"/>
    <n v="1.3636111111118225"/>
    <n v="1"/>
    <n v="0"/>
  </r>
  <r>
    <s v="Cases &amp; Composites"/>
    <s v="CAS-234347-M1T6S6"/>
    <s v="Brian K Holland"/>
    <s v="Complete"/>
    <s v="Resolved"/>
    <x v="0"/>
    <n v="10"/>
    <s v="24CCW70"/>
    <s v="Repair-EA"/>
    <x v="0"/>
    <x v="0"/>
    <x v="0"/>
    <m/>
    <d v="2024-11-15T20:04:30"/>
    <d v="2024-12-19T05:00:00"/>
    <d v="2024-12-20T05:00:00"/>
    <x v="175"/>
    <d v="2024-12-20T19:36:29"/>
    <m/>
    <d v="2024-12-13T05:00:00"/>
    <d v="2024-12-17T05:00:00"/>
    <d v="2024-12-17T05:00:00"/>
    <d v="2024-12-19T05:00:00"/>
    <n v="4"/>
    <n v="2"/>
    <n v="6"/>
    <n v="34.371875000004366"/>
    <n v="28.371875000004366"/>
    <n v="0"/>
    <n v="0"/>
    <n v="0"/>
    <n v="0"/>
    <n v="0"/>
    <n v="0"/>
    <n v="0"/>
    <n v="0"/>
    <n v="0"/>
    <n v="34.371875000004366"/>
    <n v="28.371875000004366"/>
    <n v="1"/>
    <n v="0"/>
  </r>
  <r>
    <s v="Cases &amp; Composites"/>
    <s v="CAS-236435-V2S7R2"/>
    <s v="Ferdin Mustafa"/>
    <s v="Complete"/>
    <s v="Resolved"/>
    <x v="0"/>
    <n v="10"/>
    <s v="24KC753"/>
    <s v="Repair-EA"/>
    <x v="0"/>
    <x v="1"/>
    <x v="3"/>
    <s v="75%"/>
    <d v="2024-12-06T14:39:33"/>
    <d v="2024-12-20T05:00:00"/>
    <d v="2024-12-20T05:00:00"/>
    <x v="188"/>
    <d v="2024-12-17T19:06:43"/>
    <m/>
    <d v="2024-12-11T05:00:00"/>
    <d v="2024-12-12T05:00:00"/>
    <d v="2024-12-12T05:00:00"/>
    <d v="2024-12-12T05:00:00"/>
    <n v="1"/>
    <n v="0"/>
    <n v="1"/>
    <n v="10.597534722226555"/>
    <n v="9.5975347222265555"/>
    <n v="0"/>
    <n v="0"/>
    <n v="0"/>
    <n v="0"/>
    <n v="0"/>
    <n v="0"/>
    <n v="0"/>
    <n v="0"/>
    <n v="0"/>
    <n v="10.597534722226555"/>
    <n v="9.5975347222265555"/>
    <n v="-3"/>
    <n v="1"/>
  </r>
  <r>
    <s v="Cases &amp; Composites"/>
    <s v="MSG-241213-E28CBD"/>
    <s v="Jonathan Roobol"/>
    <s v="Complete"/>
    <s v="Complete"/>
    <x v="0"/>
    <n v="10"/>
    <s v="24AC091A"/>
    <s v="Repair-EA"/>
    <x v="0"/>
    <x v="4"/>
    <x v="6"/>
    <m/>
    <d v="2024-12-13T05:00:00"/>
    <d v="2024-12-24T05:00:00"/>
    <d v="2024-12-24T05:00:00"/>
    <x v="189"/>
    <d v="2024-12-16T19:57:46"/>
    <s v="CONE ASSY, REAR"/>
    <m/>
    <m/>
    <m/>
    <m/>
    <s v=""/>
    <s v=""/>
    <n v="0"/>
    <n v="0"/>
    <n v="0"/>
    <n v="0"/>
    <n v="0"/>
    <n v="0"/>
    <n v="0"/>
    <n v="0"/>
    <n v="0"/>
    <n v="0"/>
    <n v="0"/>
    <n v="0"/>
    <n v="0"/>
    <n v="0"/>
    <n v="-11"/>
    <n v="1"/>
  </r>
  <r>
    <s v="Cases &amp; Composites"/>
    <s v="MSG-241217-9135A1"/>
    <s v="Francisco Astiasaran"/>
    <s v="Complete"/>
    <s v="Complete"/>
    <x v="0"/>
    <n v="10"/>
    <s v="21CCE12B"/>
    <s v="Repair-EA"/>
    <x v="1"/>
    <x v="0"/>
    <x v="8"/>
    <m/>
    <d v="2024-12-17T05:00:00"/>
    <d v="2025-02-11T05:00:00"/>
    <d v="2025-02-25T05:00:00"/>
    <x v="190"/>
    <d v="2025-02-14T15:17:58"/>
    <m/>
    <d v="2025-01-14T05:00:00"/>
    <d v="2025-02-03T05:00:00"/>
    <d v="2025-02-03T05:00:00"/>
    <d v="2025-02-03T05:00:00"/>
    <n v="20"/>
    <n v="0"/>
    <n v="20"/>
    <n v="58"/>
    <n v="38"/>
    <n v="0"/>
    <n v="0"/>
    <n v="0"/>
    <n v="0"/>
    <n v="0"/>
    <n v="0"/>
    <n v="0"/>
    <n v="0"/>
    <n v="0"/>
    <n v="58"/>
    <n v="38"/>
    <n v="2"/>
    <n v="0"/>
  </r>
  <r>
    <s v="Cases &amp; Composites"/>
    <s v="CAS-239705-S1J4Y4"/>
    <s v="Ferdin Mustafa"/>
    <s v="Complete"/>
    <s v="Resolved"/>
    <x v="0"/>
    <n v="10"/>
    <s v="24AC100A"/>
    <s v="Repair-EA"/>
    <x v="0"/>
    <x v="4"/>
    <x v="6"/>
    <s v="50%"/>
    <d v="2025-01-13T14:57:15"/>
    <d v="2025-04-03T04:00:00"/>
    <d v="2025-05-21T04:00:00"/>
    <x v="191"/>
    <d v="2025-05-08T21:56:48"/>
    <s v="May2025 DR# 02063412"/>
    <d v="2025-01-30T05:00:00"/>
    <d v="2025-01-30T05:00:00"/>
    <d v="2025-01-30T05:00:00"/>
    <d v="2025-02-25T05:00:00"/>
    <n v="0"/>
    <n v="26"/>
    <n v="26"/>
    <n v="114.54357638888905"/>
    <n v="88.543576388889051"/>
    <n v="4"/>
    <n v="0"/>
    <n v="0"/>
    <n v="0"/>
    <n v="0"/>
    <n v="0"/>
    <n v="0"/>
    <n v="0"/>
    <n v="4"/>
    <n v="110.54357638888905"/>
    <n v="84.543576388889051"/>
    <n v="35"/>
    <n v="0"/>
  </r>
  <r>
    <s v="Cases &amp; Composites"/>
    <s v="MSG-250115-184132"/>
    <s v="Jia Chen"/>
    <s v="Complete"/>
    <s v="Complete"/>
    <x v="0"/>
    <n v="10"/>
    <s v="22CCD52D"/>
    <s v="Repair-EA"/>
    <x v="2"/>
    <x v="0"/>
    <x v="8"/>
    <m/>
    <d v="2025-01-15T05:00:00"/>
    <d v="2025-03-21T04:00:00"/>
    <d v="2025-03-21T04:00:00"/>
    <x v="192"/>
    <d v="2025-02-28T14:52:38"/>
    <s v="TIC Inner"/>
    <d v="2025-02-14T05:00:00"/>
    <d v="2025-02-14T05:00:00"/>
    <d v="2025-02-14T05:00:00"/>
    <d v="2025-02-18T05:00:00"/>
    <n v="0"/>
    <n v="4"/>
    <n v="4"/>
    <n v="43"/>
    <n v="39"/>
    <n v="0"/>
    <n v="0"/>
    <n v="0"/>
    <n v="0"/>
    <n v="0"/>
    <n v="0"/>
    <n v="0"/>
    <n v="0"/>
    <n v="0"/>
    <n v="43"/>
    <n v="39"/>
    <n v="-21.958333333328483"/>
    <n v="1"/>
  </r>
  <r>
    <s v="Cases &amp; Composites"/>
    <n v="110741"/>
    <s v="Ferdin Mustafa"/>
    <s v="Complete"/>
    <s v="Closed"/>
    <x v="0"/>
    <n v="10"/>
    <s v="25FC020"/>
    <s v="Repair-EA"/>
    <x v="0"/>
    <x v="2"/>
    <x v="2"/>
    <s v="75%"/>
    <d v="2025-01-22T05:00:00"/>
    <d v="2025-03-14T04:00:00"/>
    <d v="2025-03-14T04:00:00"/>
    <x v="50"/>
    <d v="2025-03-21T19:13:20"/>
    <m/>
    <d v="2025-01-28T05:00:00"/>
    <d v="2025-01-28T05:00:00"/>
    <d v="2025-01-28T05:00:00"/>
    <d v="2025-03-13T04:00:00"/>
    <n v="0"/>
    <n v="43.958333333328483"/>
    <n v="43.958333333328483"/>
    <n v="56.958333333328483"/>
    <n v="13"/>
    <n v="0"/>
    <n v="0"/>
    <n v="0"/>
    <n v="0"/>
    <n v="0"/>
    <n v="0"/>
    <n v="0"/>
    <n v="0"/>
    <n v="0"/>
    <n v="56.958333333328483"/>
    <n v="13"/>
    <n v="6"/>
    <n v="0"/>
  </r>
  <r>
    <s v="Cases &amp; Composites"/>
    <s v="CAS-240565-Q7Q1D4"/>
    <s v="Francisco Astiasaran"/>
    <s v="Complete"/>
    <s v="Resolved"/>
    <x v="0"/>
    <n v="10"/>
    <s v="25CC348"/>
    <s v="Repair-EA"/>
    <x v="0"/>
    <x v="0"/>
    <x v="8"/>
    <s v="50%"/>
    <d v="2025-01-21T08:47:14"/>
    <d v="2025-03-07T05:00:00"/>
    <d v="2025-03-10T04:00:00"/>
    <x v="193"/>
    <d v="2025-03-05T13:48:59"/>
    <m/>
    <d v="2025-02-18T05:00:00"/>
    <d v="2025-02-19T05:00:00"/>
    <d v="2025-02-19T05:00:00"/>
    <d v="2025-02-26T05:00:00"/>
    <n v="1"/>
    <n v="7"/>
    <n v="8"/>
    <n v="41.842199074075324"/>
    <n v="33.842199074075324"/>
    <n v="0"/>
    <n v="0"/>
    <n v="0"/>
    <n v="0"/>
    <n v="0"/>
    <n v="0"/>
    <n v="0"/>
    <n v="0"/>
    <n v="0"/>
    <n v="41.842199074075324"/>
    <n v="33.842199074075324"/>
    <n v="-3"/>
    <n v="1"/>
  </r>
  <r>
    <s v="Cases &amp; Composites"/>
    <s v="CAS-229421-X1M1Q9"/>
    <s v="Ferdin Mustafa"/>
    <s v="Complete"/>
    <s v="Resolved"/>
    <x v="0"/>
    <n v="10"/>
    <s v="25AC028"/>
    <s v="Repair-EA"/>
    <x v="0"/>
    <x v="4"/>
    <x v="6"/>
    <s v="50%"/>
    <d v="2024-10-01T21:01:39"/>
    <d v="2025-04-21T04:00:00"/>
    <d v="2025-05-21T04:00:00"/>
    <x v="194"/>
    <d v="2025-05-08T13:32:45"/>
    <s v="May2025 - DR # 02060962"/>
    <d v="2025-03-06T05:00:00"/>
    <d v="2025-03-06T05:00:00"/>
    <d v="2025-03-07T05:00:00"/>
    <d v="2025-04-30T04:00:00"/>
    <n v="0"/>
    <n v="53.958333333328483"/>
    <n v="53.958333333328483"/>
    <n v="217.29052083333227"/>
    <n v="163.33218750000378"/>
    <n v="86"/>
    <n v="0"/>
    <n v="0"/>
    <n v="0"/>
    <n v="0"/>
    <n v="0"/>
    <n v="0"/>
    <n v="0"/>
    <n v="86"/>
    <n v="131.29052083333227"/>
    <n v="77.332187500003783"/>
    <n v="16"/>
    <n v="0"/>
  </r>
  <r>
    <s v="Cases &amp; Composites"/>
    <s v="CAS-256057-Y8T8X8"/>
    <s v="Orlando Melendez Colon"/>
    <s v="Complete"/>
    <s v="Resolved"/>
    <x v="0"/>
    <n v="10"/>
    <s v="25VG121"/>
    <s v="Repair-EA"/>
    <x v="0"/>
    <x v="3"/>
    <x v="5"/>
    <s v="75%"/>
    <d v="2025-06-18T15:19:54"/>
    <d v="2025-07-22T04:00:00"/>
    <d v="2025-07-22T04:00:00"/>
    <x v="177"/>
    <d v="2025-07-17T21:45:34"/>
    <m/>
    <d v="2025-06-26T04:00:00"/>
    <d v="2025-06-30T04:00:00"/>
    <d v="2025-07-01T04:00:00"/>
    <d v="2025-07-02T04:00:00"/>
    <n v="4"/>
    <n v="1"/>
    <n v="5"/>
    <n v="28.527847222219862"/>
    <n v="23.527847222219862"/>
    <n v="0"/>
    <n v="0"/>
    <n v="0"/>
    <n v="0"/>
    <n v="0"/>
    <n v="0"/>
    <n v="0"/>
    <n v="0"/>
    <n v="0"/>
    <n v="28.527847222219862"/>
    <n v="23.527847222219862"/>
    <n v="-5"/>
    <n v="1"/>
  </r>
  <r>
    <s v="Cases &amp; Composites"/>
    <s v="CAS-191251-Q5T9H9"/>
    <s v="Tyler Abusbah"/>
    <s v="Complete"/>
    <s v="Resolved"/>
    <x v="0"/>
    <n v="11"/>
    <s v="24CC619"/>
    <s v="Repair-EA"/>
    <x v="0"/>
    <x v="0"/>
    <x v="8"/>
    <m/>
    <d v="2023-09-06T12:38:08"/>
    <d v="2024-05-17T04:00:00"/>
    <d v="2025-04-07T04:00:00"/>
    <x v="178"/>
    <d v="2025-03-19T15:11:57"/>
    <s v="TIC Inner May"/>
    <d v="2024-03-06T05:00:00"/>
    <d v="2024-05-21T04:00:00"/>
    <d v="2024-05-21T04:00:00"/>
    <d v="2025-01-17T05:00:00"/>
    <n v="75.958333333328483"/>
    <n v="241.04166666667152"/>
    <n v="317"/>
    <n v="558.64018518518424"/>
    <n v="241.64018518518424"/>
    <n v="0"/>
    <n v="0"/>
    <n v="0"/>
    <n v="0"/>
    <n v="62.069859340277617"/>
    <n v="0"/>
    <n v="122.85197964120744"/>
    <n v="0"/>
    <n v="184.92183898148505"/>
    <n v="373.71834620369918"/>
    <n v="56.718346203699184"/>
    <n v="305"/>
    <n v="0"/>
  </r>
  <r>
    <s v="Cases &amp; Composites"/>
    <s v="CAS-199854-Z4X0D3"/>
    <s v="Tyler Abusbah"/>
    <s v="Complete"/>
    <s v="Resolved"/>
    <x v="0"/>
    <n v="11"/>
    <s v="24CC442"/>
    <s v="Repair-EA"/>
    <x v="0"/>
    <x v="0"/>
    <x v="8"/>
    <m/>
    <d v="2023-11-30T15:48:54"/>
    <d v="2024-03-20T04:00:00"/>
    <d v="2024-06-28T04:00:00"/>
    <x v="195"/>
    <d v="2024-06-25T18:41:00"/>
    <s v="IDC - Cracks"/>
    <d v="2024-02-15T05:00:00"/>
    <d v="2024-04-03T04:00:00"/>
    <d v="2024-04-03T04:00:00"/>
    <d v="2024-06-20T04:00:00"/>
    <n v="47.958333333328483"/>
    <n v="78"/>
    <n v="125.95833333332848"/>
    <n v="207.50770833333081"/>
    <n v="81.549375000002328"/>
    <n v="0"/>
    <n v="0"/>
    <n v="0"/>
    <n v="0"/>
    <n v="34.997765856482147"/>
    <n v="12.941974780093005"/>
    <n v="24.048623576389218"/>
    <n v="0"/>
    <n v="71.98836421296437"/>
    <n v="135.51934412036644"/>
    <n v="9.5610107870379579"/>
    <n v="97"/>
    <n v="0"/>
  </r>
  <r>
    <s v="Cases &amp; Composites"/>
    <s v="CAS-202833-N9W3K4"/>
    <s v="Dean Catlett"/>
    <s v="Complete"/>
    <s v="Resolved"/>
    <x v="0"/>
    <n v="11"/>
    <s v="24CC104"/>
    <s v="Repair-EA"/>
    <x v="0"/>
    <x v="0"/>
    <x v="0"/>
    <m/>
    <d v="2024-01-04T21:40:24"/>
    <d v="2024-02-16T05:00:00"/>
    <d v="2024-04-05T04:00:00"/>
    <x v="196"/>
    <d v="2024-03-15T20:37:11"/>
    <m/>
    <d v="2024-01-12T05:00:00"/>
    <d v="2024-03-04T05:00:00"/>
    <d v="2024-03-04T05:00:00"/>
    <d v="2024-03-08T05:00:00"/>
    <n v="52"/>
    <n v="4"/>
    <n v="56"/>
    <n v="67.263611111106002"/>
    <n v="11.263611111106002"/>
    <n v="0"/>
    <n v="0"/>
    <n v="0"/>
    <n v="0"/>
    <n v="0"/>
    <n v="45.839112175926857"/>
    <n v="0"/>
    <n v="0"/>
    <n v="45.839112175926857"/>
    <n v="21.424498935179145"/>
    <n v="-34.575501064820855"/>
    <n v="24.958333333328483"/>
    <n v="0"/>
  </r>
  <r>
    <s v="Cases &amp; Composites"/>
    <n v="96147"/>
    <s v="Ferdin Mustafa"/>
    <s v="Complete"/>
    <s v="Closed"/>
    <x v="0"/>
    <n v="11"/>
    <s v="24FC037"/>
    <s v="Repair-EA"/>
    <x v="1"/>
    <x v="2"/>
    <x v="2"/>
    <m/>
    <d v="2023-01-12T05:00:00"/>
    <d v="2024-04-05T04:00:00"/>
    <d v="2025-05-09T04:00:00"/>
    <x v="12"/>
    <d v="2025-05-07T21:24:03"/>
    <s v="May2025 - Graphic correction "/>
    <d v="2024-10-24T04:00:00"/>
    <d v="2025-01-15T05:00:00"/>
    <d v="2025-01-15T05:00:00"/>
    <d v="2025-01-16T05:00:00"/>
    <n v="83.041666666671517"/>
    <n v="1"/>
    <n v="84.041666666671517"/>
    <n v="843.95833333332848"/>
    <n v="759.91666666665697"/>
    <n v="0"/>
    <n v="0"/>
    <n v="0"/>
    <n v="0"/>
    <n v="0"/>
    <n v="0"/>
    <n v="0"/>
    <n v="0"/>
    <n v="0"/>
    <n v="843.95833333332848"/>
    <n v="759.91666666665697"/>
    <n v="395"/>
    <n v="0"/>
  </r>
  <r>
    <s v="Cases &amp; Composites"/>
    <s v="CAS-216309-B3F9D2"/>
    <s v="Francisco Astiasaran"/>
    <s v="Complete"/>
    <s v="Resolved"/>
    <x v="0"/>
    <n v="11"/>
    <s v="24FC193"/>
    <s v="Repair-EA"/>
    <x v="0"/>
    <x v="2"/>
    <x v="1"/>
    <s v="75%"/>
    <d v="2024-05-28T17:32:33"/>
    <d v="2024-11-14T05:00:00"/>
    <d v="2024-12-09T05:00:00"/>
    <x v="175"/>
    <d v="2024-12-20T19:36:55"/>
    <s v="DEC. "/>
    <d v="2024-06-07T04:00:00"/>
    <d v="2024-11-20T05:00:00"/>
    <d v="2024-11-20T05:00:00"/>
    <d v="2024-11-25T05:00:00"/>
    <n v="166.04166666667152"/>
    <n v="5"/>
    <n v="171.04166666667152"/>
    <n v="205.47739583333896"/>
    <n v="34.435729166667443"/>
    <n v="0"/>
    <n v="0"/>
    <n v="0"/>
    <n v="0"/>
    <n v="0"/>
    <n v="0"/>
    <n v="0"/>
    <n v="0"/>
    <n v="0"/>
    <n v="205.47739583333896"/>
    <n v="34.435729166667443"/>
    <n v="36"/>
    <n v="0"/>
  </r>
  <r>
    <s v="Cases &amp; Composites"/>
    <s v="CAS-201395-C8Q3M7"/>
    <s v="Bruce Zoyaar"/>
    <s v="Complete"/>
    <s v="Resolved"/>
    <x v="0"/>
    <n v="11"/>
    <s v="24KC419"/>
    <s v="Repair-EA"/>
    <x v="0"/>
    <x v="1"/>
    <x v="1"/>
    <s v="50%"/>
    <d v="2023-12-16T00:49:55"/>
    <d v="2024-04-05T04:00:00"/>
    <d v="2024-10-30T04:00:00"/>
    <x v="113"/>
    <d v="2024-10-29T00:24:42"/>
    <s v="October"/>
    <d v="2024-09-26T04:00:00"/>
    <d v="2024-10-03T04:00:00"/>
    <d v="2024-10-03T04:00:00"/>
    <d v="2024-10-04T04:00:00"/>
    <n v="7"/>
    <n v="1"/>
    <n v="8"/>
    <n v="317.1320023148146"/>
    <n v="309.1320023148146"/>
    <n v="14"/>
    <n v="0"/>
    <n v="55"/>
    <n v="0"/>
    <n v="0"/>
    <n v="5"/>
    <n v="0"/>
    <n v="0"/>
    <n v="74"/>
    <n v="243.1320023148146"/>
    <n v="235.1320023148146"/>
    <n v="206"/>
    <n v="0"/>
  </r>
  <r>
    <s v="Cases &amp; Composites"/>
    <s v="CAS-218831-T6H0Q1"/>
    <s v="Ferdin Mustafa"/>
    <s v="Complete"/>
    <s v="Resolved"/>
    <x v="0"/>
    <n v="11"/>
    <s v="24KC600"/>
    <s v="Repair-EA"/>
    <x v="0"/>
    <x v="1"/>
    <x v="3"/>
    <s v="50%"/>
    <d v="2024-06-21T18:58:41"/>
    <d v="2024-11-25T05:00:00"/>
    <d v="2024-11-27T05:00:00"/>
    <x v="197"/>
    <d v="2024-11-19T18:42:06"/>
    <s v="November"/>
    <d v="2024-09-25T04:00:00"/>
    <d v="2024-10-02T04:00:00"/>
    <d v="2024-10-02T04:00:00"/>
    <d v="2024-10-23T04:00:00"/>
    <n v="7"/>
    <n v="21"/>
    <n v="28"/>
    <n v="150.41758101851883"/>
    <n v="122.41758101851883"/>
    <n v="2"/>
    <n v="0"/>
    <n v="0"/>
    <n v="38"/>
    <n v="0"/>
    <n v="0"/>
    <n v="0"/>
    <n v="0"/>
    <n v="40"/>
    <n v="110.41758101851883"/>
    <n v="82.417581018518831"/>
    <n v="-6"/>
    <n v="1"/>
  </r>
  <r>
    <s v="Cases &amp; Composites"/>
    <s v="CAS-200793-Q7C8C7"/>
    <s v="Orlando Melendez Colon"/>
    <s v="Complete"/>
    <s v="Resolved"/>
    <x v="0"/>
    <n v="11"/>
    <s v="24VG252"/>
    <s v="Repair-EA"/>
    <x v="0"/>
    <x v="3"/>
    <x v="5"/>
    <s v="75%"/>
    <d v="2023-12-11T10:19:07"/>
    <d v="2024-10-28T04:00:00"/>
    <d v="2024-10-28T04:00:00"/>
    <x v="198"/>
    <d v="2024-10-29T03:02:47"/>
    <m/>
    <d v="2024-10-23T04:00:00"/>
    <d v="2024-10-23T04:00:00"/>
    <d v="2024-10-23T04:00:00"/>
    <d v="2024-10-23T04:00:00"/>
    <n v="0"/>
    <n v="0"/>
    <n v="0"/>
    <n v="318.7367245370333"/>
    <n v="318.7367245370333"/>
    <n v="0"/>
    <n v="0"/>
    <n v="0"/>
    <n v="0"/>
    <n v="0"/>
    <n v="0"/>
    <n v="0"/>
    <n v="0"/>
    <n v="0"/>
    <n v="318.7367245370333"/>
    <n v="318.7367245370333"/>
    <n v="-3"/>
    <n v="1"/>
  </r>
  <r>
    <s v="Cases &amp; Composites"/>
    <s v="CAS-213876-K2X7Z2"/>
    <s v="Tyler Abusbah"/>
    <s v="Complete"/>
    <s v="Resolved"/>
    <x v="0"/>
    <n v="11"/>
    <s v="24KC591"/>
    <s v="Repair-EA"/>
    <x v="0"/>
    <x v="1"/>
    <x v="3"/>
    <s v="75%"/>
    <d v="2024-05-01T18:10:57"/>
    <d v="2024-12-13T05:00:00"/>
    <d v="2024-12-20T05:00:00"/>
    <x v="188"/>
    <d v="2024-12-18T08:26:54"/>
    <s v="Dec"/>
    <d v="2024-10-01T04:00:00"/>
    <d v="2024-10-01T04:00:00"/>
    <d v="2024-10-01T04:00:00"/>
    <d v="2024-11-20T05:00:00"/>
    <n v="0"/>
    <n v="50.041666666671517"/>
    <n v="50.041666666671517"/>
    <n v="229.45072916666686"/>
    <n v="179.40906249999534"/>
    <n v="80"/>
    <n v="0"/>
    <n v="0"/>
    <n v="0"/>
    <n v="0"/>
    <n v="0"/>
    <n v="0"/>
    <n v="0"/>
    <n v="80"/>
    <n v="149.45072916666686"/>
    <n v="99.409062499995343"/>
    <n v="4"/>
    <n v="0"/>
  </r>
  <r>
    <s v="Cases &amp; Composites"/>
    <s v="CAS-229086-X7S4H1"/>
    <s v="Jia Chen"/>
    <s v="Complete"/>
    <s v="Resolved"/>
    <x v="0"/>
    <n v="11"/>
    <s v="24KC697"/>
    <s v="Repair-EA"/>
    <x v="0"/>
    <x v="1"/>
    <x v="3"/>
    <s v="75%"/>
    <d v="2024-09-27T19:22:59"/>
    <d v="2025-05-19T04:00:00"/>
    <d v="2025-03-13T04:00:00"/>
    <x v="192"/>
    <d v="2025-02-28T15:48:58"/>
    <m/>
    <d v="2025-01-31T05:00:00"/>
    <d v="2025-02-04T05:00:00"/>
    <d v="2025-02-04T05:00:00"/>
    <d v="2025-02-11T05:00:00"/>
    <n v="4"/>
    <n v="7"/>
    <n v="11"/>
    <n v="152.40070601851767"/>
    <n v="141.40070601851767"/>
    <n v="0"/>
    <n v="0"/>
    <n v="0"/>
    <n v="0"/>
    <n v="0"/>
    <n v="0"/>
    <n v="0"/>
    <n v="0"/>
    <n v="0"/>
    <n v="152.40070601851767"/>
    <n v="141.40070601851767"/>
    <n v="-80.958333333328483"/>
    <n v="1"/>
  </r>
  <r>
    <s v="Cases &amp; Composites"/>
    <s v="CAS-233088-F4M4F1"/>
    <s v="Francisco Astiasaran"/>
    <s v="Complete"/>
    <s v="Resolved"/>
    <x v="0"/>
    <n v="11"/>
    <s v="24AC098"/>
    <s v="Repair-EA"/>
    <x v="3"/>
    <x v="4"/>
    <x v="6"/>
    <s v="75%"/>
    <d v="2024-11-05T14:42:32"/>
    <d v="2024-12-09T05:00:00"/>
    <d v="2024-12-18T05:00:00"/>
    <x v="189"/>
    <d v="2024-12-16T20:26:41"/>
    <s v="DEC. "/>
    <m/>
    <m/>
    <m/>
    <m/>
    <s v=""/>
    <s v=""/>
    <n v="0"/>
    <n v="37.595462962963211"/>
    <n v="37.595462962963211"/>
    <n v="0"/>
    <n v="0"/>
    <n v="0"/>
    <n v="0"/>
    <n v="0"/>
    <n v="0"/>
    <n v="0"/>
    <n v="0"/>
    <n v="0"/>
    <n v="37.595462962963211"/>
    <n v="37.595462962963211"/>
    <n v="4"/>
    <n v="0"/>
  </r>
  <r>
    <s v="Cases &amp; Composites"/>
    <s v="CAS-230412-W9V3C5"/>
    <s v="Tyler Abusbah"/>
    <s v="Complete"/>
    <s v="Resolved"/>
    <x v="0"/>
    <n v="11"/>
    <s v="24KC706"/>
    <s v="Repair-EA"/>
    <x v="0"/>
    <x v="1"/>
    <x v="3"/>
    <s v="50%"/>
    <d v="2024-10-10T15:19:44"/>
    <d v="2025-05-01T04:00:00"/>
    <d v="2025-04-25T04:00:00"/>
    <x v="51"/>
    <d v="2025-03-31T16:47:27"/>
    <m/>
    <d v="2025-03-07T05:00:00"/>
    <d v="2025-03-07T05:00:00"/>
    <d v="2025-03-10T04:00:00"/>
    <d v="2025-03-27T04:00:00"/>
    <n v="0"/>
    <n v="17"/>
    <n v="17"/>
    <n v="171.52796296295855"/>
    <n v="154.52796296295855"/>
    <n v="0"/>
    <n v="55"/>
    <n v="0"/>
    <n v="0"/>
    <n v="0"/>
    <n v="0"/>
    <n v="0"/>
    <n v="0"/>
    <n v="55"/>
    <n v="116.52796296295855"/>
    <n v="99.527962962958554"/>
    <n v="-31"/>
    <n v="1"/>
  </r>
  <r>
    <s v="Cases &amp; Composites"/>
    <s v="CAS-235278-V0R5V5"/>
    <s v="Francisco Astiasaran"/>
    <s v="Complete"/>
    <s v="Resolved"/>
    <x v="0"/>
    <n v="11"/>
    <s v="24CCX42"/>
    <s v="Repair-EA"/>
    <x v="0"/>
    <x v="0"/>
    <x v="0"/>
    <s v="50%"/>
    <d v="2024-11-25T13:23:06"/>
    <d v="2024-12-20T05:00:00"/>
    <d v="2025-01-30T05:00:00"/>
    <x v="96"/>
    <d v="2025-01-31T13:38:01"/>
    <s v="JAN"/>
    <m/>
    <m/>
    <m/>
    <m/>
    <s v=""/>
    <s v=""/>
    <n v="0"/>
    <n v="65.650625000002037"/>
    <n v="65.650625000002037"/>
    <n v="0"/>
    <n v="0"/>
    <n v="0"/>
    <n v="0"/>
    <n v="0"/>
    <n v="0"/>
    <n v="0"/>
    <n v="0"/>
    <n v="0"/>
    <n v="65.650625000002037"/>
    <n v="65.650625000002037"/>
    <n v="41"/>
    <n v="0"/>
  </r>
  <r>
    <s v="Cases &amp; Composites"/>
    <s v="CAS-235936-B8H6P9"/>
    <s v="Brian K Holland"/>
    <s v="Complete"/>
    <s v="Resolved"/>
    <x v="0"/>
    <n v="11"/>
    <s v="24KC738"/>
    <s v="Repair-EA"/>
    <x v="0"/>
    <x v="1"/>
    <x v="3"/>
    <s v="75%"/>
    <d v="2024-12-02T18:18:37"/>
    <d v="2024-12-20T05:00:00"/>
    <d v="2024-12-20T05:00:00"/>
    <x v="70"/>
    <d v="2024-12-19T20:38:22"/>
    <m/>
    <m/>
    <m/>
    <m/>
    <m/>
    <s v=""/>
    <s v=""/>
    <n v="0"/>
    <n v="16.445405092592409"/>
    <n v="16.445405092592409"/>
    <n v="0"/>
    <n v="0"/>
    <n v="0"/>
    <n v="0"/>
    <n v="0"/>
    <n v="0"/>
    <n v="0"/>
    <n v="0"/>
    <n v="0"/>
    <n v="16.445405092592409"/>
    <n v="16.445405092592409"/>
    <n v="-1"/>
    <n v="1"/>
  </r>
  <r>
    <s v="Cases &amp; Composites"/>
    <s v="CAS-231969-Z3Z2Y8"/>
    <s v="Ferdin Mustafa"/>
    <s v="Complete"/>
    <s v="Active"/>
    <x v="0"/>
    <n v="11"/>
    <s v="25AC013"/>
    <s v="Repair-EA"/>
    <x v="1"/>
    <x v="4"/>
    <x v="6"/>
    <s v="75%"/>
    <d v="2024-10-24T16:53:26"/>
    <d v="2025-11-19T05:00:00"/>
    <d v="2025-11-19T05:00:00"/>
    <x v="199"/>
    <d v="2025-02-20T18:49:16"/>
    <m/>
    <d v="2025-01-10T05:00:00"/>
    <d v="2025-02-04T05:00:00"/>
    <d v="2025-02-04T05:00:00"/>
    <d v="2025-02-07T05:00:00"/>
    <n v="25"/>
    <n v="3"/>
    <n v="28"/>
    <n v="118.50456018518889"/>
    <n v="90.504560185188893"/>
    <n v="0"/>
    <n v="0"/>
    <n v="0"/>
    <n v="0"/>
    <n v="0"/>
    <n v="0"/>
    <n v="0"/>
    <n v="0"/>
    <n v="0"/>
    <n v="118.50456018518889"/>
    <n v="90.504560185188893"/>
    <n v="-272"/>
    <n v="1"/>
  </r>
  <r>
    <s v="Cases &amp; Composites"/>
    <s v="CAS-229255-K0H2P3"/>
    <s v="Ferdin Mustafa"/>
    <s v="Complete"/>
    <s v="Resolved"/>
    <x v="0"/>
    <n v="11"/>
    <s v="25AC011"/>
    <s v="Repair-EA"/>
    <x v="0"/>
    <x v="4"/>
    <x v="6"/>
    <s v="50%"/>
    <d v="2024-10-01T16:17:06"/>
    <d v="2025-05-14T04:00:00"/>
    <d v="2025-05-14T04:00:00"/>
    <x v="200"/>
    <d v="2025-05-09T15:59:34"/>
    <s v="May2025 DR # 02060934"/>
    <d v="2025-03-06T05:00:00"/>
    <d v="2025-03-06T05:00:00"/>
    <d v="2025-03-06T05:00:00"/>
    <d v="2025-03-20T04:00:00"/>
    <n v="0"/>
    <n v="13.958333333328483"/>
    <n v="13.958333333328483"/>
    <n v="219.48812499999622"/>
    <n v="205.52979166666773"/>
    <n v="17"/>
    <n v="13"/>
    <n v="0"/>
    <n v="0"/>
    <n v="0"/>
    <n v="0"/>
    <n v="0"/>
    <n v="0"/>
    <n v="30"/>
    <n v="189.48812499999622"/>
    <n v="175.52979166666773"/>
    <n v="-5"/>
    <n v="1"/>
  </r>
  <r>
    <s v="Cases &amp; Composites"/>
    <s v="CAS-240013-H0C9K8"/>
    <s v="Francisco Astiasaran"/>
    <s v="Complete"/>
    <s v="Resolved"/>
    <x v="0"/>
    <n v="11"/>
    <s v="25AC017"/>
    <s v="Repair-EA"/>
    <x v="0"/>
    <x v="4"/>
    <x v="6"/>
    <s v="50%"/>
    <d v="2025-01-15T18:25:40"/>
    <d v="2025-03-14T04:00:00"/>
    <d v="2025-05-02T04:00:00"/>
    <x v="201"/>
    <d v="2025-04-30T15:03:53"/>
    <s v="Apr2025. 01992377, 01982261, 02176385"/>
    <d v="2025-02-03T05:00:00"/>
    <d v="2025-02-26T05:00:00"/>
    <d v="2025-02-26T05:00:00"/>
    <d v="2025-04-02T04:00:00"/>
    <n v="23"/>
    <n v="34.958333333328483"/>
    <n v="57.958333333328483"/>
    <n v="104.3988425925927"/>
    <n v="46.440509259264218"/>
    <n v="0"/>
    <n v="0"/>
    <n v="0"/>
    <n v="0"/>
    <n v="0"/>
    <n v="0"/>
    <n v="0"/>
    <n v="0"/>
    <n v="0"/>
    <n v="104.3988425925927"/>
    <n v="46.440509259264218"/>
    <n v="47"/>
    <n v="0"/>
  </r>
  <r>
    <s v="Cases &amp; Composites"/>
    <s v="CAS-242010-P1N2F6"/>
    <s v="Francisco Astiasaran"/>
    <s v="Complete"/>
    <s v="Resolved"/>
    <x v="0"/>
    <n v="11"/>
    <s v="25KC101"/>
    <s v="Repair-EA"/>
    <x v="0"/>
    <x v="1"/>
    <x v="1"/>
    <s v="75%"/>
    <d v="2025-02-04T22:44:56"/>
    <d v="2025-03-05T05:00:00"/>
    <d v="2025-02-28T05:00:00"/>
    <x v="202"/>
    <d v="2025-02-26T13:47:20"/>
    <m/>
    <d v="2025-02-07T05:00:00"/>
    <d v="2025-02-13T05:00:00"/>
    <d v="2025-02-13T05:00:00"/>
    <d v="2025-02-20T05:00:00"/>
    <n v="6"/>
    <n v="7"/>
    <n v="13"/>
    <n v="20.260462962964084"/>
    <n v="7.260462962964084"/>
    <n v="0"/>
    <n v="0"/>
    <n v="0"/>
    <n v="0"/>
    <n v="0"/>
    <n v="0"/>
    <n v="0"/>
    <n v="0"/>
    <n v="0"/>
    <n v="20.260462962964084"/>
    <n v="7.260462962964084"/>
    <n v="-8"/>
    <n v="1"/>
  </r>
  <r>
    <s v="Cases &amp; Composites"/>
    <s v="CAS-242245-K3M2L8"/>
    <s v="Bruce Zoyaar"/>
    <s v="Complete"/>
    <s v="Active"/>
    <x v="0"/>
    <n v="11"/>
    <s v="25KC198"/>
    <s v="Repair-EA"/>
    <x v="0"/>
    <x v="1"/>
    <x v="3"/>
    <s v="75%"/>
    <d v="2025-02-06T09:33:51"/>
    <d v="2025-05-19T04:00:00"/>
    <d v="2025-05-19T04:00:00"/>
    <x v="203"/>
    <d v="2025-05-06T23:52:29"/>
    <s v="May2025 RSL"/>
    <d v="2025-04-07T04:00:00"/>
    <d v="2025-04-11T04:00:00"/>
    <d v="2025-04-21T04:00:00"/>
    <d v="2025-04-15T04:00:00"/>
    <n v="4"/>
    <n v="-6"/>
    <n v="-2"/>
    <n v="88.768159722218115"/>
    <n v="90.768159722218115"/>
    <n v="2"/>
    <n v="14"/>
    <n v="0"/>
    <n v="0"/>
    <n v="0"/>
    <n v="0"/>
    <n v="0"/>
    <n v="0"/>
    <n v="16"/>
    <n v="72.768159722218115"/>
    <n v="74.768159722218115"/>
    <n v="-13"/>
    <n v="1"/>
  </r>
  <r>
    <s v="Cases &amp; Composites"/>
    <s v="CAS-246118-G6Z6G7"/>
    <s v="Orlando Melendez Colon"/>
    <s v="Complete"/>
    <s v="Resolved"/>
    <x v="0"/>
    <n v="11"/>
    <s v="25VG074"/>
    <s v="Repair-EA"/>
    <x v="0"/>
    <x v="3"/>
    <x v="5"/>
    <s v="75%"/>
    <d v="2025-03-13T13:26:50"/>
    <d v="2025-06-19T04:00:00"/>
    <d v="2025-06-19T04:00:00"/>
    <x v="204"/>
    <d v="2025-06-09T20:18:43"/>
    <s v="Jun2025"/>
    <d v="2025-05-15T04:00:00"/>
    <d v="2025-05-15T04:00:00"/>
    <d v="2025-05-15T04:00:00"/>
    <d v="2025-05-22T04:00:00"/>
    <n v="0"/>
    <n v="7"/>
    <n v="7"/>
    <n v="84.606365740735782"/>
    <n v="77.606365740735782"/>
    <n v="0"/>
    <n v="0"/>
    <n v="0"/>
    <n v="0"/>
    <n v="0"/>
    <n v="0"/>
    <n v="0"/>
    <n v="0"/>
    <n v="0"/>
    <n v="84.606365740735782"/>
    <n v="77.606365740735782"/>
    <n v="-13"/>
    <n v="1"/>
  </r>
  <r>
    <s v="Cases &amp; Composites"/>
    <s v="CAS-250244-J3V2R7"/>
    <s v="Bruce Zoyaar"/>
    <s v="Complete"/>
    <s v="Active"/>
    <x v="0"/>
    <n v="11"/>
    <s v="25KC294"/>
    <s v="Repair-EA"/>
    <x v="0"/>
    <x v="1"/>
    <x v="3"/>
    <s v="75%"/>
    <d v="2025-04-23T16:08:58"/>
    <d v="2025-06-20T04:00:00"/>
    <d v="2025-06-20T04:00:00"/>
    <x v="205"/>
    <d v="2025-06-20T19:20:52"/>
    <s v="JUN2025 - RSL"/>
    <d v="2025-05-06T04:00:00"/>
    <d v="2025-05-12T04:00:00"/>
    <d v="2025-05-12T04:00:00"/>
    <d v="2025-06-12T04:00:00"/>
    <n v="6"/>
    <n v="31"/>
    <n v="37"/>
    <n v="57.493773148147739"/>
    <n v="20.493773148147739"/>
    <n v="0"/>
    <n v="0"/>
    <n v="0"/>
    <n v="0"/>
    <n v="0"/>
    <n v="0"/>
    <n v="0"/>
    <n v="0"/>
    <n v="0"/>
    <n v="57.493773148147739"/>
    <n v="20.493773148147739"/>
    <n v="0"/>
    <n v="1"/>
  </r>
  <r>
    <s v="Cases &amp; Composites"/>
    <s v="CAS-250266-T1P7L0"/>
    <s v="Francisco Astiasaran"/>
    <s v="Complete"/>
    <s v="Resolved"/>
    <x v="0"/>
    <n v="11"/>
    <s v="25CCA52"/>
    <s v="Repair-EA"/>
    <x v="0"/>
    <x v="0"/>
    <x v="10"/>
    <s v="75%"/>
    <d v="2025-04-23T20:01:41"/>
    <d v="2025-05-28T04:00:00"/>
    <d v="2025-05-28T04:00:00"/>
    <x v="206"/>
    <d v="2025-05-19T18:58:06"/>
    <s v="May2025 "/>
    <d v="2025-05-13T04:00:00"/>
    <d v="2025-05-13T04:00:00"/>
    <m/>
    <d v="2025-05-13T04:00:00"/>
    <n v="0"/>
    <s v=""/>
    <n v="0"/>
    <n v="25.332164351850224"/>
    <n v="25.332164351850224"/>
    <n v="0"/>
    <n v="0"/>
    <n v="0"/>
    <n v="0"/>
    <n v="0"/>
    <n v="0"/>
    <n v="0"/>
    <n v="0"/>
    <n v="0"/>
    <n v="25.332164351850224"/>
    <n v="25.332164351850224"/>
    <n v="-9"/>
    <n v="1"/>
  </r>
  <r>
    <s v="Cases &amp; Composites"/>
    <s v="CAS-251215-T4H8K6"/>
    <s v="Francisco Astiasaran"/>
    <s v="Complete"/>
    <s v="Resolved"/>
    <x v="0"/>
    <n v="11"/>
    <s v="25AC083"/>
    <s v="Repair-EA"/>
    <x v="0"/>
    <x v="4"/>
    <x v="1"/>
    <s v="75%"/>
    <d v="2025-05-05T12:41:52"/>
    <d v="2025-06-03T04:00:00"/>
    <d v="2025-07-11T04:00:00"/>
    <x v="27"/>
    <d v="2025-07-10T18:12:09"/>
    <s v="Jun2025. DR# 02180914"/>
    <d v="2025-05-21T04:00:00"/>
    <d v="2025-05-21T04:00:00"/>
    <d v="2025-05-22T04:00:00"/>
    <d v="2025-05-29T04:00:00"/>
    <n v="0"/>
    <n v="7"/>
    <n v="7"/>
    <n v="64.637592592589499"/>
    <n v="57.637592592589499"/>
    <n v="0"/>
    <n v="0"/>
    <n v="0"/>
    <n v="0"/>
    <n v="0"/>
    <n v="0"/>
    <n v="0"/>
    <n v="19"/>
    <n v="19"/>
    <n v="45.637592592589499"/>
    <n v="38.637592592589499"/>
    <n v="36"/>
    <n v="0"/>
  </r>
  <r>
    <s v="Cases &amp; Composites"/>
    <s v="CAS-208767-V9H7F2"/>
    <s v="Alexander Page"/>
    <s v="Complete"/>
    <s v="Active"/>
    <x v="0"/>
    <n v="12"/>
    <s v="24CCF79"/>
    <s v="Repair-EA"/>
    <x v="0"/>
    <x v="0"/>
    <x v="0"/>
    <s v="75%"/>
    <d v="2024-03-06T22:26:34"/>
    <d v="2025-03-26T04:00:00"/>
    <d v="2025-06-24T04:00:00"/>
    <x v="207"/>
    <d v="2025-06-19T14:12:54"/>
    <s v="JUN2025"/>
    <d v="2024-07-12T04:00:00"/>
    <d v="2024-08-19T04:00:00"/>
    <d v="2024-08-19T04:00:00"/>
    <d v="2025-06-04T04:00:00"/>
    <n v="38"/>
    <n v="289"/>
    <n v="327"/>
    <n v="467.2315509259206"/>
    <n v="140.2315509259206"/>
    <n v="0"/>
    <n v="15.01931269675697"/>
    <n v="0"/>
    <n v="58.707567025456228"/>
    <n v="0.9997204398168833"/>
    <n v="0"/>
    <n v="0"/>
    <n v="0"/>
    <n v="74.726600162030081"/>
    <n v="392.50495076389052"/>
    <n v="65.50495076389052"/>
    <n v="83"/>
    <n v="0"/>
  </r>
  <r>
    <s v="Cases &amp; Composites"/>
    <s v="CAS-208880-Z4N5T5"/>
    <s v="Alexander Page"/>
    <s v="Complete"/>
    <s v="Resolved"/>
    <x v="0"/>
    <n v="12"/>
    <s v="24CCD32"/>
    <s v="Repair-EA"/>
    <x v="0"/>
    <x v="0"/>
    <x v="8"/>
    <m/>
    <d v="2024-03-07T21:02:32"/>
    <d v="2024-10-31T04:00:00"/>
    <d v="2024-10-31T04:00:00"/>
    <x v="208"/>
    <d v="2024-10-17T18:45:39"/>
    <s v="TIC Inner oct"/>
    <d v="2024-05-22T04:00:00"/>
    <d v="2024-08-27T04:00:00"/>
    <d v="2024-08-27T04:00:00"/>
    <d v="2024-09-12T04:00:00"/>
    <n v="97"/>
    <n v="16"/>
    <n v="113"/>
    <n v="223.28990740740846"/>
    <n v="110.28990740740846"/>
    <n v="0"/>
    <n v="0"/>
    <n v="0"/>
    <n v="1.9703209953731857"/>
    <n v="0"/>
    <n v="0"/>
    <n v="0"/>
    <n v="0"/>
    <n v="1.9703209953731857"/>
    <n v="221.31958641203528"/>
    <n v="108.31958641203528"/>
    <n v="-14"/>
    <n v="1"/>
  </r>
  <r>
    <s v="Cases &amp; Composites"/>
    <s v="CAS-215490-Q5R2L7"/>
    <s v="Alexander Page"/>
    <s v="Complete"/>
    <s v="Resolved"/>
    <x v="0"/>
    <n v="12"/>
    <s v="24CCK97"/>
    <s v="Repair-EA"/>
    <x v="0"/>
    <x v="0"/>
    <x v="0"/>
    <s v="50%"/>
    <d v="2024-05-20T15:50:03"/>
    <d v="2024-12-04T05:00:00"/>
    <d v="2025-04-25T04:00:00"/>
    <x v="209"/>
    <d v="2025-04-09T15:47:43"/>
    <s v="apr2025"/>
    <d v="2024-10-16T04:00:00"/>
    <d v="2025-01-03T05:00:00"/>
    <d v="2025-02-05T05:00:00"/>
    <d v="2025-03-21T04:00:00"/>
    <n v="79.041666666671517"/>
    <n v="43.958333333328483"/>
    <n v="123"/>
    <n v="323.50690972222219"/>
    <n v="200.50690972222219"/>
    <n v="44.693074247683398"/>
    <n v="24.723195081016456"/>
    <n v="0"/>
    <n v="0"/>
    <n v="0"/>
    <n v="0"/>
    <n v="0"/>
    <n v="0"/>
    <n v="69.416269328699855"/>
    <n v="254.09064039352234"/>
    <n v="131.09064039352234"/>
    <n v="125.95833333332848"/>
    <n v="0"/>
  </r>
  <r>
    <s v="Cases &amp; Composites"/>
    <s v="CAS-210584-C0K0S4"/>
    <s v="Francisco Astiasaran"/>
    <s v="Complete"/>
    <s v="Resolved"/>
    <x v="0"/>
    <n v="12"/>
    <s v="24CCP26"/>
    <s v="Repair-EA"/>
    <x v="1"/>
    <x v="0"/>
    <x v="8"/>
    <m/>
    <d v="2024-03-26T17:34:56"/>
    <d v="2024-12-31T05:00:00"/>
    <d v="2024-12-16T05:00:00"/>
    <x v="210"/>
    <d v="2024-12-05T18:33:52"/>
    <s v="DEC. FanR-Blade"/>
    <d v="2024-09-13T04:00:00"/>
    <d v="2024-11-21T05:00:00"/>
    <d v="2024-11-21T05:00:00"/>
    <d v="2024-11-27T05:00:00"/>
    <n v="69.041666666671517"/>
    <n v="6"/>
    <n v="75.041666666671517"/>
    <n v="252.4757407407451"/>
    <n v="177.43407407407358"/>
    <n v="0"/>
    <n v="0"/>
    <n v="0"/>
    <n v="0"/>
    <n v="0"/>
    <n v="0"/>
    <n v="0"/>
    <n v="0"/>
    <n v="0"/>
    <n v="252.4757407407451"/>
    <n v="177.43407407407358"/>
    <n v="-27"/>
    <n v="1"/>
  </r>
  <r>
    <s v="Cases &amp; Composites"/>
    <s v="CAS-219850-H5Y7Z7"/>
    <s v="Tyler Abusbah"/>
    <s v="Complete"/>
    <s v="Resolved"/>
    <x v="0"/>
    <n v="12"/>
    <s v="24CCM93"/>
    <s v="Repair-EA"/>
    <x v="0"/>
    <x v="0"/>
    <x v="8"/>
    <s v="75%"/>
    <d v="2024-07-02T14:50:56"/>
    <d v="2024-12-19T05:00:00"/>
    <d v="2025-01-08T05:00:00"/>
    <x v="70"/>
    <d v="2024-12-19T16:51:19"/>
    <s v="IDC Jan"/>
    <d v="2024-09-06T04:00:00"/>
    <d v="2024-10-23T04:00:00"/>
    <d v="2024-10-23T04:00:00"/>
    <d v="2024-12-16T05:00:00"/>
    <n v="47"/>
    <n v="54.041666666671517"/>
    <n v="101.04166666667152"/>
    <n v="169.58962962963415"/>
    <n v="68.547962962962629"/>
    <n v="14.999541331017099"/>
    <n v="0"/>
    <n v="0"/>
    <n v="0"/>
    <n v="0.86312700231792405"/>
    <n v="0"/>
    <n v="0"/>
    <n v="0"/>
    <n v="15.862668333335023"/>
    <n v="153.72696129629912"/>
    <n v="52.685294629627606"/>
    <n v="0"/>
    <n v="1"/>
  </r>
  <r>
    <s v="Cases &amp; Composites"/>
    <s v="CAS-225164-X2K8V7"/>
    <s v="Jia Chen"/>
    <s v="Complete"/>
    <s v="Resolved"/>
    <x v="0"/>
    <n v="12"/>
    <s v="24KC552"/>
    <s v="Repair-EA"/>
    <x v="0"/>
    <x v="1"/>
    <x v="3"/>
    <s v="75%"/>
    <d v="2024-08-22T20:33:17"/>
    <d v="2025-02-10T05:00:00"/>
    <d v="2024-12-18T05:00:00"/>
    <x v="211"/>
    <d v="2024-11-21T19:53:20"/>
    <s v="INNER DIFFUSER CASE ASSY - FRONT INNER FLANGE  INNER DIAMETER &amp; FWD FACE COAT REPAIR - REPAIRS -03 &amp; -09 LIMIT EXTENSION"/>
    <d v="2024-10-28T04:00:00"/>
    <d v="2024-11-05T05:00:00"/>
    <d v="2024-11-05T05:00:00"/>
    <d v="2024-11-07T05:00:00"/>
    <n v="8.0416666666715173"/>
    <n v="2"/>
    <n v="10.041666666671517"/>
    <n v="90.351886574077071"/>
    <n v="80.310219907405553"/>
    <n v="0"/>
    <n v="0"/>
    <n v="0"/>
    <n v="0"/>
    <n v="0"/>
    <n v="0"/>
    <n v="0"/>
    <n v="0"/>
    <n v="0"/>
    <n v="90.351886574077071"/>
    <n v="80.310219907405553"/>
    <n v="-81"/>
    <n v="1"/>
  </r>
  <r>
    <s v="Cases &amp; Composites"/>
    <s v="CAS-231982-S3F8Y6"/>
    <s v="Brian K Holland"/>
    <s v="Complete"/>
    <s v="Resolved"/>
    <x v="0"/>
    <n v="12"/>
    <s v="24CCT93"/>
    <s v="Repair-EA"/>
    <x v="0"/>
    <x v="0"/>
    <x v="0"/>
    <s v="25%"/>
    <d v="2024-10-24T20:09:18"/>
    <d v="2024-11-04T05:00:00"/>
    <d v="2024-11-04T05:00:00"/>
    <x v="212"/>
    <d v="2024-11-04T19:27:14"/>
    <m/>
    <d v="2024-10-25T04:00:00"/>
    <d v="2024-10-29T04:00:00"/>
    <d v="2024-10-29T04:00:00"/>
    <d v="2024-10-29T04:00:00"/>
    <n v="4"/>
    <n v="0"/>
    <n v="4"/>
    <n v="10.368541666670353"/>
    <n v="6.3685416666703532"/>
    <n v="0"/>
    <n v="0"/>
    <n v="0"/>
    <n v="0"/>
    <n v="0"/>
    <n v="0"/>
    <n v="0"/>
    <n v="0"/>
    <n v="0"/>
    <n v="10.368541666670353"/>
    <n v="6.3685416666703532"/>
    <n v="0"/>
    <n v="1"/>
  </r>
  <r>
    <s v="Cases &amp; Composites"/>
    <s v="CAS-232838-Y8C3M5"/>
    <s v="Brian K Holland"/>
    <s v="Complete"/>
    <s v="Resolved"/>
    <x v="0"/>
    <n v="12"/>
    <s v="24CCV57"/>
    <s v="Repair-EA"/>
    <x v="0"/>
    <x v="0"/>
    <x v="3"/>
    <m/>
    <d v="2024-11-01T19:42:50"/>
    <d v="2024-11-12T05:00:00"/>
    <d v="2024-11-12T05:00:00"/>
    <x v="149"/>
    <d v="2024-11-13T21:55:11"/>
    <m/>
    <m/>
    <m/>
    <m/>
    <m/>
    <s v=""/>
    <s v=""/>
    <n v="0"/>
    <n v="11.38692129629635"/>
    <n v="11.38692129629635"/>
    <n v="0"/>
    <n v="0"/>
    <n v="0"/>
    <n v="0"/>
    <n v="0"/>
    <n v="0"/>
    <n v="0"/>
    <n v="0"/>
    <n v="0"/>
    <n v="11.38692129629635"/>
    <n v="11.38692129629635"/>
    <n v="1"/>
    <n v="0"/>
  </r>
  <r>
    <s v="Cases &amp; Composites"/>
    <s v="CAS-234274-Q4Y5B4"/>
    <s v="Ferdin Mustafa"/>
    <s v="Complete"/>
    <s v="Resolved"/>
    <x v="0"/>
    <n v="12"/>
    <s v="25KC055"/>
    <s v="Repair-EA"/>
    <x v="0"/>
    <x v="1"/>
    <x v="3"/>
    <s v="75%"/>
    <d v="2024-11-15T10:16:01"/>
    <d v="2025-03-13T04:00:00"/>
    <d v="2025-05-09T04:00:00"/>
    <x v="194"/>
    <d v="2025-05-08T05:17:10"/>
    <s v="May2025 - RSL "/>
    <d v="2025-01-17T05:00:00"/>
    <d v="2025-01-17T05:00:00"/>
    <d v="2025-01-17T05:00:00"/>
    <d v="2025-03-25T04:00:00"/>
    <n v="0"/>
    <n v="66.958333333328483"/>
    <n v="66.958333333328483"/>
    <n v="172.73887731481227"/>
    <n v="105.78054398148379"/>
    <n v="0"/>
    <n v="35"/>
    <n v="0"/>
    <n v="0"/>
    <n v="0"/>
    <n v="0"/>
    <n v="0"/>
    <n v="0"/>
    <n v="35"/>
    <n v="137.73887731481227"/>
    <n v="70.780543981483788"/>
    <n v="55"/>
    <n v="0"/>
  </r>
  <r>
    <s v="Cases &amp; Composites"/>
    <s v="CAS-229543-B3Y2C0"/>
    <s v="Tyler Abusbah"/>
    <s v="Complete"/>
    <s v="Resolved"/>
    <x v="0"/>
    <n v="12"/>
    <s v="25KC079"/>
    <s v="Repair-EA"/>
    <x v="0"/>
    <x v="1"/>
    <x v="3"/>
    <s v="75%"/>
    <d v="2024-10-04T20:43:49"/>
    <d v="2025-05-19T04:00:00"/>
    <d v="2025-04-29T04:00:00"/>
    <x v="18"/>
    <d v="2025-04-11T20:36:31"/>
    <s v="Apr2025"/>
    <d v="2025-03-19T04:00:00"/>
    <d v="2025-03-19T04:00:00"/>
    <d v="2025-03-19T04:00:00"/>
    <d v="2025-03-21T04:00:00"/>
    <n v="0"/>
    <n v="2"/>
    <n v="2"/>
    <n v="188.30290509259066"/>
    <n v="186.30290509259066"/>
    <n v="31"/>
    <n v="0"/>
    <n v="0"/>
    <n v="0"/>
    <n v="0"/>
    <n v="0"/>
    <n v="0"/>
    <n v="0"/>
    <n v="31"/>
    <n v="157.30290509259066"/>
    <n v="155.30290509259066"/>
    <n v="-38"/>
    <n v="1"/>
  </r>
  <r>
    <s v="Cases &amp; Composites"/>
    <n v="110312"/>
    <s v="Ferdin Mustafa"/>
    <s v="Complete"/>
    <s v="Closed"/>
    <x v="0"/>
    <n v="12"/>
    <s v="25FC004"/>
    <s v="Repair-EA"/>
    <x v="0"/>
    <x v="2"/>
    <x v="2"/>
    <s v="75%"/>
    <d v="2024-12-27T05:00:00"/>
    <d v="2025-05-29T04:00:00"/>
    <d v="2025-05-02T04:00:00"/>
    <x v="213"/>
    <d v="2025-04-24T17:35:00"/>
    <s v="Apr2025 - "/>
    <d v="2025-01-08T05:00:00"/>
    <d v="2025-01-10T05:00:00"/>
    <d v="2025-03-20T04:00:00"/>
    <d v="2025-03-21T04:00:00"/>
    <n v="2"/>
    <n v="1"/>
    <n v="3"/>
    <n v="116.95833333332848"/>
    <n v="113.95833333332848"/>
    <n v="0"/>
    <n v="0"/>
    <n v="0"/>
    <n v="0"/>
    <n v="14"/>
    <n v="0"/>
    <n v="0"/>
    <n v="0"/>
    <n v="14"/>
    <n v="102.95833333332848"/>
    <n v="99.958333333328483"/>
    <n v="-36"/>
    <n v="1"/>
  </r>
  <r>
    <s v="Cases &amp; Composites"/>
    <n v="111669"/>
    <s v="Ferdin Mustafa"/>
    <s v="Complete"/>
    <s v="Closed"/>
    <x v="0"/>
    <n v="12"/>
    <s v="25FC071"/>
    <s v="Repair-EA"/>
    <x v="0"/>
    <x v="2"/>
    <x v="2"/>
    <s v="50%"/>
    <d v="2025-03-12T04:00:00"/>
    <d v="2025-05-14T04:00:00"/>
    <d v="2025-05-14T04:00:00"/>
    <x v="214"/>
    <d v="2025-04-10T15:37:47"/>
    <m/>
    <d v="2025-03-31T04:00:00"/>
    <d v="2025-03-31T04:00:00"/>
    <d v="2025-04-02T04:00:00"/>
    <d v="2025-04-03T04:00:00"/>
    <n v="0"/>
    <n v="1"/>
    <n v="1"/>
    <n v="29"/>
    <n v="28"/>
    <n v="0"/>
    <n v="0"/>
    <n v="0"/>
    <n v="0"/>
    <n v="0"/>
    <n v="0"/>
    <n v="0"/>
    <n v="0"/>
    <n v="0"/>
    <n v="29"/>
    <n v="28"/>
    <n v="-34"/>
    <n v="1"/>
  </r>
  <r>
    <s v="Cases &amp; Composites"/>
    <s v="CAS-103914-G2Q2W9"/>
    <s v="Ferdin Mustafa"/>
    <s v="Complete"/>
    <s v="Resolved"/>
    <x v="0"/>
    <n v="13"/>
    <s v="22KC446"/>
    <s v="Repair-EA"/>
    <x v="1"/>
    <x v="1"/>
    <x v="1"/>
    <m/>
    <d v="2021-03-10T16:50:13"/>
    <d v="2024-08-28T04:00:00"/>
    <d v="2024-10-23T04:00:00"/>
    <x v="215"/>
    <d v="2024-10-25T15:51:05"/>
    <s v="October - Follow up to CAS-100081-D8H6Y0: UAL rivet substitution request"/>
    <d v="2022-08-29T04:00:00"/>
    <d v="2023-03-06T05:00:00"/>
    <d v="2023-03-06T05:00:00"/>
    <d v="2023-03-08T05:00:00"/>
    <n v="189.04166666667152"/>
    <n v="2"/>
    <n v="191.04166666667152"/>
    <n v="1323.465127314812"/>
    <n v="1132.4234606481405"/>
    <n v="0"/>
    <n v="0"/>
    <n v="0"/>
    <n v="0"/>
    <n v="0"/>
    <n v="0"/>
    <n v="0"/>
    <n v="0"/>
    <n v="0"/>
    <n v="1323.465127314812"/>
    <n v="1132.4234606481405"/>
    <n v="57"/>
    <n v="0"/>
  </r>
  <r>
    <s v="Cases &amp; Composites"/>
    <s v="CAS-155697-S8N7W3"/>
    <s v="Ferdin Mustafa"/>
    <s v="Complete"/>
    <s v="Resolved"/>
    <x v="0"/>
    <n v="13"/>
    <s v="22KC509"/>
    <s v="Repair-EA"/>
    <x v="1"/>
    <x v="1"/>
    <x v="1"/>
    <m/>
    <d v="2022-08-11T20:38:39"/>
    <d v="2024-09-13T04:00:00"/>
    <d v="2025-02-19T05:00:00"/>
    <x v="178"/>
    <d v="2025-03-18T18:19:09"/>
    <s v="Mar2025 Priority 4 out of set of 4"/>
    <d v="2024-01-03T05:00:00"/>
    <d v="2024-01-04T05:00:00"/>
    <d v="2024-01-04T05:00:00"/>
    <d v="2025-01-23T05:00:00"/>
    <n v="1"/>
    <n v="385"/>
    <n v="386"/>
    <n v="949.30649305555562"/>
    <n v="563.30649305555562"/>
    <n v="0"/>
    <n v="0"/>
    <n v="0"/>
    <n v="0"/>
    <n v="0"/>
    <n v="0"/>
    <n v="0"/>
    <n v="0"/>
    <n v="0"/>
    <n v="949.30649305555562"/>
    <n v="563.30649305555562"/>
    <n v="186"/>
    <n v="0"/>
  </r>
  <r>
    <s v="Cases &amp; Composites"/>
    <s v="CAS-166155-P4T1W2"/>
    <s v="Robert Thompson"/>
    <s v="Complete"/>
    <s v="Resolved"/>
    <x v="0"/>
    <n v="13"/>
    <s v="20CC774C"/>
    <s v="Repair-EA"/>
    <x v="1"/>
    <x v="0"/>
    <x v="0"/>
    <m/>
    <d v="2022-12-16T01:55:14"/>
    <d v="2024-02-09T05:00:00"/>
    <d v="2024-10-04T04:00:00"/>
    <x v="216"/>
    <d v="2024-11-08T15:33:43"/>
    <s v="Sept"/>
    <m/>
    <m/>
    <m/>
    <m/>
    <s v=""/>
    <s v=""/>
    <n v="0"/>
    <n v="691.12831018518773"/>
    <n v="691.12831018518773"/>
    <n v="0"/>
    <n v="0"/>
    <n v="0"/>
    <n v="0"/>
    <n v="0"/>
    <n v="0"/>
    <n v="0"/>
    <n v="16.164567060186528"/>
    <n v="16.164567060186528"/>
    <n v="674.9637431250012"/>
    <n v="674.9637431250012"/>
    <n v="271"/>
    <n v="0"/>
  </r>
  <r>
    <s v="Cases &amp; Composites"/>
    <s v="CAS-121777-B4M7K7"/>
    <s v="Orlando Melendez Colon"/>
    <s v="Complete"/>
    <s v="Resolved"/>
    <x v="0"/>
    <n v="13"/>
    <s v="23VG104"/>
    <s v="Repair-EA"/>
    <x v="0"/>
    <x v="3"/>
    <x v="5"/>
    <m/>
    <d v="2021-09-10T09:32:54"/>
    <d v="2023-08-31T04:00:00"/>
    <d v="2025-03-12T04:00:00"/>
    <x v="193"/>
    <d v="2025-03-05T19:56:44"/>
    <s v="March2025"/>
    <d v="2023-08-30T04:00:00"/>
    <d v="2023-08-30T04:00:00"/>
    <d v="2023-08-30T04:00:00"/>
    <d v="2025-02-22T05:00:00"/>
    <n v="0"/>
    <n v="542.04166666667152"/>
    <n v="542.04166666667152"/>
    <n v="1270.8104861111133"/>
    <n v="728.76881944444176"/>
    <n v="0"/>
    <n v="0"/>
    <n v="0"/>
    <n v="0"/>
    <n v="0"/>
    <n v="0"/>
    <n v="0"/>
    <n v="0"/>
    <n v="0"/>
    <n v="1270.8104861111133"/>
    <n v="728.76881944444176"/>
    <n v="551.04166666667152"/>
    <n v="0"/>
  </r>
  <r>
    <s v="Cases &amp; Composites"/>
    <s v="CAS-193959-V8Z6F7"/>
    <s v="Jia Chen"/>
    <s v="Complete"/>
    <s v="Resolved"/>
    <x v="0"/>
    <n v="13"/>
    <s v="23CCT38"/>
    <s v="Repair-EA"/>
    <x v="0"/>
    <x v="0"/>
    <x v="8"/>
    <m/>
    <d v="2023-10-03T14:24:40"/>
    <d v="2024-02-15T05:00:00"/>
    <d v="2024-02-15T05:00:00"/>
    <x v="61"/>
    <d v="2024-02-01T15:43:55"/>
    <s v="TIC Inner. FEB1"/>
    <d v="2023-10-19T04:00:00"/>
    <d v="2023-10-23T04:00:00"/>
    <d v="2023-10-23T04:00:00"/>
    <d v="2023-10-25T04:00:00"/>
    <n v="4"/>
    <n v="2"/>
    <n v="6"/>
    <n v="119.60787037037517"/>
    <n v="113.60787037037517"/>
    <n v="0"/>
    <n v="0"/>
    <n v="0"/>
    <n v="0"/>
    <n v="0"/>
    <n v="0"/>
    <n v="0"/>
    <n v="0"/>
    <n v="0"/>
    <n v="119.60787037037517"/>
    <n v="113.60787037037517"/>
    <n v="-15"/>
    <n v="1"/>
  </r>
  <r>
    <s v="Cases &amp; Composites"/>
    <s v="CAS-204568-T9M7P1"/>
    <s v="Orlando Melendez Colon"/>
    <s v="Complete"/>
    <s v="Resolved"/>
    <x v="0"/>
    <n v="13"/>
    <s v="24VG022"/>
    <s v="Repair-EA"/>
    <x v="0"/>
    <x v="3"/>
    <x v="5"/>
    <m/>
    <d v="2024-01-23T14:54:59"/>
    <d v="2025-02-28T05:00:00"/>
    <d v="2025-04-04T04:00:00"/>
    <x v="217"/>
    <d v="2025-04-03T14:23:49"/>
    <s v="April2025"/>
    <d v="2024-01-30T05:00:00"/>
    <d v="2024-05-15T04:00:00"/>
    <d v="2024-05-15T04:00:00"/>
    <d v="2025-02-25T05:00:00"/>
    <n v="105.95833333332848"/>
    <n v="286.04166666667152"/>
    <n v="392"/>
    <n v="433.54515046296001"/>
    <n v="41.545150462960009"/>
    <n v="0"/>
    <n v="0"/>
    <n v="0"/>
    <n v="0"/>
    <n v="0"/>
    <n v="0"/>
    <n v="0"/>
    <n v="0"/>
    <n v="0"/>
    <n v="433.54515046296001"/>
    <n v="41.545150462960009"/>
    <n v="31.958333333328483"/>
    <n v="0"/>
  </r>
  <r>
    <s v="Cases &amp; Composites"/>
    <s v="CAS-173971-N6C4H6"/>
    <s v="Ferdin Mustafa"/>
    <s v="Complete"/>
    <s v="Resolved"/>
    <x v="0"/>
    <n v="13"/>
    <s v="24KC524"/>
    <s v="Repair-EA"/>
    <x v="0"/>
    <x v="1"/>
    <x v="1"/>
    <m/>
    <d v="2023-03-09T10:29:04"/>
    <d v="2023-11-24T05:00:00"/>
    <d v="2024-11-29T05:00:00"/>
    <x v="211"/>
    <d v="2024-11-22T15:37:28"/>
    <s v="November - "/>
    <d v="2024-06-07T04:00:00"/>
    <d v="2024-08-26T04:00:00"/>
    <d v="2024-08-26T04:00:00"/>
    <d v="2024-10-15T04:00:00"/>
    <n v="80"/>
    <n v="50"/>
    <n v="130"/>
    <n v="622.77148148148262"/>
    <n v="492.77148148148262"/>
    <n v="0"/>
    <n v="0"/>
    <n v="0"/>
    <n v="112"/>
    <n v="0"/>
    <n v="0"/>
    <n v="0"/>
    <n v="0"/>
    <n v="112"/>
    <n v="510.77148148148262"/>
    <n v="380.77148148148262"/>
    <n v="363"/>
    <n v="0"/>
  </r>
  <r>
    <s v="Cases &amp; Composites"/>
    <s v="CAS-213968-Y9S5R1"/>
    <s v="Jia Chen"/>
    <s v="Complete"/>
    <s v="Resolved"/>
    <x v="0"/>
    <n v="13"/>
    <s v="24FC172"/>
    <s v="Repair-EA"/>
    <x v="1"/>
    <x v="2"/>
    <x v="3"/>
    <s v="75%"/>
    <d v="2024-05-02T16:15:50"/>
    <d v="2024-11-07T05:00:00"/>
    <d v="2024-11-07T05:00:00"/>
    <x v="218"/>
    <d v="2024-11-01T20:12:53"/>
    <s v="Nov"/>
    <d v="2024-06-27T04:00:00"/>
    <d v="2024-07-31T04:00:00"/>
    <d v="2024-07-31T04:00:00"/>
    <d v="2024-07-31T04:00:00"/>
    <n v="34"/>
    <n v="0"/>
    <n v="34"/>
    <n v="182.48900462962774"/>
    <n v="148.48900462962774"/>
    <n v="0"/>
    <n v="0"/>
    <n v="0"/>
    <n v="0"/>
    <n v="0"/>
    <n v="0"/>
    <n v="0"/>
    <n v="0"/>
    <n v="0"/>
    <n v="182.48900462962774"/>
    <n v="148.48900462962774"/>
    <n v="-6.0416666666715173"/>
    <n v="1"/>
  </r>
  <r>
    <s v="Cases &amp; Composites"/>
    <s v="CAS-229082-R8V3K3"/>
    <s v="Francisco Astiasaran"/>
    <s v="Complete"/>
    <s v="Resolved"/>
    <x v="0"/>
    <n v="13"/>
    <s v="24KC602"/>
    <s v="Repair-EA"/>
    <x v="0"/>
    <x v="1"/>
    <x v="3"/>
    <s v="75%"/>
    <d v="2024-09-27T18:13:36"/>
    <d v="2025-01-10T05:00:00"/>
    <d v="2024-12-11T05:00:00"/>
    <x v="219"/>
    <d v="2024-12-06T15:41:53"/>
    <s v="DEC"/>
    <d v="2024-10-07T04:00:00"/>
    <d v="2024-11-13T05:00:00"/>
    <d v="2024-11-13T05:00:00"/>
    <d v="2024-12-03T05:00:00"/>
    <n v="37.041666666671517"/>
    <n v="20"/>
    <n v="57.041666666671517"/>
    <n v="69.448888888888177"/>
    <n v="12.40722222221666"/>
    <n v="0"/>
    <n v="0"/>
    <n v="0"/>
    <n v="0"/>
    <n v="0"/>
    <n v="21"/>
    <n v="0"/>
    <n v="0"/>
    <n v="21"/>
    <n v="48.448888888888177"/>
    <n v="-8.5927777777833398"/>
    <n v="-35"/>
    <n v="1"/>
  </r>
  <r>
    <s v="Cases &amp; Composites"/>
    <s v="CAS-229507-Z8K4H9"/>
    <s v="Ferdin Mustafa"/>
    <s v="Complete"/>
    <s v="Resolved"/>
    <x v="0"/>
    <n v="13"/>
    <s v="24KC710"/>
    <s v="Repair-EA"/>
    <x v="0"/>
    <x v="1"/>
    <x v="3"/>
    <s v="75%"/>
    <d v="2024-10-02T13:21:07"/>
    <d v="2025-04-15T04:00:00"/>
    <d v="2025-03-28T04:00:00"/>
    <x v="220"/>
    <d v="2025-03-24T17:32:18"/>
    <s v="Mar2025"/>
    <d v="2024-11-14T05:00:00"/>
    <d v="2025-01-31T05:00:00"/>
    <d v="2025-01-31T05:00:00"/>
    <d v="2025-02-25T05:00:00"/>
    <n v="78"/>
    <n v="25"/>
    <n v="103"/>
    <n v="172.61033564814716"/>
    <n v="69.610335648147156"/>
    <n v="0"/>
    <n v="0"/>
    <n v="0"/>
    <n v="17"/>
    <n v="0"/>
    <n v="0"/>
    <n v="0"/>
    <n v="0"/>
    <n v="17"/>
    <n v="155.61033564814716"/>
    <n v="52.610335648147156"/>
    <n v="-22"/>
    <n v="1"/>
  </r>
  <r>
    <s v="Cases &amp; Composites"/>
    <s v="CAS-234013-G6X7T7"/>
    <s v="Orlando Melendez Colon"/>
    <s v="Complete"/>
    <s v="Resolved"/>
    <x v="0"/>
    <n v="13"/>
    <s v="25VG006"/>
    <s v="Repair-EA"/>
    <x v="0"/>
    <x v="3"/>
    <x v="4"/>
    <s v="75%"/>
    <d v="2024-11-13T20:32:21"/>
    <d v="2025-02-14T05:00:00"/>
    <d v="2025-02-14T05:00:00"/>
    <x v="221"/>
    <d v="2025-01-21T19:58:18"/>
    <m/>
    <d v="2025-01-02T05:00:00"/>
    <d v="2025-01-13T05:00:00"/>
    <d v="2025-01-13T05:00:00"/>
    <d v="2025-01-14T05:00:00"/>
    <n v="11"/>
    <n v="1"/>
    <n v="12"/>
    <n v="68.352534722223936"/>
    <n v="56.352534722223936"/>
    <n v="0"/>
    <n v="0"/>
    <n v="0"/>
    <n v="0"/>
    <n v="0"/>
    <n v="0"/>
    <n v="2"/>
    <n v="0"/>
    <n v="2"/>
    <n v="66.352534722223936"/>
    <n v="54.352534722223936"/>
    <n v="-24"/>
    <n v="1"/>
  </r>
  <r>
    <s v="Cases &amp; Composites"/>
    <s v="CAS-235285-D6F5Y8"/>
    <s v="Francisco Astiasaran"/>
    <s v="Complete"/>
    <s v="Resolved"/>
    <x v="0"/>
    <n v="13"/>
    <s v="24CCX50"/>
    <s v="Repair-EA"/>
    <x v="0"/>
    <x v="0"/>
    <x v="0"/>
    <m/>
    <d v="2024-11-25T14:06:39"/>
    <d v="2024-12-20T05:00:00"/>
    <d v="2025-01-31T05:00:00"/>
    <x v="222"/>
    <d v="2025-01-31T22:10:22"/>
    <m/>
    <d v="2024-12-05T05:00:00"/>
    <d v="2024-12-09T05:00:00"/>
    <d v="2024-12-09T05:00:00"/>
    <d v="2024-12-09T05:00:00"/>
    <n v="4"/>
    <n v="0"/>
    <n v="4"/>
    <n v="66.620381944449036"/>
    <n v="62.620381944449036"/>
    <n v="0"/>
    <n v="0"/>
    <n v="0"/>
    <n v="0"/>
    <n v="0.13096011574089061"/>
    <n v="0"/>
    <n v="0"/>
    <n v="0"/>
    <n v="0.13096011574089061"/>
    <n v="66.489421828708146"/>
    <n v="62.489421828708146"/>
    <n v="42"/>
    <n v="0"/>
  </r>
  <r>
    <s v="Cases &amp; Composites"/>
    <s v="CAS-236327-X6M1Y0"/>
    <s v="Francisco Astiasaran"/>
    <s v="Complete"/>
    <s v="Resolved"/>
    <x v="0"/>
    <n v="13"/>
    <s v="24KC749"/>
    <s v="Repair-EA"/>
    <x v="0"/>
    <x v="1"/>
    <x v="3"/>
    <m/>
    <d v="2024-12-05T19:20:33"/>
    <d v="2024-12-20T05:00:00"/>
    <d v="2024-12-20T05:00:00"/>
    <x v="188"/>
    <d v="2024-12-17T14:42:40"/>
    <m/>
    <m/>
    <m/>
    <m/>
    <m/>
    <s v=""/>
    <s v=""/>
    <n v="0"/>
    <n v="11.402395833334594"/>
    <n v="11.402395833334594"/>
    <n v="0"/>
    <n v="0"/>
    <n v="0"/>
    <n v="0"/>
    <n v="0"/>
    <n v="0"/>
    <n v="0"/>
    <n v="0"/>
    <n v="0"/>
    <n v="11.402395833334594"/>
    <n v="11.402395833334594"/>
    <n v="-3"/>
    <n v="1"/>
  </r>
  <r>
    <s v="Cases &amp; Composites"/>
    <n v="110191"/>
    <s v="Francisco Astiasaran"/>
    <s v="Complete"/>
    <s v="Closed"/>
    <x v="0"/>
    <n v="13"/>
    <s v="24FC391"/>
    <s v="Repair-EA"/>
    <x v="0"/>
    <x v="2"/>
    <x v="3"/>
    <s v="75%"/>
    <d v="2024-12-17T05:00:00"/>
    <d v="2024-12-20T05:00:00"/>
    <d v="2024-12-20T05:00:00"/>
    <x v="70"/>
    <d v="2024-12-19T18:21:25"/>
    <s v="AMO - Freezer issue"/>
    <m/>
    <m/>
    <m/>
    <m/>
    <s v=""/>
    <s v=""/>
    <n v="0"/>
    <n v="2"/>
    <n v="2"/>
    <n v="0"/>
    <n v="0"/>
    <n v="0"/>
    <n v="0"/>
    <n v="0"/>
    <n v="0"/>
    <n v="0"/>
    <n v="0"/>
    <n v="0"/>
    <n v="2"/>
    <n v="2"/>
    <n v="-1"/>
    <n v="1"/>
  </r>
  <r>
    <s v="Cases &amp; Composites"/>
    <s v="MSG-241219-2F3BD9"/>
    <s v="Francisco Astiasaran"/>
    <s v="Complete"/>
    <s v="Complete"/>
    <x v="0"/>
    <n v="13"/>
    <s v="24CCZ02"/>
    <s v="Repair-EA"/>
    <x v="0"/>
    <x v="0"/>
    <x v="0"/>
    <s v="75%"/>
    <d v="2024-12-19T05:00:00"/>
    <d v="2025-02-05T05:00:00"/>
    <d v="2025-02-05T05:00:00"/>
    <x v="223"/>
    <d v="2025-02-04T13:37:23"/>
    <m/>
    <m/>
    <m/>
    <m/>
    <m/>
    <s v=""/>
    <s v=""/>
    <n v="0"/>
    <n v="47"/>
    <n v="47"/>
    <n v="0"/>
    <n v="0"/>
    <n v="0"/>
    <n v="0"/>
    <n v="0"/>
    <n v="0"/>
    <n v="0"/>
    <n v="0"/>
    <n v="0"/>
    <n v="47"/>
    <n v="47"/>
    <n v="-1"/>
    <n v="1"/>
  </r>
  <r>
    <s v="Cases &amp; Composites"/>
    <s v="CAS-231792-B2Y8V8"/>
    <s v="Alexander Page"/>
    <s v="Complete"/>
    <s v="Resolved"/>
    <x v="0"/>
    <n v="13"/>
    <s v="25KC035"/>
    <s v="Repair-EA"/>
    <x v="0"/>
    <x v="1"/>
    <x v="3"/>
    <s v="75%"/>
    <d v="2024-10-23T13:43:33"/>
    <d v="2025-05-13T04:00:00"/>
    <d v="2025-04-30T04:00:00"/>
    <x v="214"/>
    <d v="2025-04-10T20:16:02"/>
    <s v="apr2025"/>
    <d v="2025-03-17T04:00:00"/>
    <d v="2025-03-17T04:00:00"/>
    <d v="2025-03-17T04:00:00"/>
    <d v="2025-03-20T04:00:00"/>
    <n v="0"/>
    <n v="3"/>
    <n v="3"/>
    <n v="168.59475694443972"/>
    <n v="165.59475694443972"/>
    <n v="29"/>
    <n v="0"/>
    <n v="0"/>
    <n v="0"/>
    <n v="0"/>
    <n v="0"/>
    <n v="0"/>
    <n v="0"/>
    <n v="29"/>
    <n v="139.59475694443972"/>
    <n v="136.59475694443972"/>
    <n v="-33"/>
    <n v="1"/>
  </r>
  <r>
    <s v="Cases &amp; Composites"/>
    <s v="CAS-247522-C9B6C1"/>
    <s v="Ferdin Mustafa"/>
    <s v="Complete"/>
    <s v="Resolved"/>
    <x v="0"/>
    <n v="13"/>
    <s v="25KC267"/>
    <s v="Repair-EA"/>
    <x v="0"/>
    <x v="1"/>
    <x v="3"/>
    <s v="75%"/>
    <d v="2025-03-27T13:24:21"/>
    <d v="2025-06-20T04:00:00"/>
    <d v="2025-07-25T04:00:00"/>
    <x v="136"/>
    <d v="2025-07-21T20:32:04"/>
    <m/>
    <d v="2025-05-06T04:00:00"/>
    <d v="2025-05-12T04:00:00"/>
    <d v="2025-05-20T04:00:00"/>
    <d v="2025-06-23T04:00:00"/>
    <n v="6"/>
    <n v="34"/>
    <n v="40"/>
    <n v="112.60809027777577"/>
    <n v="72.608090277775773"/>
    <n v="0"/>
    <n v="9"/>
    <n v="0"/>
    <n v="0"/>
    <n v="0"/>
    <n v="0"/>
    <n v="0"/>
    <n v="0"/>
    <n v="9"/>
    <n v="103.60809027777577"/>
    <n v="63.608090277775773"/>
    <n v="28"/>
    <n v="0"/>
  </r>
  <r>
    <s v="Cases &amp; Composites"/>
    <s v="CAS-255144-Z6B5V7"/>
    <s v="Francisco Astiasaran"/>
    <s v="Complete"/>
    <s v="Resolved"/>
    <x v="0"/>
    <n v="13"/>
    <s v="25CCE61"/>
    <s v="Repair-EA"/>
    <x v="0"/>
    <x v="0"/>
    <x v="8"/>
    <s v="50%"/>
    <d v="2025-06-10T14:55:10"/>
    <d v="2025-08-06T04:00:00"/>
    <d v="2025-08-06T04:00:00"/>
    <x v="224"/>
    <d v="2025-07-23T16:06:43"/>
    <s v="Jul2025"/>
    <d v="2025-06-25T04:00:00"/>
    <d v="2025-06-25T04:00:00"/>
    <m/>
    <d v="2025-07-19T04:00:00"/>
    <n v="0"/>
    <s v=""/>
    <n v="0"/>
    <n v="42.545023148144537"/>
    <n v="42.545023148144537"/>
    <n v="0"/>
    <n v="0"/>
    <n v="0"/>
    <n v="0"/>
    <n v="0"/>
    <n v="0"/>
    <n v="0"/>
    <n v="0"/>
    <n v="0"/>
    <n v="42.545023148144537"/>
    <n v="42.545023148144537"/>
    <n v="-14"/>
    <n v="1"/>
  </r>
  <r>
    <s v="Cases &amp; Composites"/>
    <s v="CAS-181187-B9Z8W4"/>
    <s v="Orlando Melendez Colon"/>
    <s v="Complete"/>
    <s v="Resolved"/>
    <x v="0"/>
    <n v="14"/>
    <s v="23VG186"/>
    <s v="Repair-EA"/>
    <x v="0"/>
    <x v="3"/>
    <x v="5"/>
    <m/>
    <d v="2023-05-25T12:06:55"/>
    <d v="2025-02-14T05:00:00"/>
    <d v="2025-04-09T04:00:00"/>
    <x v="225"/>
    <d v="2025-04-08T14:36:34"/>
    <s v="April2025"/>
    <d v="2023-09-20T04:00:00"/>
    <d v="2025-02-19T05:00:00"/>
    <d v="2025-02-19T05:00:00"/>
    <d v="2025-03-07T05:00:00"/>
    <n v="518.04166666667152"/>
    <n v="16"/>
    <n v="534.04166666667152"/>
    <n v="679.66186342592118"/>
    <n v="145.62019675924967"/>
    <n v="0"/>
    <n v="0"/>
    <n v="0"/>
    <n v="0"/>
    <n v="0"/>
    <n v="0"/>
    <n v="0"/>
    <n v="0"/>
    <n v="0"/>
    <n v="679.66186342592118"/>
    <n v="145.62019675924967"/>
    <n v="48.958333333328483"/>
    <n v="0"/>
  </r>
  <r>
    <s v="Cases &amp; Composites"/>
    <s v="CAS-198799-C6F6G6"/>
    <s v="Tyler Abusbah"/>
    <s v="Complete"/>
    <s v="Resolved"/>
    <x v="0"/>
    <n v="14"/>
    <s v="24CC039"/>
    <s v="Repair-EA"/>
    <x v="0"/>
    <x v="0"/>
    <x v="8"/>
    <m/>
    <d v="2023-11-20T16:17:15"/>
    <d v="2024-03-21T04:00:00"/>
    <d v="2024-06-14T04:00:00"/>
    <x v="65"/>
    <d v="2024-06-14T15:32:59"/>
    <s v="IDC. June"/>
    <d v="2024-01-19T05:00:00"/>
    <d v="2024-01-22T05:00:00"/>
    <d v="2024-01-22T05:00:00"/>
    <d v="2024-05-31T04:00:00"/>
    <n v="3"/>
    <n v="129.95833333332848"/>
    <n v="132.95833333332848"/>
    <n v="206.4880208333343"/>
    <n v="73.529687500005821"/>
    <n v="0"/>
    <n v="0"/>
    <n v="0"/>
    <n v="0"/>
    <n v="0"/>
    <n v="0"/>
    <n v="0"/>
    <n v="0"/>
    <n v="0"/>
    <n v="206.4880208333343"/>
    <n v="73.529687500005821"/>
    <n v="85"/>
    <n v="0"/>
  </r>
  <r>
    <s v="Cases &amp; Composites"/>
    <s v="CAS-209927-K3H2M4"/>
    <s v="Francisco Astiasaran"/>
    <s v="Complete"/>
    <s v="Resolved"/>
    <x v="0"/>
    <n v="14"/>
    <s v="16CCE26C"/>
    <s v="Repair-EA"/>
    <x v="1"/>
    <x v="0"/>
    <x v="8"/>
    <m/>
    <d v="2024-03-19T21:02:45"/>
    <d v="2024-12-12T05:00:00"/>
    <d v="2024-12-12T05:00:00"/>
    <x v="188"/>
    <d v="2024-12-17T19:12:44"/>
    <s v="DEC. FanR-Blade"/>
    <m/>
    <m/>
    <m/>
    <m/>
    <s v=""/>
    <s v=""/>
    <n v="0"/>
    <n v="272.33142361111095"/>
    <n v="272.33142361111095"/>
    <n v="0"/>
    <n v="0"/>
    <n v="0"/>
    <n v="0"/>
    <n v="0"/>
    <n v="0"/>
    <n v="0"/>
    <n v="0"/>
    <n v="0"/>
    <n v="272.33142361111095"/>
    <n v="272.33142361111095"/>
    <n v="5"/>
    <n v="0"/>
  </r>
  <r>
    <s v="Cases &amp; Composites"/>
    <s v="CAS-214671-H6L7D1"/>
    <s v="Tyler Abusbah"/>
    <s v="Complete"/>
    <s v="Active"/>
    <x v="0"/>
    <n v="14"/>
    <s v="24KC633"/>
    <s v="Repair-EA"/>
    <x v="0"/>
    <x v="1"/>
    <x v="3"/>
    <s v="75%"/>
    <d v="2024-05-10T12:59:09"/>
    <d v="2024-12-13T05:00:00"/>
    <d v="2024-12-20T05:00:00"/>
    <x v="188"/>
    <d v="2024-12-18T01:29:55"/>
    <s v="Dec"/>
    <d v="2024-10-21T04:00:00"/>
    <d v="2024-10-23T04:00:00"/>
    <d v="2024-10-23T04:00:00"/>
    <d v="2024-11-25T05:00:00"/>
    <n v="2"/>
    <n v="33.041666666671517"/>
    <n v="35.041666666671517"/>
    <n v="220.66725694444904"/>
    <n v="185.62559027777752"/>
    <n v="80"/>
    <n v="24"/>
    <n v="0"/>
    <n v="0"/>
    <n v="0"/>
    <n v="0"/>
    <n v="0"/>
    <n v="0"/>
    <n v="104"/>
    <n v="116.66725694444904"/>
    <n v="81.625590277777519"/>
    <n v="4"/>
    <n v="0"/>
  </r>
  <r>
    <s v="Cases &amp; Composites"/>
    <s v="CAS-225461-Y7H0V1"/>
    <s v="Francisco Astiasaran"/>
    <s v="Complete"/>
    <s v="Resolved"/>
    <x v="0"/>
    <n v="14"/>
    <s v="24KC528"/>
    <s v="Repair-EA"/>
    <x v="1"/>
    <x v="1"/>
    <x v="3"/>
    <s v="75%"/>
    <d v="2024-08-26T19:54:44"/>
    <d v="2024-10-31T04:00:00"/>
    <d v="2025-07-25T04:00:00"/>
    <x v="57"/>
    <d v="2025-07-16T13:28:09"/>
    <s v="Jul2025"/>
    <d v="2025-06-16T04:00:00"/>
    <d v="2025-06-24T04:00:00"/>
    <d v="2025-06-24T04:00:00"/>
    <d v="2025-06-24T04:00:00"/>
    <n v="8"/>
    <n v="0"/>
    <n v="8"/>
    <n v="323.33699074073957"/>
    <n v="315.33699074073957"/>
    <n v="0"/>
    <n v="0"/>
    <n v="0"/>
    <n v="0"/>
    <n v="0"/>
    <n v="0"/>
    <n v="0"/>
    <n v="0"/>
    <n v="0"/>
    <n v="323.33699074073957"/>
    <n v="315.33699074073957"/>
    <n v="258"/>
    <n v="0"/>
  </r>
  <r>
    <s v="Cases &amp; Composites"/>
    <n v="108038"/>
    <s v="Ferdin Mustafa"/>
    <s v="Complete"/>
    <s v="Closed"/>
    <x v="0"/>
    <n v="14"/>
    <s v="24FC303"/>
    <s v="Repair-EA"/>
    <x v="0"/>
    <x v="2"/>
    <x v="2"/>
    <s v="50%"/>
    <d v="2024-08-29T04:00:00"/>
    <d v="2024-10-23T04:00:00"/>
    <d v="2024-10-23T04:00:00"/>
    <x v="226"/>
    <d v="2024-10-16T17:58:56"/>
    <m/>
    <d v="2024-09-06T04:00:00"/>
    <d v="2024-10-01T04:00:00"/>
    <d v="2024-10-01T04:00:00"/>
    <d v="2024-10-01T04:00:00"/>
    <n v="25"/>
    <n v="0"/>
    <n v="25"/>
    <n v="42"/>
    <n v="17"/>
    <n v="0"/>
    <n v="0"/>
    <n v="0"/>
    <n v="0"/>
    <n v="0"/>
    <n v="0"/>
    <n v="0"/>
    <n v="0"/>
    <n v="0"/>
    <n v="42"/>
    <n v="17"/>
    <n v="-13"/>
    <n v="1"/>
  </r>
  <r>
    <s v="Cases &amp; Composites"/>
    <s v="CAS-218587-G9J9Y8"/>
    <s v="Tyler Abusbah"/>
    <s v="Complete"/>
    <s v="Resolved"/>
    <x v="0"/>
    <n v="14"/>
    <s v="24CCO85"/>
    <s v="Repair-EA"/>
    <x v="0"/>
    <x v="0"/>
    <x v="3"/>
    <s v="50%"/>
    <d v="2024-06-19T16:42:24"/>
    <d v="2025-04-07T04:00:00"/>
    <d v="2025-04-29T04:00:00"/>
    <x v="227"/>
    <d v="2025-04-15T18:41:03"/>
    <s v="TIC Inner Apr2025 Engine need date of 4/16 "/>
    <d v="2025-03-10T04:00:00"/>
    <d v="2025-03-11T04:00:00"/>
    <d v="2025-03-12T04:00:00"/>
    <d v="2025-03-12T04:00:00"/>
    <n v="1"/>
    <n v="0"/>
    <n v="1"/>
    <n v="299.47055555555562"/>
    <n v="298.47055555555562"/>
    <n v="44.622999293977045"/>
    <n v="0"/>
    <n v="0.22375590277806623"/>
    <n v="0"/>
    <n v="3.9666769560208195"/>
    <n v="0"/>
    <n v="0"/>
    <n v="0"/>
    <n v="48.813432152775931"/>
    <n v="250.65712340277969"/>
    <n v="249.65712340277969"/>
    <n v="8"/>
    <n v="0"/>
  </r>
  <r>
    <s v="Cases &amp; Composites"/>
    <s v="CAS-230000-L1X5J6"/>
    <s v="Pedro Iturrino"/>
    <s v="Complete"/>
    <s v="Resolved"/>
    <x v="0"/>
    <n v="14"/>
    <s v="24KC622"/>
    <s v="Repair-EA"/>
    <x v="0"/>
    <x v="1"/>
    <x v="3"/>
    <m/>
    <d v="2024-10-07T17:01:15"/>
    <d v="2024-11-22T05:00:00"/>
    <d v="2024-12-18T05:00:00"/>
    <x v="189"/>
    <d v="2024-12-16T12:04:20"/>
    <s v="DEC"/>
    <d v="2024-10-15T04:00:00"/>
    <d v="2024-10-16T04:00:00"/>
    <d v="2024-10-16T04:00:00"/>
    <d v="2024-10-21T04:00:00"/>
    <n v="1"/>
    <n v="5"/>
    <n v="6"/>
    <n v="66.499131944445253"/>
    <n v="60.499131944445253"/>
    <n v="0"/>
    <n v="0"/>
    <n v="0"/>
    <n v="0"/>
    <n v="0"/>
    <n v="0"/>
    <n v="0"/>
    <n v="0"/>
    <n v="0"/>
    <n v="66.499131944445253"/>
    <n v="60.499131944445253"/>
    <n v="21"/>
    <n v="0"/>
  </r>
  <r>
    <s v="Cases &amp; Composites"/>
    <s v="CAS-230304-D5F2L6"/>
    <s v="Brian K Holland"/>
    <s v="Complete"/>
    <s v="Resolved"/>
    <x v="0"/>
    <n v="14"/>
    <s v="24CCS22"/>
    <s v="Repair-EA"/>
    <x v="0"/>
    <x v="0"/>
    <x v="10"/>
    <s v="75%"/>
    <d v="2024-10-09T21:34:49"/>
    <d v="2024-11-22T05:00:00"/>
    <d v="2024-11-22T05:00:00"/>
    <x v="228"/>
    <d v="2024-11-26T19:04:29"/>
    <s v="FanR-Blade"/>
    <d v="2024-10-23T04:00:00"/>
    <d v="2024-11-19T05:00:00"/>
    <d v="2024-11-19T05:00:00"/>
    <d v="2024-11-20T05:00:00"/>
    <n v="27.041666666671517"/>
    <n v="1"/>
    <n v="28.041666666671517"/>
    <n v="47.309155092596484"/>
    <n v="19.267488425924967"/>
    <n v="0"/>
    <n v="0"/>
    <n v="0"/>
    <n v="0"/>
    <n v="0"/>
    <n v="0"/>
    <n v="0"/>
    <n v="0"/>
    <n v="0"/>
    <n v="47.309155092596484"/>
    <n v="19.267488425924967"/>
    <n v="4"/>
    <n v="0"/>
  </r>
  <r>
    <s v="Cases &amp; Composites"/>
    <s v="CAS-230144-J7V9B0"/>
    <s v="Brian K Holland"/>
    <s v="Complete"/>
    <s v="Resolved"/>
    <x v="0"/>
    <n v="14"/>
    <s v="24CCS45"/>
    <s v="Repair-EA"/>
    <x v="0"/>
    <x v="0"/>
    <x v="8"/>
    <s v="75%"/>
    <d v="2024-10-11T20:06:09"/>
    <d v="2024-10-22T04:00:00"/>
    <d v="2024-11-26T05:00:00"/>
    <x v="197"/>
    <d v="2024-11-19T19:23:06"/>
    <s v="FanR-Blade"/>
    <d v="2024-10-15T04:00:00"/>
    <d v="2024-10-16T04:00:00"/>
    <d v="2024-10-16T04:00:00"/>
    <d v="2024-10-16T04:00:00"/>
    <n v="1"/>
    <n v="0"/>
    <n v="1"/>
    <n v="38.37072916667239"/>
    <n v="37.37072916667239"/>
    <n v="0"/>
    <n v="0"/>
    <n v="0"/>
    <n v="0"/>
    <n v="0"/>
    <n v="0.22683293981390307"/>
    <n v="0"/>
    <n v="0"/>
    <n v="0.22683293981390307"/>
    <n v="38.143896226858487"/>
    <n v="37.143896226858487"/>
    <n v="28.041666666671517"/>
    <n v="0"/>
  </r>
  <r>
    <s v="Cases &amp; Composites"/>
    <s v="CAS-229369-T0G1B2"/>
    <s v="Jia Chen"/>
    <s v="Complete"/>
    <s v="Resolved"/>
    <x v="0"/>
    <n v="14"/>
    <s v="24KC693"/>
    <s v="Repair-EA"/>
    <x v="0"/>
    <x v="1"/>
    <x v="3"/>
    <s v="75%"/>
    <d v="2024-10-01T14:29:23"/>
    <d v="2025-02-19T05:00:00"/>
    <d v="2025-03-14T04:00:00"/>
    <x v="229"/>
    <d v="2025-03-14T17:37:21"/>
    <s v="Mar2025"/>
    <d v="2024-11-21T05:00:00"/>
    <d v="2024-11-26T05:00:00"/>
    <d v="2024-11-26T05:00:00"/>
    <d v="2024-12-09T05:00:00"/>
    <n v="5"/>
    <n v="13"/>
    <n v="18"/>
    <n v="161.56292824073898"/>
    <n v="143.56292824073898"/>
    <n v="6"/>
    <n v="0"/>
    <n v="0"/>
    <n v="0"/>
    <n v="0"/>
    <n v="0"/>
    <n v="0"/>
    <n v="0"/>
    <n v="6"/>
    <n v="155.56292824073898"/>
    <n v="137.56292824073898"/>
    <n v="20.958333333328483"/>
    <n v="0"/>
  </r>
  <r>
    <s v="Cases &amp; Composites"/>
    <s v="CAS-237195-X0G9Q3"/>
    <s v="Francisco Astiasaran"/>
    <s v="Complete"/>
    <s v="Resolved"/>
    <x v="0"/>
    <n v="14"/>
    <s v="24CCY96"/>
    <s v="Repair-EA"/>
    <x v="0"/>
    <x v="0"/>
    <x v="0"/>
    <s v="75%"/>
    <d v="2024-12-13T15:19:01"/>
    <d v="2025-01-31T05:00:00"/>
    <d v="2025-01-31T05:00:00"/>
    <x v="222"/>
    <d v="2025-01-31T22:10:28"/>
    <m/>
    <m/>
    <m/>
    <m/>
    <m/>
    <s v=""/>
    <s v=""/>
    <n v="0"/>
    <n v="48.570127314815181"/>
    <n v="48.570127314815181"/>
    <n v="0"/>
    <n v="0"/>
    <n v="0"/>
    <n v="0"/>
    <n v="0"/>
    <n v="0"/>
    <n v="0"/>
    <n v="0"/>
    <n v="0"/>
    <n v="48.570127314815181"/>
    <n v="48.570127314815181"/>
    <n v="0"/>
    <n v="1"/>
  </r>
  <r>
    <s v="Cases &amp; Composites"/>
    <s v="CAS-236047-G8C6R0"/>
    <s v="Orlando Melendez Colon"/>
    <s v="Complete"/>
    <s v="Resolved"/>
    <x v="0"/>
    <n v="14"/>
    <s v="25VC078"/>
    <s v="Repair-EA"/>
    <x v="0"/>
    <x v="3"/>
    <x v="5"/>
    <s v="75%"/>
    <d v="2024-12-03T14:42:11"/>
    <d v="2025-05-23T04:00:00"/>
    <d v="2025-06-13T04:00:00"/>
    <x v="230"/>
    <d v="2025-06-09T20:20:38"/>
    <s v="Jun2025"/>
    <d v="2025-02-24T05:00:00"/>
    <d v="2025-02-24T05:00:00"/>
    <d v="2025-03-04T05:00:00"/>
    <d v="2025-03-13T04:00:00"/>
    <n v="0"/>
    <n v="8.9583333333284827"/>
    <n v="8.9583333333284827"/>
    <n v="186.55403935184586"/>
    <n v="177.59570601851738"/>
    <n v="0"/>
    <n v="0"/>
    <n v="0"/>
    <n v="0"/>
    <n v="0"/>
    <n v="0"/>
    <n v="0"/>
    <n v="0"/>
    <n v="0"/>
    <n v="186.55403935184586"/>
    <n v="177.59570601851738"/>
    <n v="16"/>
    <n v="0"/>
  </r>
  <r>
    <s v="Cases &amp; Composites"/>
    <n v="110856"/>
    <s v="Austin Bryant"/>
    <s v="Complete"/>
    <s v="Closed"/>
    <x v="0"/>
    <n v="14"/>
    <s v="25FC035"/>
    <s v="Repair-EA"/>
    <x v="0"/>
    <x v="2"/>
    <x v="2"/>
    <s v="50%"/>
    <d v="2025-01-29T05:00:00"/>
    <d v="2025-08-15T04:00:00"/>
    <d v="2025-07-30T04:00:00"/>
    <x v="231"/>
    <d v="2025-07-30T20:48:26"/>
    <s v="JUL2025"/>
    <d v="2025-04-21T04:00:00"/>
    <d v="2025-04-21T04:00:00"/>
    <d v="2025-04-21T04:00:00"/>
    <d v="2025-07-13T04:00:00"/>
    <n v="0"/>
    <n v="83"/>
    <n v="83"/>
    <n v="175.95833333332848"/>
    <n v="92.958333333328483"/>
    <n v="0"/>
    <n v="0"/>
    <n v="0"/>
    <n v="8"/>
    <n v="0"/>
    <n v="0"/>
    <n v="0"/>
    <n v="0"/>
    <n v="8"/>
    <n v="167.95833333332848"/>
    <n v="84.958333333328483"/>
    <n v="-22"/>
    <n v="1"/>
  </r>
  <r>
    <s v="Cases &amp; Composites"/>
    <s v="CAS-166448-Y3F1V3"/>
    <s v="Jia Chen"/>
    <s v="Complete"/>
    <s v="Resolved"/>
    <x v="0"/>
    <n v="15"/>
    <s v="23CC904"/>
    <s v="Repair-EA"/>
    <x v="0"/>
    <x v="0"/>
    <x v="8"/>
    <m/>
    <d v="2022-12-19T21:19:37"/>
    <d v="2023-04-28T04:00:00"/>
    <d v="2024-04-26T04:00:00"/>
    <x v="165"/>
    <d v="2024-04-03T17:16:27"/>
    <s v="IDC. Apr"/>
    <d v="2023-03-24T04:00:00"/>
    <d v="2023-04-05T04:00:00"/>
    <d v="2023-04-05T04:00:00"/>
    <d v="2024-03-26T04:00:00"/>
    <n v="12"/>
    <n v="356"/>
    <n v="368"/>
    <n v="470.27804398148146"/>
    <n v="102.27804398148146"/>
    <n v="0"/>
    <n v="0"/>
    <n v="0"/>
    <n v="0"/>
    <n v="0"/>
    <n v="0"/>
    <n v="0"/>
    <n v="0"/>
    <n v="0"/>
    <n v="470.27804398148146"/>
    <n v="102.27804398148146"/>
    <n v="341"/>
    <n v="0"/>
  </r>
  <r>
    <s v="Cases &amp; Composites"/>
    <s v="CAS-208201-S2D9L5"/>
    <s v="Ferdin Mustafa"/>
    <s v="Complete"/>
    <s v="Resolved"/>
    <x v="0"/>
    <n v="15"/>
    <s v="24KC563"/>
    <s v="Repair-EA"/>
    <x v="0"/>
    <x v="1"/>
    <x v="3"/>
    <s v="50%"/>
    <d v="2024-02-29T15:08:33"/>
    <d v="2025-02-19T05:00:00"/>
    <d v="2025-02-27T05:00:00"/>
    <x v="202"/>
    <d v="2025-02-25T22:39:00"/>
    <s v="February"/>
    <d v="2024-09-05T04:00:00"/>
    <d v="2024-09-05T04:00:00"/>
    <d v="2024-09-05T04:00:00"/>
    <d v="2025-01-24T05:00:00"/>
    <n v="0"/>
    <n v="141.04166666667152"/>
    <n v="141.04166666667152"/>
    <n v="361.5773958333375"/>
    <n v="220.53572916666599"/>
    <n v="74"/>
    <n v="0"/>
    <n v="0"/>
    <n v="0"/>
    <n v="0"/>
    <n v="0"/>
    <n v="0"/>
    <n v="0"/>
    <n v="74"/>
    <n v="287.5773958333375"/>
    <n v="146.53572916666599"/>
    <n v="6"/>
    <n v="0"/>
  </r>
  <r>
    <s v="Cases &amp; Composites"/>
    <s v="CAS-224723-P9J2Z6"/>
    <s v="Jia Chen"/>
    <s v="Complete"/>
    <s v="Resolved"/>
    <x v="0"/>
    <n v="15"/>
    <s v="24KC269A"/>
    <s v="Repair-EA"/>
    <x v="0"/>
    <x v="1"/>
    <x v="3"/>
    <s v="75%"/>
    <d v="2024-08-19T21:44:38"/>
    <d v="2024-10-04T04:00:00"/>
    <d v="2024-10-11T04:00:00"/>
    <x v="232"/>
    <d v="2024-10-10T12:26:15"/>
    <s v="EA Revision to 24KC269 (CAS-212100-L9L0L9) to allow &quot;no plasma removal necessary&quot; if utilizing a local heat treat. Oct"/>
    <m/>
    <m/>
    <m/>
    <m/>
    <s v=""/>
    <s v=""/>
    <n v="0"/>
    <n v="50.260671296295186"/>
    <n v="50.260671296295186"/>
    <n v="0"/>
    <n v="0"/>
    <n v="0"/>
    <n v="0"/>
    <n v="0"/>
    <n v="0"/>
    <n v="0"/>
    <n v="0"/>
    <n v="0"/>
    <n v="50.260671296295186"/>
    <n v="50.260671296295186"/>
    <n v="5"/>
    <n v="0"/>
  </r>
  <r>
    <s v="Cases &amp; Composites"/>
    <s v="CAS-223587-C4B8V8"/>
    <s v="Ferdin Mustafa"/>
    <s v="Complete"/>
    <s v="Resolved"/>
    <x v="0"/>
    <n v="15"/>
    <s v="24FC287"/>
    <s v="Repair-EA"/>
    <x v="1"/>
    <x v="2"/>
    <x v="1"/>
    <s v="75%"/>
    <d v="2024-08-07T13:03:15"/>
    <d v="2025-04-14T04:00:00"/>
    <d v="2024-10-17T04:00:00"/>
    <x v="39"/>
    <d v="2024-10-10T14:36:06"/>
    <s v="October - "/>
    <m/>
    <m/>
    <m/>
    <m/>
    <s v=""/>
    <s v=""/>
    <n v="0"/>
    <n v="61.622743055551837"/>
    <n v="61.622743055551837"/>
    <n v="0"/>
    <n v="0"/>
    <n v="0"/>
    <n v="0"/>
    <n v="0"/>
    <n v="0"/>
    <n v="0"/>
    <n v="0"/>
    <n v="0"/>
    <n v="61.622743055551837"/>
    <n v="61.622743055551837"/>
    <n v="-188"/>
    <n v="1"/>
  </r>
  <r>
    <s v="Cases &amp; Composites"/>
    <s v="CAS-231303-V2P5L0"/>
    <s v="Ferdin Mustafa"/>
    <s v="Complete"/>
    <s v="Resolved"/>
    <x v="0"/>
    <n v="15"/>
    <s v="24KC653"/>
    <s v="Repair-EA"/>
    <x v="0"/>
    <x v="1"/>
    <x v="1"/>
    <s v="75%"/>
    <d v="2024-10-18T11:26:42"/>
    <d v="2025-04-10T04:00:00"/>
    <d v="2024-11-22T05:00:00"/>
    <x v="149"/>
    <d v="2024-11-13T18:47:04"/>
    <m/>
    <d v="2024-10-29T04:00:00"/>
    <d v="2024-10-31T04:00:00"/>
    <d v="2024-10-31T04:00:00"/>
    <d v="2024-11-07T05:00:00"/>
    <n v="2"/>
    <n v="7.0416666666715173"/>
    <n v="9.0416666666715173"/>
    <n v="25.731458333335468"/>
    <n v="16.68979166666395"/>
    <n v="4"/>
    <n v="0"/>
    <n v="0"/>
    <n v="0"/>
    <n v="0"/>
    <n v="0"/>
    <n v="0"/>
    <n v="0"/>
    <n v="4"/>
    <n v="21.731458333335468"/>
    <n v="12.68979166666395"/>
    <n v="-147.95833333332848"/>
    <n v="1"/>
  </r>
  <r>
    <s v="Cases &amp; Composites"/>
    <s v="MSG-241219-E0D4A1"/>
    <s v="Francisco Astiasaran"/>
    <s v="Complete"/>
    <s v="Complete"/>
    <x v="0"/>
    <n v="15"/>
    <s v="24CCZ03"/>
    <s v="Repair-EA"/>
    <x v="0"/>
    <x v="0"/>
    <x v="0"/>
    <s v="75%"/>
    <d v="2024-12-19T05:00:00"/>
    <d v="2025-02-05T05:00:00"/>
    <d v="2025-02-05T05:00:00"/>
    <x v="15"/>
    <d v="2025-02-05T21:25:02"/>
    <m/>
    <m/>
    <m/>
    <m/>
    <m/>
    <s v=""/>
    <s v=""/>
    <n v="0"/>
    <n v="48"/>
    <n v="48"/>
    <n v="0"/>
    <n v="0"/>
    <n v="0"/>
    <n v="0"/>
    <n v="0"/>
    <n v="0"/>
    <n v="0"/>
    <n v="0"/>
    <n v="0"/>
    <n v="48"/>
    <n v="48"/>
    <n v="0"/>
    <n v="1"/>
  </r>
  <r>
    <s v="Cases &amp; Composites"/>
    <s v="CAS-232720-Q9F9R3"/>
    <s v="Alexander Page"/>
    <s v="Complete"/>
    <s v="Resolved"/>
    <x v="0"/>
    <n v="15"/>
    <s v="25KC037"/>
    <s v="Repair-EA"/>
    <x v="0"/>
    <x v="1"/>
    <x v="3"/>
    <s v="50%"/>
    <d v="2024-10-31T20:19:53"/>
    <d v="2025-04-23T04:00:00"/>
    <d v="2025-04-23T04:00:00"/>
    <x v="227"/>
    <d v="2025-04-15T20:09:42"/>
    <s v="apr2025"/>
    <d v="2025-02-06T05:00:00"/>
    <d v="2025-02-12T05:00:00"/>
    <d v="2025-02-12T05:00:00"/>
    <d v="2025-04-11T04:00:00"/>
    <n v="6"/>
    <n v="57.958333333328483"/>
    <n v="63.958333333328483"/>
    <n v="165.31952546296088"/>
    <n v="101.3611921296324"/>
    <n v="21"/>
    <n v="0"/>
    <n v="0"/>
    <n v="0"/>
    <n v="0"/>
    <n v="0"/>
    <n v="0"/>
    <n v="0"/>
    <n v="21"/>
    <n v="144.31952546296088"/>
    <n v="80.3611921296324"/>
    <n v="-8"/>
    <n v="1"/>
  </r>
  <r>
    <s v="Cases &amp; Composites"/>
    <s v="CAS-231786-W6M4G5"/>
    <s v="Ibraheem Farajat"/>
    <s v="Complete"/>
    <s v="Resolved"/>
    <x v="0"/>
    <n v="15"/>
    <s v="25VC104"/>
    <s v="Repair-EA"/>
    <x v="0"/>
    <x v="3"/>
    <x v="5"/>
    <m/>
    <d v="2024-10-23T12:55:27"/>
    <d v="2025-04-30T04:00:00"/>
    <d v="2025-05-16T04:00:00"/>
    <x v="200"/>
    <d v="2025-05-12T13:41:23"/>
    <s v="May2025 PSD"/>
    <d v="2025-04-01T04:00:00"/>
    <d v="2025-04-01T04:00:00"/>
    <d v="2025-04-01T04:00:00"/>
    <d v="2025-04-02T04:00:00"/>
    <n v="0"/>
    <n v="1"/>
    <n v="1"/>
    <n v="197.6281597222187"/>
    <n v="196.6281597222187"/>
    <n v="0"/>
    <n v="0"/>
    <n v="0"/>
    <n v="0"/>
    <n v="0"/>
    <n v="0"/>
    <n v="0"/>
    <n v="0"/>
    <n v="0"/>
    <n v="197.6281597222187"/>
    <n v="196.6281597222187"/>
    <n v="9"/>
    <n v="0"/>
  </r>
  <r>
    <s v="Cases &amp; Composites"/>
    <s v="CAS-239016-Z5M2Q3"/>
    <s v="Orlando Melendez Colon"/>
    <s v="Complete"/>
    <s v="Resolved"/>
    <x v="0"/>
    <n v="15"/>
    <s v="25VG063"/>
    <s v="Repair-EA"/>
    <x v="0"/>
    <x v="3"/>
    <x v="5"/>
    <s v="75%"/>
    <d v="2025-01-07T12:18:21"/>
    <d v="2025-06-30T04:00:00"/>
    <d v="2025-08-21T04:00:00"/>
    <x v="233"/>
    <d v="2025-07-14T15:58:58"/>
    <m/>
    <d v="2025-05-20T04:00:00"/>
    <d v="2025-05-20T04:00:00"/>
    <d v="2025-05-20T04:00:00"/>
    <d v="2025-06-16T04:00:00"/>
    <n v="0"/>
    <n v="27"/>
    <n v="27"/>
    <n v="183.65392361110571"/>
    <n v="156.65392361110571"/>
    <n v="0"/>
    <n v="0"/>
    <n v="13"/>
    <n v="0"/>
    <n v="16"/>
    <n v="0"/>
    <n v="0"/>
    <n v="0"/>
    <n v="29"/>
    <n v="154.65392361110571"/>
    <n v="127.65392361110571"/>
    <n v="10"/>
    <n v="0"/>
  </r>
  <r>
    <s v="Cases &amp; Composites"/>
    <s v="CAS-247692-T1L6J1"/>
    <s v="Ibraheem Farajat"/>
    <s v="Complete"/>
    <s v="Resolved"/>
    <x v="0"/>
    <n v="15"/>
    <s v="25VC120"/>
    <s v="Repair-EA"/>
    <x v="0"/>
    <x v="3"/>
    <x v="5"/>
    <s v="75%"/>
    <d v="2025-03-28T19:00:58"/>
    <d v="2025-04-25T04:00:00"/>
    <d v="2025-05-09T04:00:00"/>
    <x v="194"/>
    <d v="2025-05-07T18:31:08"/>
    <s v="May2025"/>
    <d v="2025-04-08T04:00:00"/>
    <d v="2025-04-09T04:00:00"/>
    <d v="2025-04-09T04:00:00"/>
    <d v="2025-04-10T04:00:00"/>
    <n v="1"/>
    <n v="1"/>
    <n v="2"/>
    <n v="39.374328703699575"/>
    <n v="37.374328703699575"/>
    <n v="0"/>
    <n v="0"/>
    <n v="0"/>
    <n v="0"/>
    <n v="0"/>
    <n v="0"/>
    <n v="0"/>
    <n v="0"/>
    <n v="0"/>
    <n v="39.374328703699575"/>
    <n v="37.374328703699575"/>
    <n v="12"/>
    <n v="0"/>
  </r>
  <r>
    <s v="Cases &amp; Composites"/>
    <s v="CAS-246085-W8F6F6"/>
    <s v="Orlando Melendez Colon"/>
    <s v="Complete"/>
    <s v="Resolved"/>
    <x v="0"/>
    <n v="15"/>
    <s v="25VC131"/>
    <s v="Repair-EA"/>
    <x v="0"/>
    <x v="3"/>
    <x v="5"/>
    <s v="50%"/>
    <d v="2025-03-13T10:37:55"/>
    <d v="2025-06-30T04:00:00"/>
    <d v="2025-06-25T04:00:00"/>
    <x v="230"/>
    <d v="2025-06-11T14:57:14"/>
    <s v="Jun2025"/>
    <d v="2025-05-09T04:00:00"/>
    <d v="2025-05-09T04:00:00"/>
    <d v="2025-05-09T04:00:00"/>
    <d v="2025-05-20T04:00:00"/>
    <n v="0"/>
    <n v="11"/>
    <n v="11"/>
    <n v="86.723668981481751"/>
    <n v="75.723668981481751"/>
    <n v="13"/>
    <n v="0"/>
    <n v="8"/>
    <n v="0"/>
    <n v="0"/>
    <n v="0"/>
    <n v="0"/>
    <n v="0"/>
    <n v="21"/>
    <n v="65.723668981481751"/>
    <n v="54.723668981481751"/>
    <n v="-22"/>
    <n v="1"/>
  </r>
  <r>
    <s v="Cases &amp; Composites"/>
    <s v="CAS-249276-C4Y3H9"/>
    <s v="Francisco Astiasaran"/>
    <s v="Complete"/>
    <s v="Resolved"/>
    <x v="0"/>
    <n v="15"/>
    <s v="25CC882"/>
    <s v="Repair-EA"/>
    <x v="0"/>
    <x v="0"/>
    <x v="11"/>
    <s v="75%"/>
    <d v="2025-04-14T12:40:22"/>
    <d v="2025-04-25T04:00:00"/>
    <d v="2025-04-25T04:00:00"/>
    <x v="53"/>
    <d v="2025-04-29T17:27:23"/>
    <s v="Apr2025"/>
    <m/>
    <m/>
    <m/>
    <m/>
    <s v=""/>
    <s v=""/>
    <n v="0"/>
    <n v="14.638634259259561"/>
    <n v="14.638634259259561"/>
    <n v="0"/>
    <n v="0"/>
    <n v="0"/>
    <n v="0"/>
    <n v="0"/>
    <n v="0"/>
    <n v="0"/>
    <n v="0"/>
    <n v="0"/>
    <n v="14.638634259259561"/>
    <n v="14.638634259259561"/>
    <n v="4"/>
    <n v="0"/>
  </r>
  <r>
    <s v="Cases &amp; Composites"/>
    <s v="CAS-208345-H5N6Y2"/>
    <s v="Jia Chen"/>
    <s v="Complete"/>
    <s v="Resolved"/>
    <x v="0"/>
    <n v="16"/>
    <s v="24KC135"/>
    <s v="Repair-EA"/>
    <x v="0"/>
    <x v="1"/>
    <x v="3"/>
    <s v="75%"/>
    <d v="2024-03-01T18:39:22"/>
    <d v="2025-01-14T05:00:00"/>
    <d v="2025-01-14T05:00:00"/>
    <x v="197"/>
    <d v="2024-11-19T23:06:33"/>
    <m/>
    <d v="2024-06-14T04:00:00"/>
    <d v="2024-08-05T04:00:00"/>
    <d v="2024-08-05T04:00:00"/>
    <d v="2024-08-21T04:00:00"/>
    <n v="52"/>
    <n v="16"/>
    <n v="68"/>
    <n v="262.43099537037051"/>
    <n v="194.43099537037051"/>
    <n v="0"/>
    <n v="0"/>
    <n v="0"/>
    <n v="0"/>
    <n v="18"/>
    <n v="0"/>
    <n v="0"/>
    <n v="0"/>
    <n v="18"/>
    <n v="244.43099537037051"/>
    <n v="176.43099537037051"/>
    <n v="-56"/>
    <n v="1"/>
  </r>
  <r>
    <s v="Cases &amp; Composites"/>
    <s v="CAS-210588-S8G6T8"/>
    <s v="Francisco Astiasaran"/>
    <s v="Complete"/>
    <s v="Resolved"/>
    <x v="0"/>
    <n v="16"/>
    <s v="23CCQ47"/>
    <s v="Repair-EA"/>
    <x v="3"/>
    <x v="0"/>
    <x v="0"/>
    <m/>
    <d v="2024-03-26T17:35:35"/>
    <d v="2024-06-05T04:00:00"/>
    <d v="2024-12-11T05:00:00"/>
    <x v="210"/>
    <d v="2024-12-05T18:27:10"/>
    <s v="DEC"/>
    <d v="2024-06-10T04:00:00"/>
    <d v="2024-11-21T05:00:00"/>
    <d v="2024-11-21T05:00:00"/>
    <d v="2024-11-27T05:00:00"/>
    <n v="164.04166666667152"/>
    <n v="6"/>
    <n v="170.04166666667152"/>
    <n v="252.47528935185255"/>
    <n v="82.433622685181035"/>
    <n v="0"/>
    <n v="0"/>
    <n v="0"/>
    <n v="0"/>
    <n v="0"/>
    <n v="90.21002001157467"/>
    <n v="0"/>
    <n v="0"/>
    <n v="90.21002001157467"/>
    <n v="162.26526934027788"/>
    <n v="-7.776397326393635"/>
    <n v="182.04166666667152"/>
    <n v="0"/>
  </r>
  <r>
    <s v="Cases &amp; Composites"/>
    <s v="CAS-208328-F3P5N3"/>
    <s v="Tyler Abusbah"/>
    <s v="Complete"/>
    <s v="Resolved"/>
    <x v="0"/>
    <n v="16"/>
    <s v="24KC377"/>
    <s v="Repair-EA"/>
    <x v="0"/>
    <x v="1"/>
    <x v="3"/>
    <s v="75%"/>
    <d v="2024-03-01T15:03:08"/>
    <d v="2025-01-03T05:00:00"/>
    <d v="2024-10-24T04:00:00"/>
    <x v="183"/>
    <d v="2024-10-24T06:57:46"/>
    <s v="Oct"/>
    <d v="2024-05-13T04:00:00"/>
    <d v="2024-08-14T04:00:00"/>
    <d v="2024-08-14T04:00:00"/>
    <d v="2024-09-11T04:00:00"/>
    <n v="93"/>
    <n v="28"/>
    <n v="121"/>
    <n v="235.53949074073898"/>
    <n v="114.53949074073898"/>
    <n v="0"/>
    <n v="0"/>
    <n v="0"/>
    <n v="6"/>
    <n v="0"/>
    <n v="0"/>
    <n v="0"/>
    <n v="0"/>
    <n v="6"/>
    <n v="229.53949074073898"/>
    <n v="108.53949074073898"/>
    <n v="-72.041666666671517"/>
    <n v="1"/>
  </r>
  <r>
    <s v="Cases &amp; Composites"/>
    <s v="CAS-201983-P9Z3Q3"/>
    <s v="Ferdin Mustafa"/>
    <s v="Complete"/>
    <s v="Resolved"/>
    <x v="0"/>
    <n v="16"/>
    <s v="24KC652"/>
    <s v="Repair-EA"/>
    <x v="0"/>
    <x v="1"/>
    <x v="3"/>
    <m/>
    <d v="2023-12-22T08:56:39"/>
    <d v="2025-04-14T04:00:00"/>
    <d v="2025-07-11T04:00:00"/>
    <x v="20"/>
    <d v="2025-07-03T01:30:14"/>
    <s v="Jul2025"/>
    <d v="2024-10-28T04:00:00"/>
    <d v="2024-10-29T04:00:00"/>
    <d v="2024-10-29T04:00:00"/>
    <d v="2025-02-27T05:00:00"/>
    <n v="1"/>
    <n v="121.04166666667152"/>
    <n v="122.04166666667152"/>
    <n v="557.79399305555125"/>
    <n v="435.75232638887974"/>
    <n v="0"/>
    <n v="15"/>
    <n v="12"/>
    <n v="158"/>
    <n v="61"/>
    <n v="0"/>
    <n v="0"/>
    <n v="0"/>
    <n v="246"/>
    <n v="311.79399305555125"/>
    <n v="189.75232638887974"/>
    <n v="79"/>
    <n v="0"/>
  </r>
  <r>
    <s v="Cases &amp; Composites"/>
    <s v="CAS-222321-T5D3F1"/>
    <s v="Jia Chen"/>
    <s v="Complete"/>
    <s v="Resolved"/>
    <x v="0"/>
    <n v="16"/>
    <s v="24CCR07"/>
    <s v="Repair-EA"/>
    <x v="0"/>
    <x v="0"/>
    <x v="0"/>
    <s v="50%"/>
    <d v="2024-07-25T15:23:10"/>
    <d v="2025-02-13T05:00:00"/>
    <d v="2025-02-13T05:00:00"/>
    <x v="100"/>
    <d v="2025-02-06T21:06:15"/>
    <s v="DIFFUSER INNER CASE ASSEMBLY - INNER CASE WALL - BLEND REPAIR."/>
    <d v="2024-11-14T05:00:00"/>
    <d v="2024-11-22T05:00:00"/>
    <d v="2024-11-22T05:00:00"/>
    <d v="2024-11-25T05:00:00"/>
    <n v="8"/>
    <n v="3"/>
    <n v="11"/>
    <n v="195.56724537037371"/>
    <n v="184.56724537037371"/>
    <n v="30.088121076398238"/>
    <n v="0"/>
    <n v="0"/>
    <n v="0"/>
    <n v="0"/>
    <n v="0"/>
    <n v="0"/>
    <n v="0"/>
    <n v="30.088121076398238"/>
    <n v="165.47912429397547"/>
    <n v="154.47912429397547"/>
    <n v="-7"/>
    <n v="1"/>
  </r>
  <r>
    <s v="Cases &amp; Composites"/>
    <s v="CAS-228800-Q8C9G6"/>
    <s v="Robert Thompson"/>
    <s v="Complete"/>
    <s v="Resolved"/>
    <x v="0"/>
    <n v="16"/>
    <s v="24KC603"/>
    <s v="Repair-EA"/>
    <x v="0"/>
    <x v="1"/>
    <x v="3"/>
    <s v="75%"/>
    <d v="2024-09-30T19:08:52"/>
    <d v="2024-10-29T04:00:00"/>
    <d v="2024-10-29T04:00:00"/>
    <x v="234"/>
    <d v="2024-10-30T12:49:43"/>
    <m/>
    <m/>
    <m/>
    <m/>
    <m/>
    <s v=""/>
    <s v=""/>
    <n v="0"/>
    <n v="28.368842592586589"/>
    <n v="28.368842592586589"/>
    <n v="0"/>
    <n v="0"/>
    <n v="0"/>
    <n v="0"/>
    <n v="0"/>
    <n v="0"/>
    <n v="0"/>
    <n v="0"/>
    <n v="0"/>
    <n v="28.368842592586589"/>
    <n v="28.368842592586589"/>
    <n v="0"/>
    <n v="1"/>
  </r>
  <r>
    <s v="Cases &amp; Composites"/>
    <n v="109545"/>
    <s v="Francisco Astiasaran"/>
    <s v="Complete"/>
    <s v="Closed"/>
    <x v="0"/>
    <n v="16"/>
    <s v="24FC364"/>
    <s v="Repair-EA"/>
    <x v="0"/>
    <x v="2"/>
    <x v="3"/>
    <s v="75%"/>
    <d v="2024-11-11T05:00:00"/>
    <d v="2025-01-24T05:00:00"/>
    <d v="2025-02-26T05:00:00"/>
    <x v="235"/>
    <d v="2025-02-28T22:57:46"/>
    <s v="JAN"/>
    <d v="2024-11-22T05:00:00"/>
    <d v="2024-11-25T05:00:00"/>
    <d v="2024-11-25T05:00:00"/>
    <d v="2025-01-10T05:00:00"/>
    <n v="3"/>
    <n v="46"/>
    <n v="49"/>
    <n v="109"/>
    <n v="60"/>
    <n v="0"/>
    <n v="0"/>
    <n v="0"/>
    <n v="0"/>
    <n v="0"/>
    <n v="0"/>
    <n v="0"/>
    <n v="0"/>
    <n v="0"/>
    <n v="109"/>
    <n v="60"/>
    <n v="35"/>
    <n v="0"/>
  </r>
  <r>
    <s v="Cases &amp; Composites"/>
    <s v="CAS-228630-R6J9L1"/>
    <s v="Jia Chen"/>
    <s v="Complete"/>
    <s v="Resolved"/>
    <x v="0"/>
    <n v="16"/>
    <s v="24KC714"/>
    <s v="Repair-EA"/>
    <x v="0"/>
    <x v="1"/>
    <x v="3"/>
    <s v="75%"/>
    <d v="2024-09-24T20:30:28"/>
    <d v="2025-03-04T05:00:00"/>
    <d v="2025-03-04T05:00:00"/>
    <x v="236"/>
    <d v="2025-01-22T18:46:26"/>
    <m/>
    <d v="2024-12-19T05:00:00"/>
    <d v="2025-01-08T05:00:00"/>
    <d v="2025-01-08T05:00:00"/>
    <d v="2025-01-10T05:00:00"/>
    <n v="20"/>
    <n v="2"/>
    <n v="22"/>
    <n v="119.35384259259445"/>
    <n v="97.353842592594447"/>
    <n v="34"/>
    <n v="0"/>
    <n v="0"/>
    <n v="0"/>
    <n v="0"/>
    <n v="0"/>
    <n v="0"/>
    <n v="0"/>
    <n v="34"/>
    <n v="85.353842592594447"/>
    <n v="63.353842592594447"/>
    <n v="-41"/>
    <n v="1"/>
  </r>
  <r>
    <s v="Cases &amp; Composites"/>
    <s v="CAS-232593-T7R8P5"/>
    <s v="Francisco Astiasaran"/>
    <s v="Complete"/>
    <s v="Resolved"/>
    <x v="0"/>
    <n v="16"/>
    <s v="24CCX13"/>
    <s v="Repair-EA"/>
    <x v="0"/>
    <x v="0"/>
    <x v="8"/>
    <s v="50%"/>
    <d v="2024-10-30T20:32:48"/>
    <d v="2024-11-20T05:00:00"/>
    <d v="2025-02-12T05:00:00"/>
    <x v="114"/>
    <d v="2025-02-12T20:12:32"/>
    <m/>
    <d v="2024-11-26T05:00:00"/>
    <d v="2025-01-06T05:00:00"/>
    <d v="2025-01-06T05:00:00"/>
    <d v="2025-01-06T05:00:00"/>
    <n v="41"/>
    <n v="0"/>
    <n v="41"/>
    <n v="104.35222222222365"/>
    <n v="63.352222222223645"/>
    <n v="0"/>
    <n v="0"/>
    <n v="0"/>
    <n v="0"/>
    <n v="0"/>
    <n v="0"/>
    <n v="0"/>
    <n v="0"/>
    <n v="0"/>
    <n v="104.35222222222365"/>
    <n v="63.352222222223645"/>
    <n v="84"/>
    <n v="0"/>
  </r>
  <r>
    <s v="Cases &amp; Composites"/>
    <s v="CAS-242014-G6L7P5"/>
    <s v="Tyler Abusbah"/>
    <s v="Complete"/>
    <s v="Resolved"/>
    <x v="0"/>
    <n v="16"/>
    <s v="25KC204"/>
    <s v="Repair-EA"/>
    <x v="0"/>
    <x v="1"/>
    <x v="3"/>
    <s v="75%"/>
    <d v="2025-02-18T20:17:10"/>
    <d v="2025-09-24T04:00:00"/>
    <d v="2025-05-28T04:00:00"/>
    <x v="200"/>
    <d v="2025-05-09T20:06:23"/>
    <s v="May2025"/>
    <d v="2025-04-14T04:00:00"/>
    <d v="2025-04-15T04:00:00"/>
    <d v="2025-04-25T04:00:00"/>
    <d v="2025-04-30T04:00:00"/>
    <n v="1"/>
    <n v="5"/>
    <n v="6"/>
    <n v="79.321412037032133"/>
    <n v="73.321412037032133"/>
    <n v="5"/>
    <n v="0"/>
    <n v="0"/>
    <n v="0"/>
    <n v="0"/>
    <n v="0"/>
    <n v="0"/>
    <n v="0"/>
    <n v="5"/>
    <n v="74.321412037032133"/>
    <n v="68.321412037032133"/>
    <n v="-138"/>
    <n v="1"/>
  </r>
  <r>
    <s v="Cases &amp; Composites"/>
    <s v="CAS-245978-Y8Q5J4"/>
    <s v="Ferdin Mustafa"/>
    <s v="Complete"/>
    <s v="Resolved"/>
    <x v="0"/>
    <n v="16"/>
    <s v="24KC622A"/>
    <s v="Repair-EA"/>
    <x v="0"/>
    <x v="1"/>
    <x v="3"/>
    <s v="75%"/>
    <d v="2025-03-12T14:20:49"/>
    <d v="2025-08-01T04:00:00"/>
    <d v="2025-04-17T04:00:00"/>
    <x v="227"/>
    <d v="2025-04-21T13:51:09"/>
    <s v="Apr2025 - RSL"/>
    <d v="2025-03-26T04:00:00"/>
    <d v="2025-04-02T04:00:00"/>
    <d v="2025-04-02T04:00:00"/>
    <d v="2025-04-02T04:00:00"/>
    <n v="7"/>
    <n v="0"/>
    <n v="7"/>
    <n v="33.568877314814017"/>
    <n v="26.568877314814017"/>
    <n v="0"/>
    <n v="0"/>
    <n v="0"/>
    <n v="0"/>
    <n v="0"/>
    <n v="0"/>
    <n v="0"/>
    <n v="0"/>
    <n v="0"/>
    <n v="33.568877314814017"/>
    <n v="26.568877314814017"/>
    <n v="-108"/>
    <n v="1"/>
  </r>
  <r>
    <s v="Cases &amp; Composites"/>
    <s v="CAS-248540-R7D5Y4"/>
    <s v="Francisco Astiasaran"/>
    <s v="Complete"/>
    <s v="Resolved"/>
    <x v="0"/>
    <n v="16"/>
    <s v="25CC847"/>
    <s v="Repair-EA"/>
    <x v="0"/>
    <x v="0"/>
    <x v="10"/>
    <s v="75%"/>
    <d v="2025-04-07T16:27:57"/>
    <d v="2025-04-23T04:00:00"/>
    <d v="2025-04-25T04:00:00"/>
    <x v="53"/>
    <d v="2025-04-29T17:28:43"/>
    <s v="Apr2025"/>
    <d v="2025-04-09T04:00:00"/>
    <d v="2025-04-09T04:00:00"/>
    <m/>
    <d v="2025-04-09T04:00:00"/>
    <n v="0"/>
    <s v=""/>
    <n v="0"/>
    <n v="21.480590277773445"/>
    <n v="21.480590277773445"/>
    <n v="0"/>
    <n v="0"/>
    <n v="0"/>
    <n v="0"/>
    <n v="0"/>
    <n v="0"/>
    <n v="0"/>
    <n v="0"/>
    <n v="0"/>
    <n v="21.480590277773445"/>
    <n v="21.480590277773445"/>
    <n v="6"/>
    <n v="0"/>
  </r>
  <r>
    <s v="Cases &amp; Composites"/>
    <s v="CAS-251591-J9H8J4"/>
    <s v="Francisco Astiasaran"/>
    <s v="Complete"/>
    <s v="Resolved"/>
    <x v="0"/>
    <n v="16"/>
    <s v="20CCK95D"/>
    <s v="Repair-EA"/>
    <x v="1"/>
    <x v="0"/>
    <x v="8"/>
    <s v="75%"/>
    <d v="2025-05-08T09:57:03"/>
    <d v="2025-06-03T04:00:00"/>
    <d v="2025-06-20T04:00:00"/>
    <x v="237"/>
    <d v="2025-06-13T17:21:18"/>
    <s v="Jun2025"/>
    <m/>
    <m/>
    <m/>
    <m/>
    <s v=""/>
    <s v=""/>
    <n v="0"/>
    <n v="33.752048611109785"/>
    <n v="33.752048611109785"/>
    <n v="0"/>
    <n v="0"/>
    <n v="0"/>
    <n v="0"/>
    <n v="0"/>
    <n v="0"/>
    <n v="0"/>
    <n v="0.67575780092738569"/>
    <n v="0.67575780092738569"/>
    <n v="33.0762908101824"/>
    <n v="33.0762908101824"/>
    <n v="8"/>
    <n v="0"/>
  </r>
  <r>
    <s v="Cases &amp; Composites"/>
    <s v="CAS-182441-V9X0Y1"/>
    <s v="Francisco Astiasaran"/>
    <s v="Complete"/>
    <s v="Resolved"/>
    <x v="0"/>
    <n v="17"/>
    <s v="23CCU67"/>
    <s v="Repair-EA"/>
    <x v="0"/>
    <x v="0"/>
    <x v="0"/>
    <m/>
    <d v="2023-06-08T07:49:10"/>
    <d v="2024-01-05T05:00:00"/>
    <d v="2025-06-18T04:00:00"/>
    <x v="238"/>
    <d v="2025-06-05T20:10:29"/>
    <s v="Jun2025. Dent on Side of Clip Holes"/>
    <d v="2023-11-07T05:00:00"/>
    <d v="2023-12-05T05:00:00"/>
    <d v="2025-05-12T04:00:00"/>
    <d v="2025-05-29T04:00:00"/>
    <n v="28"/>
    <n v="17"/>
    <n v="45"/>
    <n v="727.84085648148175"/>
    <n v="682.84085648148175"/>
    <n v="0"/>
    <n v="0"/>
    <n v="0"/>
    <n v="0"/>
    <n v="0"/>
    <n v="0"/>
    <n v="0"/>
    <n v="0"/>
    <n v="0"/>
    <n v="727.84085648148175"/>
    <n v="682.84085648148175"/>
    <n v="516.95833333332848"/>
    <n v="0"/>
  </r>
  <r>
    <s v="Cases &amp; Composites"/>
    <s v="CAS-195395-X8V9C8"/>
    <s v="Alexander Page"/>
    <s v="Complete"/>
    <s v="Resolved"/>
    <x v="0"/>
    <n v="17"/>
    <s v="24CC402"/>
    <s v="Repair-EA"/>
    <x v="0"/>
    <x v="0"/>
    <x v="0"/>
    <m/>
    <d v="2023-10-17T20:59:10"/>
    <d v="2024-03-07T05:00:00"/>
    <d v="2025-04-25T04:00:00"/>
    <x v="225"/>
    <d v="2025-04-07T13:14:17"/>
    <s v="apr2025"/>
    <d v="2024-02-06T05:00:00"/>
    <d v="2024-03-20T04:00:00"/>
    <d v="2024-03-20T04:00:00"/>
    <d v="2025-03-12T04:00:00"/>
    <n v="42.958333333328483"/>
    <n v="357"/>
    <n v="399.95833333332848"/>
    <n v="534.29224537036498"/>
    <n v="134.3339120370365"/>
    <n v="0"/>
    <n v="0"/>
    <n v="0"/>
    <n v="0"/>
    <n v="0"/>
    <n v="0"/>
    <n v="0"/>
    <n v="0"/>
    <n v="0"/>
    <n v="534.29224537036498"/>
    <n v="134.3339120370365"/>
    <n v="392.95833333332848"/>
    <n v="0"/>
  </r>
  <r>
    <s v="Cases &amp; Composites"/>
    <s v="CAS-209107-K3H5Y2"/>
    <s v="Jia Chen"/>
    <s v="Complete"/>
    <s v="Resolved"/>
    <x v="0"/>
    <n v="17"/>
    <s v="07FC245A"/>
    <s v="Repair-EA"/>
    <x v="1"/>
    <x v="2"/>
    <x v="3"/>
    <m/>
    <d v="2024-03-11T12:50:15"/>
    <d v="2025-01-14T05:00:00"/>
    <d v="2025-01-14T05:00:00"/>
    <x v="71"/>
    <d v="2025-01-08T15:51:24"/>
    <s v="Jan"/>
    <d v="2024-03-21T04:00:00"/>
    <d v="2024-08-27T04:00:00"/>
    <d v="2024-08-27T04:00:00"/>
    <d v="2024-08-27T04:00:00"/>
    <n v="159"/>
    <n v="0"/>
    <n v="159"/>
    <n v="302.67343750000146"/>
    <n v="143.67343750000146"/>
    <n v="0"/>
    <n v="0"/>
    <n v="0"/>
    <n v="0"/>
    <n v="0"/>
    <n v="80"/>
    <n v="0"/>
    <n v="0"/>
    <n v="80"/>
    <n v="222.67343750000146"/>
    <n v="63.673437500001455"/>
    <n v="-6"/>
    <n v="1"/>
  </r>
  <r>
    <s v="Cases &amp; Composites"/>
    <s v="CAS-216436-T3J3W8"/>
    <s v="Jia Chen"/>
    <s v="Complete"/>
    <s v="Resolved"/>
    <x v="0"/>
    <n v="17"/>
    <s v="24CCK38"/>
    <s v="Repair-EA"/>
    <x v="0"/>
    <x v="0"/>
    <x v="0"/>
    <s v="50%"/>
    <d v="2024-05-29T15:30:04"/>
    <d v="2024-11-26T05:00:00"/>
    <d v="2024-11-26T05:00:00"/>
    <x v="182"/>
    <d v="2024-11-15T17:23:20"/>
    <s v="Nov"/>
    <d v="2024-08-29T04:00:00"/>
    <d v="2024-09-05T04:00:00"/>
    <d v="2024-09-05T04:00:00"/>
    <d v="2024-11-07T05:00:00"/>
    <n v="7"/>
    <n v="63.041666666671517"/>
    <n v="70.041666666671517"/>
    <n v="169.56245370370743"/>
    <n v="99.520787037035916"/>
    <n v="20.791415381943807"/>
    <n v="23.158961122680921"/>
    <n v="0"/>
    <n v="0"/>
    <n v="0"/>
    <n v="0"/>
    <n v="0"/>
    <n v="0"/>
    <n v="43.950376504624728"/>
    <n v="125.61207719908271"/>
    <n v="55.570410532411188"/>
    <n v="-11"/>
    <n v="1"/>
  </r>
  <r>
    <s v="Cases &amp; Composites"/>
    <s v="CAS-221701-K9F3V4"/>
    <s v="Jia Chen"/>
    <s v="Complete"/>
    <s v="Resolved"/>
    <x v="0"/>
    <n v="17"/>
    <s v="24VC271"/>
    <s v="Repair-EA"/>
    <x v="0"/>
    <x v="3"/>
    <x v="3"/>
    <s v="75%"/>
    <d v="2024-07-19T14:37:46"/>
    <d v="2024-11-21T05:00:00"/>
    <d v="2024-11-28T05:00:00"/>
    <x v="218"/>
    <d v="2024-11-04T17:57:40"/>
    <s v="Nov"/>
    <d v="2024-08-29T04:00:00"/>
    <d v="2024-10-16T04:00:00"/>
    <d v="2024-10-16T04:00:00"/>
    <d v="2024-10-30T04:00:00"/>
    <n v="48"/>
    <n v="14"/>
    <n v="62"/>
    <n v="104.55710648147942"/>
    <n v="42.557106481479423"/>
    <n v="12"/>
    <n v="0"/>
    <n v="0"/>
    <n v="0"/>
    <n v="1"/>
    <n v="0"/>
    <n v="0"/>
    <n v="0"/>
    <n v="13"/>
    <n v="91.557106481479423"/>
    <n v="29.557106481479423"/>
    <n v="-20.041666666671517"/>
    <n v="1"/>
  </r>
  <r>
    <s v="Cases &amp; Composites"/>
    <s v="CAS-232125-J5N7V3"/>
    <s v="Brian K Holland"/>
    <s v="Complete"/>
    <s v="Resolved"/>
    <x v="0"/>
    <n v="17"/>
    <s v="24CCU00"/>
    <s v="Repair-EA"/>
    <x v="0"/>
    <x v="0"/>
    <x v="3"/>
    <m/>
    <d v="2024-10-25T20:06:08"/>
    <d v="2024-10-31T04:00:00"/>
    <d v="2024-10-31T04:00:00"/>
    <x v="239"/>
    <d v="2024-10-31T15:58:39"/>
    <m/>
    <m/>
    <m/>
    <m/>
    <m/>
    <s v=""/>
    <s v=""/>
    <n v="0"/>
    <n v="5.3290740740703768"/>
    <n v="5.3290740740703768"/>
    <n v="0"/>
    <n v="0"/>
    <n v="0"/>
    <n v="0"/>
    <n v="0"/>
    <n v="0"/>
    <n v="0"/>
    <n v="0"/>
    <n v="0"/>
    <n v="5.3290740740703768"/>
    <n v="5.3290740740703768"/>
    <n v="0"/>
    <n v="1"/>
  </r>
  <r>
    <s v="Cases &amp; Composites"/>
    <s v="CAS-238779-S6R1Y2"/>
    <s v="Francisco Astiasaran"/>
    <s v="Complete"/>
    <s v="Resolved"/>
    <x v="0"/>
    <n v="17"/>
    <s v="25CC048"/>
    <s v="Repair-EA"/>
    <x v="0"/>
    <x v="0"/>
    <x v="0"/>
    <m/>
    <d v="2025-01-03T17:55:17"/>
    <d v="2025-02-07T05:00:00"/>
    <d v="2025-02-07T05:00:00"/>
    <x v="240"/>
    <d v="2025-02-07T13:24:26"/>
    <m/>
    <m/>
    <m/>
    <m/>
    <m/>
    <s v=""/>
    <s v=""/>
    <n v="0"/>
    <n v="34.461608796300425"/>
    <n v="34.461608796300425"/>
    <n v="0"/>
    <n v="0"/>
    <n v="0"/>
    <n v="0"/>
    <n v="0"/>
    <n v="0"/>
    <n v="0"/>
    <n v="0"/>
    <n v="0"/>
    <n v="34.461608796300425"/>
    <n v="34.461608796300425"/>
    <n v="0"/>
    <n v="1"/>
  </r>
  <r>
    <s v="Cases &amp; Composites"/>
    <s v="CAS-241637-G8B4T7"/>
    <s v="Francisco Astiasaran"/>
    <s v="Complete"/>
    <s v="Resolved"/>
    <x v="0"/>
    <n v="17"/>
    <s v="22CCB58B"/>
    <s v="Repair-EA"/>
    <x v="1"/>
    <x v="0"/>
    <x v="8"/>
    <s v="75%"/>
    <d v="2025-01-30T23:12:01"/>
    <d v="2025-03-17T04:00:00"/>
    <d v="2025-02-28T05:00:00"/>
    <x v="241"/>
    <d v="2025-02-27T14:54:07"/>
    <m/>
    <m/>
    <m/>
    <m/>
    <m/>
    <s v=""/>
    <s v=""/>
    <n v="0"/>
    <n v="26.241655092591827"/>
    <n v="26.241655092591827"/>
    <n v="0"/>
    <n v="0"/>
    <n v="0"/>
    <n v="0"/>
    <n v="0"/>
    <n v="0"/>
    <n v="0"/>
    <n v="0"/>
    <n v="0"/>
    <n v="26.241655092591827"/>
    <n v="26.241655092591827"/>
    <n v="-18.958333333328483"/>
    <n v="1"/>
  </r>
  <r>
    <s v="Cases &amp; Composites"/>
    <s v="CAS-243400-T2N9Q8"/>
    <s v="Francisco Astiasaran"/>
    <s v="Complete"/>
    <s v="Resolved"/>
    <x v="0"/>
    <n v="17"/>
    <s v="15CC044C"/>
    <s v="Repair-EA"/>
    <x v="1"/>
    <x v="0"/>
    <x v="0"/>
    <s v="75%"/>
    <d v="2025-02-17T19:47:44"/>
    <d v="2025-04-16T04:00:00"/>
    <d v="2025-05-07T04:00:00"/>
    <x v="242"/>
    <d v="2025-05-01T19:58:21"/>
    <s v="may2025"/>
    <m/>
    <m/>
    <m/>
    <m/>
    <s v=""/>
    <s v=""/>
    <n v="0"/>
    <n v="72.34185185185197"/>
    <n v="72.34185185185197"/>
    <n v="0"/>
    <n v="0"/>
    <n v="0"/>
    <n v="0"/>
    <n v="0"/>
    <n v="0"/>
    <n v="0"/>
    <n v="0"/>
    <n v="0"/>
    <n v="72.34185185185197"/>
    <n v="72.34185185185197"/>
    <n v="15"/>
    <n v="0"/>
  </r>
  <r>
    <s v="Cases &amp; Composites"/>
    <s v="CAS-114668-R4C2Y4"/>
    <s v="Orlando Melendez Colon"/>
    <s v="Complete"/>
    <s v="Resolved"/>
    <x v="0"/>
    <n v="18"/>
    <s v="22VG193A"/>
    <s v="Repair-EA"/>
    <x v="1"/>
    <x v="3"/>
    <x v="5"/>
    <m/>
    <d v="2021-07-01T03:21:43"/>
    <d v="2021-12-10T05:00:00"/>
    <d v="2024-10-15T04:00:00"/>
    <x v="243"/>
    <d v="2024-10-15T14:34:50"/>
    <m/>
    <d v="2022-10-11T04:00:00"/>
    <d v="2022-10-11T04:00:00"/>
    <d v="2022-10-11T04:00:00"/>
    <d v="2022-10-11T04:00:00"/>
    <n v="0"/>
    <n v="0"/>
    <n v="0"/>
    <n v="1201.0265856481492"/>
    <n v="1201.0265856481492"/>
    <n v="0"/>
    <n v="0"/>
    <n v="0"/>
    <n v="0"/>
    <n v="0"/>
    <n v="0"/>
    <n v="0"/>
    <n v="0"/>
    <n v="0"/>
    <n v="1201.0265856481492"/>
    <n v="1201.0265856481492"/>
    <n v="1038.9583333333285"/>
    <n v="0"/>
  </r>
  <r>
    <s v="Cases &amp; Composites"/>
    <s v="CAS-187986-C6Y4Y9"/>
    <s v="Pedro Iturrino"/>
    <s v="Complete"/>
    <s v="Resolved"/>
    <x v="0"/>
    <n v="18"/>
    <s v="23VG263"/>
    <s v="Repair-EA"/>
    <x v="0"/>
    <x v="3"/>
    <x v="3"/>
    <m/>
    <d v="2023-08-03T15:02:10"/>
    <d v="2023-11-27T05:00:00"/>
    <d v="2024-12-20T05:00:00"/>
    <x v="188"/>
    <d v="2024-12-17T19:26:38"/>
    <s v="DEC"/>
    <d v="2023-10-31T04:00:00"/>
    <d v="2024-07-15T04:00:00"/>
    <d v="2024-07-15T04:00:00"/>
    <d v="2024-10-23T04:00:00"/>
    <n v="258"/>
    <n v="100"/>
    <n v="358"/>
    <n v="501.58182870370365"/>
    <n v="143.58182870370365"/>
    <n v="0"/>
    <n v="0"/>
    <n v="0"/>
    <n v="0"/>
    <n v="0"/>
    <n v="135"/>
    <n v="0"/>
    <n v="0"/>
    <n v="135"/>
    <n v="366.58182870370365"/>
    <n v="8.5818287037036498"/>
    <n v="386"/>
    <n v="0"/>
  </r>
  <r>
    <s v="Cases &amp; Composites"/>
    <n v="105596"/>
    <s v="Jia Chen"/>
    <s v="Complete"/>
    <s v="Closed"/>
    <x v="0"/>
    <n v="18"/>
    <s v="24FC197"/>
    <s v="Repair-EA"/>
    <x v="0"/>
    <x v="2"/>
    <x v="3"/>
    <s v="75%"/>
    <d v="2024-04-29T04:00:00"/>
    <d v="2024-10-21T04:00:00"/>
    <d v="2024-10-21T04:00:00"/>
    <x v="232"/>
    <d v="2024-10-09T19:54:29"/>
    <s v="Oct"/>
    <d v="2024-06-13T04:00:00"/>
    <d v="2024-06-19T04:00:00"/>
    <d v="2024-06-19T04:00:00"/>
    <d v="2024-06-19T04:00:00"/>
    <n v="6"/>
    <n v="0"/>
    <n v="6"/>
    <n v="163"/>
    <n v="157"/>
    <n v="0"/>
    <n v="0"/>
    <n v="0"/>
    <n v="0"/>
    <n v="0"/>
    <n v="0"/>
    <n v="0"/>
    <n v="0"/>
    <n v="0"/>
    <n v="163"/>
    <n v="157"/>
    <n v="-12"/>
    <n v="1"/>
  </r>
  <r>
    <s v="Cases &amp; Composites"/>
    <s v="CAS-216987-J6D9V9"/>
    <s v="Jia Chen"/>
    <s v="Complete"/>
    <s v="Resolved"/>
    <x v="0"/>
    <n v="18"/>
    <s v="24KC370"/>
    <s v="Repair-EA"/>
    <x v="0"/>
    <x v="1"/>
    <x v="3"/>
    <s v="75%"/>
    <d v="2024-06-04T14:01:44"/>
    <d v="2024-11-27T05:00:00"/>
    <d v="2024-11-27T05:00:00"/>
    <x v="234"/>
    <d v="2024-10-29T13:41:22"/>
    <m/>
    <d v="2024-07-11T04:00:00"/>
    <d v="2024-07-18T04:00:00"/>
    <d v="2024-07-18T04:00:00"/>
    <d v="2024-10-25T04:00:00"/>
    <n v="7"/>
    <n v="99"/>
    <n v="106"/>
    <n v="146.58212962962716"/>
    <n v="40.582129629627161"/>
    <n v="9"/>
    <n v="21"/>
    <n v="0"/>
    <n v="0"/>
    <n v="1"/>
    <n v="0"/>
    <n v="50"/>
    <n v="0"/>
    <n v="81"/>
    <n v="65.582129629627161"/>
    <n v="-40.417870370372839"/>
    <n v="-29.041666666671517"/>
    <n v="1"/>
  </r>
  <r>
    <s v="Cases &amp; Composites"/>
    <s v="CAS-215781-F5W3G0"/>
    <s v="Tyler Abusbah"/>
    <s v="Complete"/>
    <s v="Resolved"/>
    <x v="0"/>
    <n v="18"/>
    <s v="23KC581A"/>
    <s v="Repair-EA"/>
    <x v="0"/>
    <x v="1"/>
    <x v="3"/>
    <s v="75%"/>
    <d v="2024-05-29T18:48:16"/>
    <d v="2024-12-18T05:00:00"/>
    <d v="2024-12-20T05:00:00"/>
    <x v="189"/>
    <d v="2024-12-16T14:57:24"/>
    <s v="Dec"/>
    <d v="2024-10-02T04:00:00"/>
    <d v="2024-10-09T04:00:00"/>
    <d v="2024-10-09T04:00:00"/>
    <d v="2024-10-15T04:00:00"/>
    <n v="7"/>
    <n v="6"/>
    <n v="13"/>
    <n v="197.42481481481809"/>
    <n v="184.42481481481809"/>
    <n v="22"/>
    <n v="0"/>
    <n v="0"/>
    <n v="0"/>
    <n v="0"/>
    <n v="0"/>
    <n v="0"/>
    <n v="0"/>
    <n v="22"/>
    <n v="175.42481481481809"/>
    <n v="162.42481481481809"/>
    <n v="-5"/>
    <n v="1"/>
  </r>
  <r>
    <s v="Cases &amp; Composites"/>
    <s v="CAS-222747-G7G0T5"/>
    <s v="Alexander Page"/>
    <s v="Complete"/>
    <s v="Resolved"/>
    <x v="0"/>
    <n v="18"/>
    <s v="24CCU07"/>
    <s v="Repair-EA"/>
    <x v="0"/>
    <x v="0"/>
    <x v="0"/>
    <s v="50%"/>
    <d v="2024-07-30T17:56:38"/>
    <d v="2025-04-10T04:00:00"/>
    <d v="2025-04-29T04:00:00"/>
    <x v="18"/>
    <d v="2025-04-11T14:24:59"/>
    <s v="apr2025"/>
    <d v="2024-11-11T05:00:00"/>
    <d v="2024-11-22T05:00:00"/>
    <d v="2024-11-22T05:00:00"/>
    <d v="2025-03-21T04:00:00"/>
    <n v="11"/>
    <n v="118.95833333332848"/>
    <n v="129.95833333332848"/>
    <n v="254.41900462962803"/>
    <n v="124.46067129629955"/>
    <n v="9.9404780555560137"/>
    <n v="0"/>
    <n v="0"/>
    <n v="0"/>
    <n v="0"/>
    <n v="0"/>
    <n v="0"/>
    <n v="0"/>
    <n v="9.9404780555560137"/>
    <n v="244.47852657407202"/>
    <n v="114.52019324074354"/>
    <n v="1"/>
    <n v="0"/>
  </r>
  <r>
    <s v="Cases &amp; Composites"/>
    <s v="CAS-231938-B9D5W5"/>
    <s v="Brian K Holland"/>
    <s v="Complete"/>
    <s v="Resolved"/>
    <x v="0"/>
    <n v="18"/>
    <s v="24CCT98"/>
    <s v="Repair-EA"/>
    <x v="0"/>
    <x v="0"/>
    <x v="10"/>
    <s v="75%"/>
    <d v="2024-10-24T13:26:24"/>
    <d v="2025-01-03T05:00:00"/>
    <d v="2025-01-03T05:00:00"/>
    <x v="228"/>
    <d v="2024-11-26T20:49:38"/>
    <s v="FanR-Blade"/>
    <d v="2024-10-31T04:00:00"/>
    <d v="2024-11-19T05:00:00"/>
    <d v="2024-11-19T05:00:00"/>
    <d v="2024-11-19T05:00:00"/>
    <n v="19.041666666671517"/>
    <n v="0"/>
    <n v="19.041666666671517"/>
    <n v="32.648333333338087"/>
    <n v="13.60666666666657"/>
    <n v="0"/>
    <n v="0"/>
    <n v="0"/>
    <n v="0"/>
    <n v="0"/>
    <n v="0"/>
    <n v="0"/>
    <n v="0"/>
    <n v="0"/>
    <n v="32.648333333338087"/>
    <n v="13.60666666666657"/>
    <n v="-38"/>
    <n v="1"/>
  </r>
  <r>
    <s v="Cases &amp; Composites"/>
    <s v="CAS-231818-M1J0B1"/>
    <s v="Tyler Abusbah"/>
    <s v="Complete"/>
    <s v="Resolved"/>
    <x v="0"/>
    <n v="18"/>
    <s v="24CCV37"/>
    <s v="Repair-EA"/>
    <x v="0"/>
    <x v="0"/>
    <x v="8"/>
    <s v="50%"/>
    <d v="2024-10-23T16:35:31"/>
    <d v="2025-02-12T05:00:00"/>
    <d v="2025-06-13T04:00:00"/>
    <x v="244"/>
    <d v="2025-05-30T13:09:45"/>
    <s v="TIC Inner  May2025"/>
    <d v="2025-03-12T04:00:00"/>
    <d v="2025-03-12T04:00:00"/>
    <d v="2025-04-11T04:00:00"/>
    <d v="2025-05-20T04:00:00"/>
    <n v="0"/>
    <n v="39"/>
    <n v="39"/>
    <n v="217.47533564814512"/>
    <n v="178.47533564814512"/>
    <n v="9.9171915393526433"/>
    <n v="0"/>
    <n v="0"/>
    <n v="0"/>
    <n v="0"/>
    <n v="0"/>
    <n v="0"/>
    <n v="0"/>
    <n v="9.9171915393526433"/>
    <n v="207.55814410879248"/>
    <n v="168.55814410879248"/>
    <n v="105.95833333332848"/>
    <n v="0"/>
  </r>
  <r>
    <s v="Cases &amp; Composites"/>
    <s v="MSG-241206-7B75B2"/>
    <s v="Francisco Astiasaran"/>
    <s v="Complete"/>
    <s v="Complete"/>
    <x v="0"/>
    <n v="18"/>
    <s v="24KC602A"/>
    <s v="Repair-EA"/>
    <x v="0"/>
    <x v="1"/>
    <x v="3"/>
    <s v="75%"/>
    <d v="2024-12-06T05:00:00"/>
    <d v="2024-12-09T05:00:00"/>
    <d v="2024-12-09T05:00:00"/>
    <x v="189"/>
    <d v="2024-12-16T20:24:16"/>
    <s v="Wrong adhesive used"/>
    <m/>
    <m/>
    <m/>
    <m/>
    <s v=""/>
    <s v=""/>
    <n v="0"/>
    <n v="7"/>
    <n v="7"/>
    <n v="0"/>
    <n v="0"/>
    <n v="0"/>
    <n v="0"/>
    <n v="0"/>
    <n v="0"/>
    <n v="0"/>
    <n v="0"/>
    <n v="0"/>
    <n v="7"/>
    <n v="7"/>
    <n v="4"/>
    <n v="0"/>
  </r>
  <r>
    <s v="Cases &amp; Composites"/>
    <s v="CAS-238778-M0S7S8"/>
    <s v="Francisco Astiasaran"/>
    <s v="Complete"/>
    <s v="Resolved"/>
    <x v="0"/>
    <n v="18"/>
    <s v="25CC011"/>
    <s v="Repair-EA"/>
    <x v="0"/>
    <x v="0"/>
    <x v="0"/>
    <m/>
    <d v="2025-01-03T17:55:21"/>
    <d v="2025-02-07T05:00:00"/>
    <d v="2025-02-07T05:00:00"/>
    <x v="240"/>
    <d v="2025-02-07T14:44:39"/>
    <m/>
    <m/>
    <m/>
    <m/>
    <m/>
    <s v=""/>
    <s v=""/>
    <n v="0"/>
    <n v="34.461562500000582"/>
    <n v="34.461562500000582"/>
    <n v="0"/>
    <n v="0"/>
    <n v="0"/>
    <n v="0"/>
    <n v="0"/>
    <n v="0"/>
    <n v="0"/>
    <n v="0"/>
    <n v="0"/>
    <n v="34.461562500000582"/>
    <n v="34.461562500000582"/>
    <n v="0"/>
    <n v="1"/>
  </r>
  <r>
    <s v="Cases &amp; Composites"/>
    <n v="110423"/>
    <s v="Francisco Astiasaran"/>
    <s v="Complete"/>
    <s v="Closed"/>
    <x v="0"/>
    <n v="18"/>
    <s v="25FC017"/>
    <s v="Repair-EA"/>
    <x v="0"/>
    <x v="2"/>
    <x v="3"/>
    <s v="75%"/>
    <d v="2025-01-08T05:00:00"/>
    <d v="2025-01-28T05:00:00"/>
    <d v="2025-02-14T05:00:00"/>
    <x v="245"/>
    <d v="2025-02-24T20:56:02"/>
    <m/>
    <d v="2025-01-27T05:00:00"/>
    <d v="2025-01-29T05:00:00"/>
    <d v="2025-01-29T05:00:00"/>
    <d v="2025-02-19T05:00:00"/>
    <n v="2"/>
    <n v="21"/>
    <n v="23"/>
    <n v="47"/>
    <n v="24"/>
    <n v="0"/>
    <n v="0"/>
    <n v="0"/>
    <n v="0"/>
    <n v="0"/>
    <n v="0"/>
    <n v="0"/>
    <n v="0"/>
    <n v="0"/>
    <n v="47"/>
    <n v="24"/>
    <n v="27"/>
    <n v="0"/>
  </r>
  <r>
    <s v="Cases &amp; Composites"/>
    <s v="CAS-238384-L1R2X1"/>
    <s v="Orlando Melendez Colon"/>
    <s v="Complete"/>
    <s v="Resolved"/>
    <x v="0"/>
    <n v="18"/>
    <s v="25VG018"/>
    <s v="Repair-EA"/>
    <x v="0"/>
    <x v="3"/>
    <x v="5"/>
    <s v="75%"/>
    <d v="2024-12-27T07:51:10"/>
    <d v="2025-02-14T05:00:00"/>
    <d v="2025-04-02T04:00:00"/>
    <x v="235"/>
    <d v="2025-03-04T15:16:27"/>
    <m/>
    <d v="2025-02-19T05:00:00"/>
    <d v="2025-02-19T05:00:00"/>
    <d v="2025-02-19T05:00:00"/>
    <d v="2025-02-19T05:00:00"/>
    <n v="0"/>
    <n v="0"/>
    <n v="0"/>
    <n v="62.881134259259852"/>
    <n v="62.881134259259852"/>
    <n v="0"/>
    <n v="0"/>
    <n v="0"/>
    <n v="0"/>
    <n v="0"/>
    <n v="0"/>
    <n v="0"/>
    <n v="0"/>
    <n v="0"/>
    <n v="62.881134259259852"/>
    <n v="62.881134259259852"/>
    <n v="14"/>
    <n v="0"/>
  </r>
  <r>
    <s v="Cases &amp; Composites"/>
    <s v="CAS-235093-D8W8M8"/>
    <s v="Orlando Melendez Colon"/>
    <s v="Complete"/>
    <s v="Resolved"/>
    <x v="0"/>
    <n v="18"/>
    <s v="25VC068"/>
    <s v="Repair-EA"/>
    <x v="0"/>
    <x v="3"/>
    <x v="5"/>
    <s v="75%"/>
    <d v="2024-11-22T13:26:40"/>
    <d v="2025-04-25T04:00:00"/>
    <d v="2025-05-14T04:00:00"/>
    <x v="194"/>
    <d v="2025-05-08T14:55:10"/>
    <s v="May2025"/>
    <d v="2025-03-05T05:00:00"/>
    <d v="2025-03-05T05:00:00"/>
    <d v="2025-03-06T05:00:00"/>
    <d v="2025-03-06T05:00:00"/>
    <n v="0"/>
    <n v="0"/>
    <n v="0"/>
    <n v="165.60648148148175"/>
    <n v="165.60648148148175"/>
    <n v="0"/>
    <n v="0"/>
    <n v="0"/>
    <n v="0"/>
    <n v="10"/>
    <n v="0"/>
    <n v="0"/>
    <n v="0"/>
    <n v="10"/>
    <n v="155.60648148148175"/>
    <n v="155.60648148148175"/>
    <n v="12"/>
    <n v="0"/>
  </r>
  <r>
    <s v="Cases &amp; Composites"/>
    <s v="CAS-242222-K2G8T6"/>
    <s v="Orlando Melendez Colon"/>
    <s v="Complete"/>
    <s v="Resolved"/>
    <x v="0"/>
    <n v="18"/>
    <s v="25VC095"/>
    <s v="Repair-EA"/>
    <x v="0"/>
    <x v="3"/>
    <x v="5"/>
    <s v="75%"/>
    <d v="2025-02-06T06:19:46"/>
    <d v="2025-04-25T04:00:00"/>
    <d v="2025-04-30T04:00:00"/>
    <x v="191"/>
    <d v="2025-05-09T14:50:07"/>
    <s v="May2025"/>
    <d v="2025-03-11T04:00:00"/>
    <d v="2025-03-11T04:00:00"/>
    <d v="2025-03-12T04:00:00"/>
    <d v="2025-03-12T04:00:00"/>
    <n v="0"/>
    <n v="0"/>
    <n v="0"/>
    <n v="90.902939814812271"/>
    <n v="90.902939814812271"/>
    <n v="0"/>
    <n v="0"/>
    <n v="0"/>
    <n v="0"/>
    <n v="0"/>
    <n v="0"/>
    <n v="0"/>
    <n v="0"/>
    <n v="0"/>
    <n v="90.902939814812271"/>
    <n v="90.902939814812271"/>
    <n v="13"/>
    <n v="0"/>
  </r>
  <r>
    <s v="Cases &amp; Composites"/>
    <s v="CAS-174703-G7C2M9"/>
    <s v="Orlando Melendez Colon"/>
    <s v="Complete"/>
    <s v="Resolved"/>
    <x v="0"/>
    <n v="19"/>
    <s v="20VC243A"/>
    <s v="Repair-EA"/>
    <x v="1"/>
    <x v="3"/>
    <x v="5"/>
    <m/>
    <d v="2023-03-16T16:41:23"/>
    <d v="2023-09-29T04:00:00"/>
    <d v="2024-10-23T04:00:00"/>
    <x v="246"/>
    <d v="2024-10-21T18:38:02"/>
    <s v="Oct"/>
    <d v="2023-06-29T04:00:00"/>
    <d v="2023-07-05T04:00:00"/>
    <d v="2023-07-05T04:00:00"/>
    <d v="2023-07-05T04:00:00"/>
    <n v="6"/>
    <n v="0"/>
    <n v="6"/>
    <n v="582.47126157407183"/>
    <n v="576.47126157407183"/>
    <n v="0"/>
    <n v="0"/>
    <n v="0"/>
    <n v="0"/>
    <n v="0"/>
    <n v="0"/>
    <n v="0"/>
    <n v="0"/>
    <n v="0"/>
    <n v="582.47126157407183"/>
    <n v="576.47126157407183"/>
    <n v="386"/>
    <n v="0"/>
  </r>
  <r>
    <s v="Cases &amp; Composites"/>
    <s v="CAS-205374-B9P0H8"/>
    <s v="Jia Chen"/>
    <s v="Complete"/>
    <s v="Resolved"/>
    <x v="0"/>
    <n v="19"/>
    <s v="24KC069"/>
    <s v="Repair-EA"/>
    <x v="0"/>
    <x v="1"/>
    <x v="3"/>
    <m/>
    <d v="2024-01-31T14:08:05"/>
    <d v="2024-11-27T05:00:00"/>
    <d v="2024-11-27T05:00:00"/>
    <x v="247"/>
    <d v="2024-11-12T16:19:43"/>
    <s v="Nov"/>
    <d v="2024-08-29T04:00:00"/>
    <d v="2024-08-30T04:00:00"/>
    <d v="2024-08-30T04:00:00"/>
    <d v="2024-10-31T04:00:00"/>
    <n v="1"/>
    <n v="62"/>
    <n v="63"/>
    <n v="285.61938657407882"/>
    <n v="222.61938657407882"/>
    <n v="0"/>
    <n v="0"/>
    <n v="0"/>
    <n v="111"/>
    <n v="0"/>
    <n v="0"/>
    <n v="0"/>
    <n v="0"/>
    <n v="111"/>
    <n v="174.61938657407882"/>
    <n v="111.61938657407882"/>
    <n v="-15"/>
    <n v="1"/>
  </r>
  <r>
    <s v="Cases &amp; Composites"/>
    <s v="CAS-225844-P3K6X8"/>
    <s v="Jia Chen"/>
    <s v="Complete"/>
    <s v="Resolved"/>
    <x v="0"/>
    <n v="19"/>
    <s v="24FC348"/>
    <s v="Repair-EA"/>
    <x v="1"/>
    <x v="2"/>
    <x v="3"/>
    <m/>
    <d v="2024-08-29T15:38:18"/>
    <d v="2024-12-16T05:00:00"/>
    <d v="2025-01-08T05:00:00"/>
    <x v="63"/>
    <d v="2025-01-07T17:04:57"/>
    <s v="Jan"/>
    <m/>
    <m/>
    <m/>
    <m/>
    <s v=""/>
    <s v=""/>
    <n v="0"/>
    <n v="130.55673611111706"/>
    <n v="130.55673611111706"/>
    <n v="0"/>
    <n v="0"/>
    <n v="0"/>
    <n v="0"/>
    <n v="0"/>
    <n v="0"/>
    <n v="0"/>
    <n v="0"/>
    <n v="0"/>
    <n v="130.55673611111706"/>
    <n v="130.55673611111706"/>
    <n v="22"/>
    <n v="0"/>
  </r>
  <r>
    <s v="Cases &amp; Composites"/>
    <s v="CAS-234961-C4B3Z1"/>
    <s v="Francisco Astiasaran"/>
    <s v="Complete"/>
    <s v="Resolved"/>
    <x v="0"/>
    <n v="19"/>
    <s v="25KC066"/>
    <s v="Repair-EA"/>
    <x v="0"/>
    <x v="1"/>
    <x v="3"/>
    <m/>
    <d v="2024-11-21T14:21:52"/>
    <d v="2025-02-11T05:00:00"/>
    <d v="2025-02-11T05:00:00"/>
    <x v="248"/>
    <d v="2025-02-03T21:54:50"/>
    <m/>
    <m/>
    <m/>
    <m/>
    <m/>
    <s v=""/>
    <s v=""/>
    <n v="0"/>
    <n v="73.609814814815763"/>
    <n v="73.609814814815763"/>
    <n v="0"/>
    <n v="43"/>
    <n v="0"/>
    <n v="0"/>
    <n v="0"/>
    <n v="0"/>
    <n v="0"/>
    <n v="0"/>
    <n v="43"/>
    <n v="30.609814814815763"/>
    <n v="30.609814814815763"/>
    <n v="-8"/>
    <n v="1"/>
  </r>
  <r>
    <s v="Cases &amp; Composites"/>
    <s v="CAS-241303-V4Z5R3"/>
    <s v="Francisco Astiasaran"/>
    <s v="Complete"/>
    <s v="Resolved"/>
    <x v="0"/>
    <n v="19"/>
    <s v="23CCQ12A"/>
    <s v="Repair-EA"/>
    <x v="0"/>
    <x v="0"/>
    <x v="8"/>
    <s v="50%"/>
    <d v="2025-01-27T22:18:23"/>
    <d v="2025-02-26T05:00:00"/>
    <d v="2025-02-26T05:00:00"/>
    <x v="47"/>
    <d v="2025-02-19T18:04:59"/>
    <m/>
    <d v="2025-01-28T05:00:00"/>
    <d v="2025-01-29T05:00:00"/>
    <d v="2025-01-29T05:00:00"/>
    <d v="2025-02-16T05:00:00"/>
    <n v="1"/>
    <n v="18"/>
    <n v="19"/>
    <n v="21.278900462966703"/>
    <n v="2.2789004629667033"/>
    <n v="0"/>
    <n v="0"/>
    <n v="0"/>
    <n v="0"/>
    <n v="0"/>
    <n v="0"/>
    <n v="0"/>
    <n v="0"/>
    <n v="0"/>
    <n v="21.278900462966703"/>
    <n v="2.2789004629667033"/>
    <n v="-8"/>
    <n v="1"/>
  </r>
  <r>
    <s v="Cases &amp; Composites"/>
    <s v="CAS-241617-C7J8C1"/>
    <s v="Jia Chen"/>
    <s v="Complete"/>
    <s v="Resolved"/>
    <x v="0"/>
    <n v="19"/>
    <s v="20KC439A"/>
    <s v="Repair-EA"/>
    <x v="0"/>
    <x v="1"/>
    <x v="3"/>
    <s v="75%"/>
    <d v="2025-02-05T20:11:34"/>
    <d v="2025-02-25T05:00:00"/>
    <d v="2025-02-25T05:00:00"/>
    <x v="199"/>
    <d v="2025-02-20T20:34:24"/>
    <m/>
    <d v="2025-02-20T05:00:00"/>
    <d v="2025-02-20T05:00:00"/>
    <d v="2025-02-20T05:00:00"/>
    <d v="2025-02-20T05:00:00"/>
    <n v="0"/>
    <n v="0"/>
    <n v="0"/>
    <n v="14.366967592592118"/>
    <n v="14.366967592592118"/>
    <n v="0"/>
    <n v="0"/>
    <n v="0"/>
    <n v="0"/>
    <n v="0"/>
    <n v="0"/>
    <n v="0"/>
    <n v="0"/>
    <n v="0"/>
    <n v="14.366967592592118"/>
    <n v="14.366967592592118"/>
    <n v="-5"/>
    <n v="1"/>
  </r>
  <r>
    <s v="Cases &amp; Composites"/>
    <s v="CAS-242917-K1P0D6"/>
    <s v="Francisco Astiasaran"/>
    <s v="Complete"/>
    <s v="Resolved"/>
    <x v="0"/>
    <n v="19"/>
    <s v="25CC407"/>
    <s v="Repair-EA"/>
    <x v="0"/>
    <x v="0"/>
    <x v="10"/>
    <s v="75%"/>
    <d v="2025-02-12T15:41:02"/>
    <d v="2025-03-14T04:00:00"/>
    <d v="2025-03-14T04:00:00"/>
    <x v="249"/>
    <d v="2025-03-24T12:56:04"/>
    <s v="Mar2025"/>
    <d v="2025-02-25T05:00:00"/>
    <d v="2025-02-27T05:00:00"/>
    <d v="2025-02-27T05:00:00"/>
    <d v="2025-02-27T05:00:00"/>
    <n v="2"/>
    <n v="0"/>
    <n v="2"/>
    <n v="36.513171296290238"/>
    <n v="34.513171296290238"/>
    <n v="0"/>
    <n v="5.9057839467568556"/>
    <n v="0"/>
    <n v="0"/>
    <n v="0"/>
    <n v="0"/>
    <n v="0"/>
    <n v="0"/>
    <n v="5.9057839467568556"/>
    <n v="30.607387349533383"/>
    <n v="28.607387349533383"/>
    <n v="7"/>
    <n v="0"/>
  </r>
  <r>
    <s v="Cases &amp; Composites"/>
    <n v="111336"/>
    <s v="Francisco Astiasaran"/>
    <s v="Complete"/>
    <s v="Closed"/>
    <x v="0"/>
    <n v="19"/>
    <s v="25FC065"/>
    <s v="Repair-EA"/>
    <x v="0"/>
    <x v="2"/>
    <x v="3"/>
    <s v="75%"/>
    <d v="2025-02-24T05:00:00"/>
    <d v="2025-04-18T04:00:00"/>
    <d v="2025-04-18T04:00:00"/>
    <x v="250"/>
    <d v="2025-04-22T17:55:41"/>
    <m/>
    <d v="2025-03-28T04:00:00"/>
    <d v="2025-03-28T04:00:00"/>
    <d v="2025-04-01T04:00:00"/>
    <d v="2025-04-08T04:00:00"/>
    <n v="0"/>
    <n v="7"/>
    <n v="7"/>
    <n v="56.958333333328483"/>
    <n v="49.958333333328483"/>
    <n v="0"/>
    <n v="5"/>
    <n v="0"/>
    <n v="0"/>
    <n v="0"/>
    <n v="0"/>
    <n v="0"/>
    <n v="0"/>
    <n v="5"/>
    <n v="51.958333333328483"/>
    <n v="44.958333333328483"/>
    <n v="4"/>
    <n v="0"/>
  </r>
  <r>
    <s v="Cases &amp; Composites"/>
    <s v="CAS-242617-B7W1N8"/>
    <s v="Ferdin Mustafa"/>
    <s v="Complete"/>
    <s v="Resolved"/>
    <x v="0"/>
    <n v="19"/>
    <s v="25KC258"/>
    <s v="Repair-EA"/>
    <x v="0"/>
    <x v="1"/>
    <x v="3"/>
    <s v="75%"/>
    <d v="2025-02-10T13:34:50"/>
    <d v="2025-07-18T04:00:00"/>
    <d v="2025-07-31T04:00:00"/>
    <x v="136"/>
    <d v="2025-07-21T18:23:38"/>
    <s v="RSL"/>
    <d v="2025-04-16T04:00:00"/>
    <d v="2025-04-16T04:00:00"/>
    <d v="2025-06-26T04:00:00"/>
    <d v="2025-06-30T04:00:00"/>
    <n v="0"/>
    <n v="4"/>
    <n v="4"/>
    <n v="157.60081018518395"/>
    <n v="153.60081018518395"/>
    <n v="1"/>
    <n v="32"/>
    <n v="0"/>
    <n v="0"/>
    <n v="21"/>
    <n v="0"/>
    <n v="0"/>
    <n v="0"/>
    <n v="54"/>
    <n v="103.60081018518395"/>
    <n v="99.600810185183946"/>
    <n v="0"/>
    <n v="1"/>
  </r>
  <r>
    <s v="Cases &amp; Composites"/>
    <s v="CAS-197438-D0Q5Z6"/>
    <s v="Alexander Page"/>
    <s v="Complete"/>
    <s v="Resolved"/>
    <x v="0"/>
    <n v="20"/>
    <s v="14CC548A"/>
    <s v="Repair-EA"/>
    <x v="1"/>
    <x v="0"/>
    <x v="0"/>
    <m/>
    <d v="2023-11-06T20:41:47"/>
    <d v="2025-04-03T04:00:00"/>
    <d v="2025-07-18T04:00:00"/>
    <x v="20"/>
    <d v="2025-07-09T15:16:01"/>
    <s v="Jul2025 TIC Inner"/>
    <d v="2024-06-28T04:00:00"/>
    <d v="2024-07-29T04:00:00"/>
    <d v="2024-07-29T04:00:00"/>
    <d v="2024-07-30T04:00:00"/>
    <n v="31"/>
    <n v="1"/>
    <n v="32"/>
    <n v="603.30431712963036"/>
    <n v="571.30431712963036"/>
    <n v="0"/>
    <n v="0"/>
    <n v="0"/>
    <n v="0"/>
    <n v="0"/>
    <n v="0.75999459491140442"/>
    <n v="0"/>
    <n v="0"/>
    <n v="0.75999459491140442"/>
    <n v="602.54432253471896"/>
    <n v="570.54432253471896"/>
    <n v="90"/>
    <n v="0"/>
  </r>
  <r>
    <s v="Cases &amp; Composites"/>
    <s v="CAS-218146-D6N2M2"/>
    <s v="Tyler Abusbah"/>
    <s v="Complete"/>
    <s v="Resolved"/>
    <x v="0"/>
    <n v="20"/>
    <s v="24CCG87"/>
    <s v="Repair-EA"/>
    <x v="0"/>
    <x v="0"/>
    <x v="0"/>
    <s v="75%"/>
    <d v="2024-06-14T13:48:24"/>
    <d v="2025-03-06T05:00:00"/>
    <d v="2025-05-13T04:00:00"/>
    <x v="17"/>
    <d v="2025-04-28T12:51:49"/>
    <s v="LPC 2ND STAGE STATOR CASE ASSEMBLY - REAR FLANGE BOLT HOLE, BLEND REPAIR Apr2025"/>
    <d v="2024-07-25T04:00:00"/>
    <d v="2024-07-31T04:00:00"/>
    <d v="2024-07-31T04:00:00"/>
    <d v="2024-12-23T05:00:00"/>
    <n v="6"/>
    <n v="145.04166666667152"/>
    <n v="151.04166666667152"/>
    <n v="314.59138888888992"/>
    <n v="163.54972222221841"/>
    <n v="2.758059756939474"/>
    <n v="0"/>
    <n v="0"/>
    <n v="0"/>
    <n v="0"/>
    <n v="0"/>
    <n v="0"/>
    <n v="0"/>
    <n v="2.758059756939474"/>
    <n v="311.83332913195045"/>
    <n v="160.79166246527893"/>
    <n v="49.958333333328483"/>
    <n v="0"/>
  </r>
  <r>
    <s v="Cases &amp; Composites"/>
    <s v="CAS-220562-P7Q7N8"/>
    <s v="Bruce Zoyaar"/>
    <s v="Complete"/>
    <s v="Resolved"/>
    <x v="0"/>
    <n v="20"/>
    <s v="24KC717"/>
    <s v="Repair-EA"/>
    <x v="0"/>
    <x v="1"/>
    <x v="3"/>
    <s v="50%"/>
    <d v="2024-07-09T18:25:22"/>
    <d v="2025-02-24T05:00:00"/>
    <d v="2025-03-24T04:00:00"/>
    <x v="84"/>
    <d v="2025-01-17T21:42:49"/>
    <m/>
    <d v="2024-10-02T04:00:00"/>
    <d v="2024-11-21T05:00:00"/>
    <d v="2024-11-21T05:00:00"/>
    <d v="2024-12-17T05:00:00"/>
    <n v="50.041666666671517"/>
    <n v="26"/>
    <n v="76.041666666671517"/>
    <n v="191.44071759259532"/>
    <n v="115.3990509259238"/>
    <n v="0"/>
    <n v="5"/>
    <n v="0"/>
    <n v="73"/>
    <n v="0"/>
    <n v="33"/>
    <n v="0"/>
    <n v="0"/>
    <n v="111"/>
    <n v="80.44071759259532"/>
    <n v="4.3990509259238024"/>
    <n v="-38"/>
    <n v="1"/>
  </r>
  <r>
    <s v="Cases &amp; Composites"/>
    <n v="108089"/>
    <s v="Jia Chen"/>
    <s v="Complete"/>
    <s v="Closed"/>
    <x v="0"/>
    <n v="20"/>
    <s v="24FC315"/>
    <s v="Repair-EA"/>
    <x v="0"/>
    <x v="2"/>
    <x v="3"/>
    <s v="75%"/>
    <d v="2024-09-03T04:00:00"/>
    <d v="2024-11-12T05:00:00"/>
    <d v="2024-11-12T05:00:00"/>
    <x v="251"/>
    <d v="2024-11-06T15:26:27"/>
    <s v="Nov"/>
    <d v="2024-10-04T04:00:00"/>
    <d v="2024-10-09T04:00:00"/>
    <d v="2024-10-09T04:00:00"/>
    <d v="2024-10-15T04:00:00"/>
    <n v="5"/>
    <n v="6"/>
    <n v="11"/>
    <n v="63.041666666671517"/>
    <n v="52.041666666671517"/>
    <n v="4"/>
    <n v="0"/>
    <n v="0"/>
    <n v="0"/>
    <n v="0"/>
    <n v="0"/>
    <n v="0"/>
    <n v="0"/>
    <n v="4"/>
    <n v="59.041666666671517"/>
    <n v="48.041666666671517"/>
    <n v="-7"/>
    <n v="1"/>
  </r>
  <r>
    <s v="Cases &amp; Composites"/>
    <s v="CAS-231628-F2X9G4"/>
    <s v="Brian K Holland"/>
    <s v="Complete"/>
    <s v="Resolved"/>
    <x v="0"/>
    <n v="20"/>
    <s v="24KC680"/>
    <s v="Repair-EA"/>
    <x v="1"/>
    <x v="1"/>
    <x v="3"/>
    <s v="75%"/>
    <d v="2024-10-22T11:36:43"/>
    <d v="2024-12-11T05:00:00"/>
    <d v="2024-12-11T05:00:00"/>
    <x v="252"/>
    <d v="2024-11-20T18:12:45"/>
    <m/>
    <m/>
    <m/>
    <m/>
    <m/>
    <s v=""/>
    <s v=""/>
    <n v="0"/>
    <n v="28.724502314820711"/>
    <n v="28.724502314820711"/>
    <n v="0"/>
    <n v="0"/>
    <n v="0"/>
    <n v="0"/>
    <n v="0"/>
    <n v="0"/>
    <n v="0"/>
    <n v="0"/>
    <n v="0"/>
    <n v="28.724502314820711"/>
    <n v="28.724502314820711"/>
    <n v="-21"/>
    <n v="1"/>
  </r>
  <r>
    <s v="Cases &amp; Composites"/>
    <s v="CAS-235323-N9M4X8"/>
    <s v="Francisco Astiasaran"/>
    <s v="Complete"/>
    <s v="Resolved"/>
    <x v="0"/>
    <n v="20"/>
    <s v="25KC005"/>
    <s v="Repair-EA"/>
    <x v="1"/>
    <x v="1"/>
    <x v="3"/>
    <s v="50%"/>
    <d v="2024-11-25T20:05:56"/>
    <d v="2025-01-29T05:00:00"/>
    <d v="2025-03-07T05:00:00"/>
    <x v="253"/>
    <d v="2025-03-10T15:07:46"/>
    <s v="Revise rep-24 to allow for using detail 55D064 (Nomex wedge) on older designs"/>
    <m/>
    <m/>
    <m/>
    <m/>
    <s v=""/>
    <s v=""/>
    <n v="0"/>
    <n v="104.32921296296263"/>
    <n v="104.32921296296263"/>
    <n v="0"/>
    <n v="0"/>
    <n v="0"/>
    <n v="0"/>
    <n v="0"/>
    <n v="0"/>
    <n v="0"/>
    <n v="0"/>
    <n v="0"/>
    <n v="104.32921296296263"/>
    <n v="104.32921296296263"/>
    <n v="39.958333333328483"/>
    <n v="0"/>
  </r>
  <r>
    <s v="Cases &amp; Composites"/>
    <s v="CAS-233056-Q1C1R7"/>
    <s v="Ferdin Mustafa"/>
    <s v="Complete"/>
    <s v="Resolved"/>
    <x v="0"/>
    <n v="20"/>
    <s v="25KC062"/>
    <s v="Repair-EA"/>
    <x v="0"/>
    <x v="1"/>
    <x v="3"/>
    <s v="50%"/>
    <d v="2024-11-05T10:33:57"/>
    <d v="2025-03-05T05:00:00"/>
    <d v="2025-05-30T04:00:00"/>
    <x v="244"/>
    <d v="2025-06-02T02:31:23"/>
    <s v="May2025"/>
    <d v="2025-01-24T05:00:00"/>
    <d v="2025-01-24T05:00:00"/>
    <d v="2025-01-24T05:00:00"/>
    <d v="2025-03-05T05:00:00"/>
    <n v="0"/>
    <n v="40"/>
    <n v="40"/>
    <n v="204.72642361110775"/>
    <n v="164.72642361110775"/>
    <n v="0"/>
    <n v="26"/>
    <n v="0"/>
    <n v="0"/>
    <n v="0"/>
    <n v="0"/>
    <n v="0"/>
    <n v="0"/>
    <n v="26"/>
    <n v="178.72642361110775"/>
    <n v="138.72642361110775"/>
    <n v="84.958333333328483"/>
    <n v="0"/>
  </r>
  <r>
    <s v="Cases &amp; Composites"/>
    <s v="CAS-238784-G6K5X7"/>
    <s v="Francisco Astiasaran"/>
    <s v="Complete"/>
    <s v="Resolved"/>
    <x v="0"/>
    <n v="20"/>
    <s v="25CC013"/>
    <s v="Repair-EA"/>
    <x v="0"/>
    <x v="0"/>
    <x v="0"/>
    <s v="75%"/>
    <d v="2025-01-03T18:55:51"/>
    <d v="2025-02-07T05:00:00"/>
    <d v="2025-02-07T05:00:00"/>
    <x v="240"/>
    <d v="2025-02-10T14:30:39"/>
    <m/>
    <m/>
    <m/>
    <m/>
    <m/>
    <s v=""/>
    <s v=""/>
    <n v="0"/>
    <n v="34.419548611112987"/>
    <n v="34.419548611112987"/>
    <n v="0"/>
    <n v="0"/>
    <n v="0"/>
    <n v="0"/>
    <n v="0"/>
    <n v="0"/>
    <n v="0"/>
    <n v="0"/>
    <n v="0"/>
    <n v="34.419548611112987"/>
    <n v="34.419548611112987"/>
    <n v="0"/>
    <n v="1"/>
  </r>
  <r>
    <s v="Cases &amp; Composites"/>
    <s v="CAS-236948-F1Z4V5"/>
    <s v="Tyler Abusbah"/>
    <s v="Complete"/>
    <s v="Active"/>
    <x v="0"/>
    <n v="20"/>
    <s v="25KC056"/>
    <s v="Repair-EA"/>
    <x v="0"/>
    <x v="1"/>
    <x v="3"/>
    <s v="50%"/>
    <d v="2024-12-12T14:03:01"/>
    <d v="2025-04-28T04:00:00"/>
    <d v="2025-05-12T04:00:00"/>
    <x v="254"/>
    <d v="2025-04-07T16:26:04"/>
    <s v="Apr2025"/>
    <d v="2025-03-14T04:00:00"/>
    <d v="2025-03-14T04:00:00"/>
    <d v="2025-03-14T04:00:00"/>
    <d v="2025-03-31T04:00:00"/>
    <n v="0"/>
    <n v="17"/>
    <n v="17"/>
    <n v="115.58123842592613"/>
    <n v="98.581238425926131"/>
    <n v="14"/>
    <n v="0"/>
    <n v="0"/>
    <n v="0"/>
    <n v="0"/>
    <n v="0"/>
    <n v="0"/>
    <n v="0"/>
    <n v="14"/>
    <n v="101.58123842592613"/>
    <n v="84.581238425926131"/>
    <n v="-21"/>
    <n v="1"/>
  </r>
  <r>
    <s v="Cases &amp; Composites"/>
    <s v="CAS-241093-F9C6H5"/>
    <s v="Francisco Astiasaran"/>
    <s v="Complete"/>
    <s v="Resolved"/>
    <x v="0"/>
    <n v="20"/>
    <s v="15CCH20N"/>
    <s v="Repair-EA"/>
    <x v="1"/>
    <x v="0"/>
    <x v="8"/>
    <s v="75%"/>
    <d v="2025-01-24T20:11:26"/>
    <d v="2025-02-14T05:00:00"/>
    <d v="2025-02-14T05:00:00"/>
    <x v="255"/>
    <d v="2025-02-20T15:14:00"/>
    <m/>
    <m/>
    <m/>
    <m/>
    <m/>
    <s v=""/>
    <s v=""/>
    <n v="0"/>
    <n v="25.367060185184528"/>
    <n v="25.367060185184528"/>
    <n v="0"/>
    <n v="0"/>
    <n v="0"/>
    <n v="0"/>
    <n v="0"/>
    <n v="0"/>
    <n v="0"/>
    <n v="0"/>
    <n v="0"/>
    <n v="25.367060185184528"/>
    <n v="25.367060185184528"/>
    <n v="5"/>
    <n v="0"/>
  </r>
  <r>
    <s v="Cases &amp; Composites"/>
    <s v="CAS-237062-Z0G8J6"/>
    <s v="Alexander Page"/>
    <s v="Complete"/>
    <s v="Resolved"/>
    <x v="0"/>
    <n v="20"/>
    <s v="25KC147"/>
    <s v="Repair-EA"/>
    <x v="0"/>
    <x v="1"/>
    <x v="3"/>
    <s v="75%"/>
    <d v="2024-12-12T15:02:35"/>
    <d v="2025-05-23T04:00:00"/>
    <d v="2025-06-13T04:00:00"/>
    <x v="256"/>
    <d v="2025-06-04T18:41:59"/>
    <s v="Jun2025"/>
    <d v="2025-03-27T04:00:00"/>
    <d v="2025-03-27T04:00:00"/>
    <d v="2025-03-28T04:00:00"/>
    <d v="2025-04-22T04:00:00"/>
    <n v="0"/>
    <n v="25"/>
    <n v="25"/>
    <n v="173.5398726851854"/>
    <n v="148.5398726851854"/>
    <n v="0"/>
    <n v="0"/>
    <n v="0"/>
    <n v="0"/>
    <n v="0"/>
    <n v="0"/>
    <n v="0"/>
    <n v="0"/>
    <n v="0"/>
    <n v="173.5398726851854"/>
    <n v="148.5398726851854"/>
    <n v="12"/>
    <n v="0"/>
  </r>
  <r>
    <s v="Cases &amp; Composites"/>
    <s v="CAS-218476-L6P7M5"/>
    <s v="Jia Chen"/>
    <s v="Complete"/>
    <s v="Resolved"/>
    <x v="0"/>
    <n v="21"/>
    <s v="24KC406"/>
    <s v="Repair-EA"/>
    <x v="0"/>
    <x v="1"/>
    <x v="3"/>
    <s v="75%"/>
    <d v="2024-06-18T19:20:23"/>
    <d v="2024-10-29T04:00:00"/>
    <d v="2024-11-07T05:00:00"/>
    <x v="212"/>
    <d v="2024-11-04T18:37:54"/>
    <s v="Nov"/>
    <d v="2024-07-25T04:00:00"/>
    <d v="2024-08-14T04:00:00"/>
    <d v="2024-08-14T04:00:00"/>
    <d v="2024-08-14T04:00:00"/>
    <n v="20"/>
    <n v="0"/>
    <n v="20"/>
    <n v="138.40251157407329"/>
    <n v="118.40251157407329"/>
    <n v="7"/>
    <n v="0"/>
    <n v="0"/>
    <n v="0"/>
    <n v="0"/>
    <n v="0"/>
    <n v="0"/>
    <n v="0"/>
    <n v="7"/>
    <n v="131.40251157407329"/>
    <n v="111.40251157407329"/>
    <n v="6.0416666666715173"/>
    <n v="0"/>
  </r>
  <r>
    <s v="Cases &amp; Composites"/>
    <s v="CAS-217588-R9X6X1"/>
    <s v="Jia Chen"/>
    <s v="Complete"/>
    <s v="Resolved"/>
    <x v="0"/>
    <n v="21"/>
    <s v="23KC614A"/>
    <s v="Repair-EA"/>
    <x v="0"/>
    <x v="1"/>
    <x v="3"/>
    <s v="75%"/>
    <d v="2024-06-10T15:51:00"/>
    <d v="2024-10-10T04:00:00"/>
    <d v="2024-10-17T04:00:00"/>
    <x v="257"/>
    <d v="2024-10-15T16:58:06"/>
    <s v="Oct"/>
    <d v="2024-09-09T04:00:00"/>
    <d v="2024-09-12T04:00:00"/>
    <d v="2024-09-12T04:00:00"/>
    <d v="2024-09-23T04:00:00"/>
    <n v="3"/>
    <n v="11"/>
    <n v="14"/>
    <n v="126.50624999999854"/>
    <n v="112.50624999999854"/>
    <n v="39"/>
    <n v="0"/>
    <n v="0"/>
    <n v="0"/>
    <n v="0"/>
    <n v="0"/>
    <n v="0"/>
    <n v="0"/>
    <n v="39"/>
    <n v="87.506249999998545"/>
    <n v="73.506249999998545"/>
    <n v="5"/>
    <n v="0"/>
  </r>
  <r>
    <s v="Cases &amp; Composites"/>
    <n v="108235"/>
    <s v="Robert Thompson"/>
    <s v="Complete"/>
    <s v="Closed"/>
    <x v="0"/>
    <n v="21"/>
    <s v="24FC342"/>
    <s v="Repair-EA"/>
    <x v="0"/>
    <x v="2"/>
    <x v="3"/>
    <m/>
    <d v="2024-09-10T04:00:00"/>
    <d v="2024-11-05T05:00:00"/>
    <d v="2024-11-05T05:00:00"/>
    <x v="258"/>
    <d v="2024-11-12T14:03:29"/>
    <m/>
    <m/>
    <m/>
    <m/>
    <m/>
    <s v=""/>
    <s v=""/>
    <n v="0"/>
    <n v="62.041666666671517"/>
    <n v="62.041666666671517"/>
    <n v="0"/>
    <n v="0"/>
    <n v="0"/>
    <n v="0"/>
    <n v="0"/>
    <n v="0"/>
    <n v="0"/>
    <n v="0"/>
    <n v="0"/>
    <n v="62.041666666671517"/>
    <n v="62.041666666671517"/>
    <n v="6"/>
    <n v="0"/>
  </r>
  <r>
    <s v="Cases &amp; Composites"/>
    <s v="CAS-242105-L9H8G4"/>
    <s v="Francisco Astiasaran"/>
    <s v="Complete"/>
    <s v="Resolved"/>
    <x v="0"/>
    <n v="21"/>
    <s v="22KC329E"/>
    <s v="Repair-EA"/>
    <x v="1"/>
    <x v="1"/>
    <x v="3"/>
    <s v="50%"/>
    <d v="2025-02-05T11:58:42"/>
    <d v="2025-03-28T04:00:00"/>
    <d v="2025-06-20T04:00:00"/>
    <x v="150"/>
    <d v="2025-06-19T14:47:36"/>
    <s v="Jun2025"/>
    <m/>
    <m/>
    <m/>
    <m/>
    <s v=""/>
    <s v=""/>
    <n v="0"/>
    <n v="133.66756944444205"/>
    <n v="133.66756944444205"/>
    <n v="0"/>
    <n v="0"/>
    <n v="0"/>
    <n v="0"/>
    <n v="0"/>
    <n v="0"/>
    <n v="0"/>
    <n v="0"/>
    <n v="0"/>
    <n v="133.66756944444205"/>
    <n v="133.66756944444205"/>
    <n v="83"/>
    <n v="0"/>
  </r>
  <r>
    <s v="Cases &amp; Composites"/>
    <s v="CAS-241830-D6H4S7"/>
    <s v="Tyler Abusbah"/>
    <s v="Complete"/>
    <s v="Resolved"/>
    <x v="0"/>
    <n v="21"/>
    <s v="14CCQ28A"/>
    <s v="Repair-EA"/>
    <x v="2"/>
    <x v="0"/>
    <x v="0"/>
    <s v="75%"/>
    <d v="2025-02-03T13:38:21"/>
    <d v="2025-03-19T04:00:00"/>
    <d v="2025-06-03T04:00:00"/>
    <x v="259"/>
    <d v="2025-05-27T13:40:24"/>
    <m/>
    <d v="2025-02-27T05:00:00"/>
    <d v="2025-02-27T05:00:00"/>
    <d v="2025-02-27T05:00:00"/>
    <d v="2025-03-03T05:00:00"/>
    <n v="0"/>
    <n v="4"/>
    <n v="4"/>
    <n v="108.59836805555096"/>
    <n v="104.59836805555096"/>
    <n v="0"/>
    <n v="0"/>
    <n v="0"/>
    <n v="0"/>
    <n v="0"/>
    <n v="0"/>
    <n v="0"/>
    <n v="0"/>
    <n v="0"/>
    <n v="108.59836805555096"/>
    <n v="104.59836805555096"/>
    <n v="65"/>
    <n v="0"/>
  </r>
  <r>
    <s v="Cases &amp; Composites"/>
    <s v="CAS-243955-X4Q8Y4"/>
    <s v="Tyler Abusbah"/>
    <s v="Complete"/>
    <s v="Resolved"/>
    <x v="0"/>
    <n v="21"/>
    <s v="25CC875"/>
    <s v="Repair-EA"/>
    <x v="0"/>
    <x v="0"/>
    <x v="8"/>
    <s v="75%"/>
    <d v="2025-02-21T15:41:44"/>
    <d v="2025-06-11T04:00:00"/>
    <d v="2025-07-11T04:00:00"/>
    <x v="150"/>
    <d v="2025-06-19T18:42:24"/>
    <s v="Jun2025 - NO. 4 BEARING CASE ASSEMBLY, TIC INNER - PISTON SEAL GROOVE SECTION REPLACEMENT (MR22CCD52D) LIMIT EXTENSION"/>
    <d v="2025-05-22T04:00:00"/>
    <d v="2025-05-23T04:00:00"/>
    <d v="2025-05-27T04:00:00"/>
    <d v="2025-06-10T04:00:00"/>
    <n v="1"/>
    <n v="14"/>
    <n v="15"/>
    <n v="117.51268518518191"/>
    <n v="102.51268518518191"/>
    <n v="29.132429606477672"/>
    <n v="0"/>
    <n v="0"/>
    <n v="0"/>
    <n v="0"/>
    <n v="0"/>
    <n v="0"/>
    <n v="0"/>
    <n v="29.132429606477672"/>
    <n v="88.380255578704237"/>
    <n v="73.380255578704237"/>
    <n v="8"/>
    <n v="0"/>
  </r>
  <r>
    <s v="Cases &amp; Composites"/>
    <s v="CAS-250804-X1Q6W5"/>
    <s v="Francisco Astiasaran"/>
    <s v="Complete"/>
    <s v="Resolved"/>
    <x v="0"/>
    <n v="21"/>
    <s v="25CCE98"/>
    <s v="Repair-EA"/>
    <x v="0"/>
    <x v="0"/>
    <x v="8"/>
    <s v="75%"/>
    <d v="2025-04-29T17:25:41"/>
    <d v="2025-08-01T04:00:00"/>
    <d v="2025-07-31T04:00:00"/>
    <x v="260"/>
    <d v="2025-07-31T12:11:09"/>
    <s v="Jul2025"/>
    <d v="2025-06-18T04:00:00"/>
    <d v="2025-06-20T04:00:00"/>
    <m/>
    <d v="2025-06-20T04:00:00"/>
    <n v="2"/>
    <s v=""/>
    <n v="2"/>
    <n v="91.440497685180162"/>
    <n v="89.440497685180162"/>
    <n v="0"/>
    <n v="6.7693425231482252"/>
    <n v="0"/>
    <n v="0"/>
    <n v="0"/>
    <n v="0"/>
    <n v="0"/>
    <n v="0"/>
    <n v="6.7693425231482252"/>
    <n v="84.671155162031937"/>
    <n v="82.671155162031937"/>
    <n v="-2"/>
    <n v="1"/>
  </r>
  <r>
    <s v="Cases &amp; Composites"/>
    <s v="CAS-211841-Y5G5F0"/>
    <s v="Francisco Astiasaran"/>
    <s v="Complete"/>
    <s v="Resolved"/>
    <x v="0"/>
    <n v="22"/>
    <s v="23KC414A"/>
    <s v="Repair-EA"/>
    <x v="3"/>
    <x v="1"/>
    <x v="3"/>
    <m/>
    <d v="2024-04-09T15:00:11"/>
    <d v="2024-07-12T04:00:00"/>
    <d v="2025-03-21T04:00:00"/>
    <x v="261"/>
    <d v="2025-03-17T13:30:39"/>
    <s v="Mar2025"/>
    <d v="2024-10-17T04:00:00"/>
    <d v="2025-02-26T05:00:00"/>
    <d v="2025-02-26T05:00:00"/>
    <d v="2025-02-28T05:00:00"/>
    <n v="132.04166666667152"/>
    <n v="2"/>
    <n v="134.04166666667152"/>
    <n v="337.54153935184877"/>
    <n v="203.49987268517725"/>
    <n v="0"/>
    <n v="0"/>
    <n v="0"/>
    <n v="0"/>
    <n v="0"/>
    <n v="70"/>
    <n v="0"/>
    <n v="154"/>
    <n v="224"/>
    <n v="113.54153935184877"/>
    <n v="-20.500127314822748"/>
    <n v="244"/>
    <n v="0"/>
  </r>
  <r>
    <s v="Cases &amp; Composites"/>
    <s v="CAS-223623-Z5Q6J2"/>
    <s v="Brian K Holland"/>
    <s v="Complete"/>
    <s v="Resolved"/>
    <x v="0"/>
    <n v="22"/>
    <s v="24KC573"/>
    <s v="Repair-EA"/>
    <x v="0"/>
    <x v="1"/>
    <x v="3"/>
    <m/>
    <d v="2024-08-07T19:50:04"/>
    <d v="2024-11-08T05:00:00"/>
    <d v="2024-11-08T05:00:00"/>
    <x v="262"/>
    <d v="2024-11-12T14:45:25"/>
    <m/>
    <m/>
    <m/>
    <m/>
    <m/>
    <s v=""/>
    <s v=""/>
    <n v="0"/>
    <n v="92.381898148152686"/>
    <n v="92.381898148152686"/>
    <n v="0"/>
    <n v="0"/>
    <n v="0"/>
    <n v="0"/>
    <n v="0"/>
    <n v="0"/>
    <n v="0"/>
    <n v="0"/>
    <n v="0"/>
    <n v="92.381898148152686"/>
    <n v="92.381898148152686"/>
    <n v="0"/>
    <n v="1"/>
  </r>
  <r>
    <s v="Cases &amp; Composites"/>
    <n v="107426"/>
    <s v="Jia Chen"/>
    <s v="Complete"/>
    <s v="Closed"/>
    <x v="0"/>
    <n v="22"/>
    <s v="24FC336"/>
    <s v="Repair-EA"/>
    <x v="0"/>
    <x v="2"/>
    <x v="3"/>
    <s v="75%"/>
    <d v="2024-08-05T04:00:00"/>
    <d v="2025-02-26T05:00:00"/>
    <d v="2025-02-26T05:00:00"/>
    <x v="181"/>
    <d v="2025-01-15T21:07:55"/>
    <s v="Jan"/>
    <d v="2024-12-11T05:00:00"/>
    <d v="2024-12-16T05:00:00"/>
    <d v="2024-12-16T05:00:00"/>
    <d v="2025-01-03T05:00:00"/>
    <n v="5"/>
    <n v="18"/>
    <n v="23"/>
    <n v="163.04166666667152"/>
    <n v="140.04166666667152"/>
    <n v="9"/>
    <n v="0"/>
    <n v="0"/>
    <n v="0"/>
    <n v="0"/>
    <n v="0"/>
    <n v="0"/>
    <n v="0"/>
    <n v="9"/>
    <n v="154.04166666667152"/>
    <n v="131.04166666667152"/>
    <n v="-42"/>
    <n v="1"/>
  </r>
  <r>
    <s v="Cases &amp; Composites"/>
    <s v="CAS-236766-H3Z3H0"/>
    <s v="Alexander Page"/>
    <s v="Complete"/>
    <s v="Resolved"/>
    <x v="0"/>
    <n v="22"/>
    <s v="25KC093"/>
    <s v="Repair-EA"/>
    <x v="0"/>
    <x v="1"/>
    <x v="3"/>
    <s v="75%"/>
    <d v="2024-12-10T19:17:40"/>
    <d v="2025-05-22T04:00:00"/>
    <d v="2025-04-30T04:00:00"/>
    <x v="254"/>
    <d v="2025-04-08T12:59:16"/>
    <s v="OUTER DIFFUSER CASE ASSEMBLY - BORESCOPE BOSS FACE - SKIM MACHINE REPAIR, EA17KC562 DEVIATION apr2025"/>
    <d v="2025-03-07T05:00:00"/>
    <d v="2025-03-07T05:00:00"/>
    <d v="2025-03-07T05:00:00"/>
    <d v="2025-03-27T04:00:00"/>
    <n v="0"/>
    <n v="19.958333333328483"/>
    <n v="19.958333333328483"/>
    <n v="117.3627314814803"/>
    <n v="97.404398148151813"/>
    <n v="12"/>
    <n v="0"/>
    <n v="0"/>
    <n v="0"/>
    <n v="0"/>
    <n v="0"/>
    <n v="0"/>
    <n v="0"/>
    <n v="12"/>
    <n v="105.3627314814803"/>
    <n v="85.404398148151813"/>
    <n v="-45"/>
    <n v="1"/>
  </r>
  <r>
    <s v="Cases &amp; Composites"/>
    <s v="CAS-241717-P5L9H1"/>
    <s v="Alexander Page"/>
    <s v="Complete"/>
    <s v="Resolved"/>
    <x v="0"/>
    <n v="22"/>
    <s v="25KC130"/>
    <s v="Repair-EA"/>
    <x v="0"/>
    <x v="1"/>
    <x v="3"/>
    <s v="50%"/>
    <d v="2025-01-31T20:01:02"/>
    <d v="2025-07-01T04:00:00"/>
    <d v="2025-06-20T04:00:00"/>
    <x v="48"/>
    <d v="2025-06-09T19:45:30"/>
    <s v="Jun2025 DIFFUSER CASE ASSEMBLY - AFT FLANGE INNER CASE WALL - BLEND REPAIR june2026"/>
    <d v="2025-05-19T04:00:00"/>
    <d v="2025-05-19T04:00:00"/>
    <d v="2025-05-19T04:00:00"/>
    <d v="2025-05-19T04:00:00"/>
    <n v="0"/>
    <n v="0"/>
    <n v="0"/>
    <n v="128.33261574073549"/>
    <n v="128.33261574073549"/>
    <n v="10"/>
    <n v="5"/>
    <n v="0"/>
    <n v="0"/>
    <n v="0"/>
    <n v="0"/>
    <n v="0"/>
    <n v="0"/>
    <n v="15"/>
    <n v="113.33261574073549"/>
    <n v="113.33261574073549"/>
    <n v="-22"/>
    <n v="1"/>
  </r>
  <r>
    <s v="Cases &amp; Composites"/>
    <s v="CAS-249956-F1G7N2"/>
    <s v="Francisco Astiasaran"/>
    <s v="Complete"/>
    <s v="Resolved"/>
    <x v="0"/>
    <n v="22"/>
    <s v="25CC937"/>
    <s v="Repair-EA"/>
    <x v="0"/>
    <x v="0"/>
    <x v="11"/>
    <s v="75%"/>
    <d v="2025-04-21T12:35:02"/>
    <d v="2025-04-30T04:00:00"/>
    <d v="2025-04-30T04:00:00"/>
    <x v="201"/>
    <d v="2025-04-30T11:56:17"/>
    <m/>
    <m/>
    <m/>
    <m/>
    <m/>
    <s v=""/>
    <s v=""/>
    <n v="0"/>
    <n v="8.6423379629632109"/>
    <n v="8.6423379629632109"/>
    <n v="0"/>
    <n v="0"/>
    <n v="0"/>
    <n v="0"/>
    <n v="0"/>
    <n v="0"/>
    <n v="0"/>
    <n v="0"/>
    <n v="0"/>
    <n v="8.6423379629632109"/>
    <n v="8.6423379629632109"/>
    <n v="0"/>
    <n v="1"/>
  </r>
  <r>
    <s v="Cases &amp; Composites"/>
    <s v="CAS-250691-C2P6V8"/>
    <s v="Francisco Astiasaran"/>
    <s v="Complete"/>
    <s v="Resolved"/>
    <x v="0"/>
    <n v="22"/>
    <s v="25CCA13"/>
    <s v="Repair-EA"/>
    <x v="0"/>
    <x v="0"/>
    <x v="11"/>
    <s v="75%"/>
    <d v="2025-04-28T20:11:38"/>
    <d v="2025-05-15T04:00:00"/>
    <d v="2025-05-15T04:00:00"/>
    <x v="263"/>
    <d v="2025-05-14T12:10:26"/>
    <s v="May2025"/>
    <m/>
    <m/>
    <m/>
    <m/>
    <s v=""/>
    <s v=""/>
    <n v="0"/>
    <n v="14.325254629628034"/>
    <n v="14.325254629628034"/>
    <n v="0"/>
    <n v="0"/>
    <n v="0"/>
    <n v="0"/>
    <n v="0"/>
    <n v="0"/>
    <n v="0"/>
    <n v="0"/>
    <n v="0"/>
    <n v="14.325254629628034"/>
    <n v="14.325254629628034"/>
    <n v="-2"/>
    <n v="1"/>
  </r>
  <r>
    <s v="Cases &amp; Composites"/>
    <s v="CAS-224334-J6Z0T5"/>
    <s v="Jia Chen"/>
    <s v="Complete"/>
    <s v="Resolved"/>
    <x v="0"/>
    <n v="23"/>
    <s v="24KC597"/>
    <s v="Repair-EA"/>
    <x v="0"/>
    <x v="1"/>
    <x v="3"/>
    <s v="75%"/>
    <d v="2024-08-14T20:02:17"/>
    <d v="2025-01-16T05:00:00"/>
    <d v="2025-02-20T05:00:00"/>
    <x v="222"/>
    <d v="2025-02-03T19:56:55"/>
    <m/>
    <d v="2024-11-19T05:00:00"/>
    <d v="2024-12-06T05:00:00"/>
    <d v="2024-12-06T05:00:00"/>
    <d v="2024-12-11T05:00:00"/>
    <n v="17"/>
    <n v="5"/>
    <n v="22"/>
    <n v="169.37341435185226"/>
    <n v="147.37341435185226"/>
    <n v="0"/>
    <n v="0"/>
    <n v="0"/>
    <n v="0"/>
    <n v="0"/>
    <n v="0"/>
    <n v="0"/>
    <n v="0"/>
    <n v="0"/>
    <n v="169.37341435185226"/>
    <n v="147.37341435185226"/>
    <n v="15"/>
    <n v="0"/>
  </r>
  <r>
    <s v="Cases &amp; Composites"/>
    <s v="CAS-236764-S7Z9R0"/>
    <s v="Tyler Abusbah"/>
    <s v="Complete"/>
    <s v="Resolved"/>
    <x v="0"/>
    <n v="23"/>
    <s v="25KC116"/>
    <s v="Repair-EA"/>
    <x v="0"/>
    <x v="1"/>
    <x v="3"/>
    <s v="75%"/>
    <d v="2024-12-10T19:12:00"/>
    <d v="2025-05-28T04:00:00"/>
    <d v="2025-05-28T04:00:00"/>
    <x v="201"/>
    <d v="2025-04-30T14:36:20"/>
    <s v="Apr2025"/>
    <d v="2025-03-25T04:00:00"/>
    <d v="2025-03-25T04:00:00"/>
    <d v="2025-03-25T04:00:00"/>
    <d v="2025-04-24T04:00:00"/>
    <n v="0"/>
    <n v="30"/>
    <n v="30"/>
    <n v="140.36666666666133"/>
    <n v="110.36666666666133"/>
    <n v="39"/>
    <n v="0"/>
    <n v="0"/>
    <n v="0"/>
    <n v="0"/>
    <n v="0"/>
    <n v="0"/>
    <n v="0"/>
    <n v="39"/>
    <n v="101.36666666666133"/>
    <n v="71.366666666661331"/>
    <n v="-28"/>
    <n v="1"/>
  </r>
  <r>
    <s v="Cases &amp; Composites"/>
    <s v="CAS-253030-L4D5M7"/>
    <s v="Ferdin Mustafa"/>
    <s v="Complete"/>
    <s v="Resolved"/>
    <x v="0"/>
    <n v="23"/>
    <s v="16CC311C"/>
    <s v="Repair-EA"/>
    <x v="2"/>
    <x v="0"/>
    <x v="8"/>
    <s v="75%"/>
    <d v="2025-05-21T11:07:48"/>
    <d v="2026-06-30T04:00:00"/>
    <d v="2025-06-30T04:00:00"/>
    <x v="150"/>
    <d v="2025-06-26T19:34:10"/>
    <s v="Jun2025"/>
    <m/>
    <m/>
    <m/>
    <m/>
    <s v=""/>
    <s v=""/>
    <n v="0"/>
    <n v="28.702916666661622"/>
    <n v="28.702916666661622"/>
    <n v="0"/>
    <n v="0"/>
    <n v="0"/>
    <n v="0"/>
    <n v="0"/>
    <n v="0"/>
    <n v="0"/>
    <n v="0"/>
    <n v="0"/>
    <n v="28.702916666661622"/>
    <n v="28.702916666661622"/>
    <n v="-376"/>
    <n v="1"/>
  </r>
  <r>
    <s v="Cases &amp; Composites"/>
    <s v="CAS-253850-X8Z7H2"/>
    <s v="Francisco Astiasaran"/>
    <s v="Complete"/>
    <s v="Resolved"/>
    <x v="0"/>
    <n v="23"/>
    <s v="25CCE88"/>
    <s v="Repair-EA"/>
    <x v="0"/>
    <x v="0"/>
    <x v="3"/>
    <s v="50%"/>
    <d v="2025-05-29T16:32:55"/>
    <d v="2025-08-15T04:00:00"/>
    <d v="2025-07-30T04:00:00"/>
    <x v="264"/>
    <d v="2025-07-28T21:20:30"/>
    <s v="Jul2025"/>
    <d v="2025-07-07T04:00:00"/>
    <d v="2025-07-07T04:00:00"/>
    <m/>
    <d v="2025-07-07T04:00:00"/>
    <n v="0"/>
    <s v=""/>
    <n v="0"/>
    <n v="59.477141203700739"/>
    <n v="59.477141203700739"/>
    <n v="0"/>
    <n v="0"/>
    <n v="0"/>
    <n v="0"/>
    <n v="0"/>
    <n v="0"/>
    <n v="0"/>
    <n v="0"/>
    <n v="0"/>
    <n v="59.477141203700739"/>
    <n v="59.477141203700739"/>
    <n v="-18"/>
    <n v="1"/>
  </r>
  <r>
    <s v="Cases &amp; Composites"/>
    <s v="CAS-225693-J9K1Q8"/>
    <s v="Jia Chen"/>
    <s v="Complete"/>
    <s v="Resolved"/>
    <x v="0"/>
    <n v="24"/>
    <s v="24CCT16"/>
    <s v="Repair-EA"/>
    <x v="0"/>
    <x v="0"/>
    <x v="0"/>
    <s v="50%"/>
    <d v="2024-08-28T14:07:34"/>
    <d v="2025-04-09T04:00:00"/>
    <d v="2025-04-18T04:00:00"/>
    <x v="51"/>
    <d v="2025-03-31T17:19:11"/>
    <m/>
    <d v="2024-11-06T05:00:00"/>
    <d v="2024-11-07T05:00:00"/>
    <d v="2024-11-07T05:00:00"/>
    <d v="2025-03-21T04:00:00"/>
    <n v="1"/>
    <n v="133.95833333332848"/>
    <n v="134.95833333332848"/>
    <n v="214.57807870370016"/>
    <n v="79.619745370371675"/>
    <n v="13.062614375005069"/>
    <n v="0"/>
    <n v="0"/>
    <n v="0"/>
    <n v="0"/>
    <n v="0"/>
    <n v="0"/>
    <n v="0"/>
    <n v="13.062614375005069"/>
    <n v="201.51546432869509"/>
    <n v="66.557130995366606"/>
    <n v="-9"/>
    <n v="1"/>
  </r>
  <r>
    <s v="Cases &amp; Composites"/>
    <s v="CAS-228914-H6F9X3"/>
    <s v="Jia Chen"/>
    <s v="Complete"/>
    <s v="Resolved"/>
    <x v="0"/>
    <n v="24"/>
    <s v="24KC667"/>
    <s v="Repair-EA"/>
    <x v="0"/>
    <x v="1"/>
    <x v="3"/>
    <s v="75%"/>
    <d v="2024-09-26T14:54:28"/>
    <d v="2025-03-12T04:00:00"/>
    <d v="2025-02-20T05:00:00"/>
    <x v="222"/>
    <d v="2025-02-03T16:20:49"/>
    <m/>
    <d v="2024-12-16T05:00:00"/>
    <d v="2025-01-10T05:00:00"/>
    <d v="2025-01-10T05:00:00"/>
    <d v="2025-01-10T05:00:00"/>
    <n v="25"/>
    <n v="0"/>
    <n v="25"/>
    <n v="126.58717592593166"/>
    <n v="101.58717592593166"/>
    <n v="6"/>
    <n v="0"/>
    <n v="0"/>
    <n v="0"/>
    <n v="0"/>
    <n v="0"/>
    <n v="0"/>
    <n v="0"/>
    <n v="6"/>
    <n v="120.58717592593166"/>
    <n v="95.58717592593166"/>
    <n v="-39.958333333328483"/>
    <n v="1"/>
  </r>
  <r>
    <s v="Cases &amp; Composites"/>
    <n v="109675"/>
    <s v="Francisco Astiasaran"/>
    <s v="Complete"/>
    <s v="Closed"/>
    <x v="0"/>
    <n v="24"/>
    <s v="24FC366"/>
    <s v="Repair-EA"/>
    <x v="0"/>
    <x v="2"/>
    <x v="3"/>
    <s v="75%"/>
    <d v="2024-11-18T05:00:00"/>
    <d v="2024-11-25T05:00:00"/>
    <d v="2024-11-25T05:00:00"/>
    <x v="185"/>
    <d v="2024-11-22T18:03:51"/>
    <m/>
    <m/>
    <m/>
    <m/>
    <m/>
    <s v=""/>
    <s v=""/>
    <n v="0"/>
    <n v="4"/>
    <n v="4"/>
    <n v="0"/>
    <n v="0"/>
    <n v="0"/>
    <n v="0"/>
    <n v="0"/>
    <n v="0"/>
    <n v="0"/>
    <n v="0"/>
    <n v="0"/>
    <n v="4"/>
    <n v="4"/>
    <n v="-3"/>
    <n v="1"/>
  </r>
  <r>
    <s v="Cases &amp; Composites"/>
    <n v="109694"/>
    <s v="Francisco Astiasaran"/>
    <s v="Complete"/>
    <s v="Closed"/>
    <x v="0"/>
    <n v="24"/>
    <s v="23FC206A"/>
    <s v="Repair-EA"/>
    <x v="0"/>
    <x v="2"/>
    <x v="3"/>
    <s v="75%"/>
    <d v="2024-11-19T05:00:00"/>
    <d v="2024-11-29T05:00:00"/>
    <d v="2024-11-29T05:00:00"/>
    <x v="265"/>
    <d v="2024-11-25T15:48:08"/>
    <m/>
    <m/>
    <m/>
    <m/>
    <m/>
    <s v=""/>
    <s v=""/>
    <n v="0"/>
    <n v="6"/>
    <n v="6"/>
    <n v="0"/>
    <n v="0"/>
    <n v="0"/>
    <n v="0"/>
    <n v="0"/>
    <n v="0"/>
    <n v="0"/>
    <n v="0"/>
    <n v="0"/>
    <n v="6"/>
    <n v="6"/>
    <n v="-4"/>
    <n v="1"/>
  </r>
  <r>
    <s v="Cases &amp; Composites"/>
    <s v="CAS-198657-Z0N8W7"/>
    <s v="Jia Chen"/>
    <s v="Complete"/>
    <s v="Active"/>
    <x v="0"/>
    <n v="25"/>
    <s v="23KC626"/>
    <s v="Repair-EA"/>
    <x v="0"/>
    <x v="1"/>
    <x v="3"/>
    <m/>
    <d v="2023-11-17T21:51:10"/>
    <d v="2023-12-22T05:00:00"/>
    <d v="2024-10-15T04:00:00"/>
    <x v="226"/>
    <d v="2024-10-10T16:28:53"/>
    <s v="Oct"/>
    <d v="2024-01-16T05:00:00"/>
    <d v="2024-01-26T05:00:00"/>
    <d v="2024-01-26T05:00:00"/>
    <d v="2024-03-27T04:00:00"/>
    <n v="10"/>
    <n v="60.958333333328483"/>
    <n v="70.958333333328483"/>
    <n v="327.25613425925985"/>
    <n v="256.29780092593137"/>
    <n v="0"/>
    <n v="0"/>
    <n v="0"/>
    <n v="0"/>
    <n v="75"/>
    <n v="0"/>
    <n v="0"/>
    <n v="0"/>
    <n v="75"/>
    <n v="252.25613425925985"/>
    <n v="181.29780092593137"/>
    <n v="292.95833333332848"/>
    <n v="0"/>
  </r>
  <r>
    <s v="Cases &amp; Composites"/>
    <s v="CAS-228253-F6F4Q8"/>
    <s v="Francisco Astiasaran"/>
    <s v="Complete"/>
    <s v="Resolved"/>
    <x v="0"/>
    <n v="25"/>
    <s v="25KC179"/>
    <s v="Repair-EA"/>
    <x v="0"/>
    <x v="1"/>
    <x v="3"/>
    <s v="75%"/>
    <d v="2024-09-20T11:25:12"/>
    <d v="2025-02-21T05:00:00"/>
    <d v="2025-03-28T04:00:00"/>
    <x v="51"/>
    <d v="2025-03-31T16:02:08"/>
    <s v="Mar2025"/>
    <d v="2024-11-06T05:00:00"/>
    <d v="2025-02-27T05:00:00"/>
    <d v="2025-03-11T04:00:00"/>
    <d v="2025-03-17T04:00:00"/>
    <n v="113"/>
    <n v="6"/>
    <n v="119"/>
    <n v="191.69083333333401"/>
    <n v="72.690833333334012"/>
    <n v="0"/>
    <n v="0"/>
    <n v="0"/>
    <n v="4"/>
    <n v="0"/>
    <n v="0"/>
    <n v="0"/>
    <n v="0"/>
    <n v="4"/>
    <n v="187.69083333333401"/>
    <n v="68.690833333334012"/>
    <n v="37.958333333328483"/>
    <n v="0"/>
  </r>
  <r>
    <s v="Cases &amp; Composites"/>
    <s v="CAS-231811-K6G5V8"/>
    <s v="Alexander Page"/>
    <s v="Complete"/>
    <s v="Resolved"/>
    <x v="0"/>
    <n v="25"/>
    <s v="25KC031"/>
    <s v="Repair-EA"/>
    <x v="0"/>
    <x v="1"/>
    <x v="3"/>
    <s v="75%"/>
    <d v="2024-10-23T14:48:52"/>
    <d v="2025-03-19T04:00:00"/>
    <d v="2025-05-30T04:00:00"/>
    <x v="266"/>
    <d v="2025-04-21T18:49:41"/>
    <s v="STAGE 8 HPC CASE - ANTI ROTATION SHOULDER WELD REPAIR - REPAIR-19 LIMIT EXTENSION apr2025"/>
    <d v="2025-02-06T05:00:00"/>
    <d v="2025-02-07T05:00:00"/>
    <d v="2025-02-07T05:00:00"/>
    <d v="2025-02-12T05:00:00"/>
    <n v="1"/>
    <n v="5"/>
    <n v="6"/>
    <n v="179.54939814814861"/>
    <n v="173.54939814814861"/>
    <n v="28"/>
    <n v="2"/>
    <n v="0"/>
    <n v="0"/>
    <n v="0"/>
    <n v="0"/>
    <n v="0"/>
    <n v="0"/>
    <n v="30"/>
    <n v="149.54939814814861"/>
    <n v="143.54939814814861"/>
    <n v="33"/>
    <n v="0"/>
  </r>
  <r>
    <s v="Cases &amp; Composites"/>
    <s v="CAS-239834-N1J5X0"/>
    <s v="Francisco Astiasaran"/>
    <s v="Complete"/>
    <s v="Resolved"/>
    <x v="0"/>
    <n v="25"/>
    <s v="25KC018"/>
    <s v="Repair-EA"/>
    <x v="1"/>
    <x v="1"/>
    <x v="3"/>
    <m/>
    <d v="2025-01-14T13:09:26"/>
    <d v="2025-01-24T05:00:00"/>
    <d v="2025-01-24T05:00:00"/>
    <x v="10"/>
    <d v="2025-01-24T15:46:03"/>
    <m/>
    <m/>
    <m/>
    <m/>
    <m/>
    <s v=""/>
    <s v=""/>
    <n v="0"/>
    <n v="9.6601157407421852"/>
    <n v="9.6601157407421852"/>
    <n v="0"/>
    <n v="0"/>
    <n v="0"/>
    <n v="0"/>
    <n v="0"/>
    <n v="0"/>
    <n v="0"/>
    <n v="0"/>
    <n v="0"/>
    <n v="9.6601157407421852"/>
    <n v="9.6601157407421852"/>
    <n v="0"/>
    <n v="1"/>
  </r>
  <r>
    <s v="Cases &amp; Composites"/>
    <s v="CAS-243406-F0R2J6"/>
    <s v="Tyler Abusbah"/>
    <s v="Complete"/>
    <s v="Resolved"/>
    <x v="0"/>
    <n v="25"/>
    <s v="25KC188"/>
    <s v="Repair-EA"/>
    <x v="0"/>
    <x v="1"/>
    <x v="3"/>
    <s v="75%"/>
    <d v="2025-02-17T21:56:57"/>
    <d v="2025-08-21T04:00:00"/>
    <d v="2025-05-27T04:00:00"/>
    <x v="16"/>
    <d v="2025-05-27T20:53:02"/>
    <s v="May2025"/>
    <d v="2025-04-15T04:00:00"/>
    <d v="2025-04-25T04:00:00"/>
    <d v="2025-04-25T04:00:00"/>
    <d v="2025-05-23T04:00:00"/>
    <n v="10"/>
    <n v="28"/>
    <n v="38"/>
    <n v="98.252118055555911"/>
    <n v="60.252118055555911"/>
    <n v="14"/>
    <n v="0"/>
    <n v="0"/>
    <n v="0"/>
    <n v="0"/>
    <n v="0"/>
    <n v="0"/>
    <n v="0"/>
    <n v="14"/>
    <n v="84.252118055555911"/>
    <n v="46.252118055555911"/>
    <n v="-86"/>
    <n v="1"/>
  </r>
  <r>
    <s v="Cases &amp; Composites"/>
    <s v="CAS-248531-Q7B9M9"/>
    <s v="Francisco Astiasaran"/>
    <s v="Complete"/>
    <s v="Resolved"/>
    <x v="0"/>
    <n v="25"/>
    <s v="25CC841"/>
    <s v="Repair-EA"/>
    <x v="0"/>
    <x v="0"/>
    <x v="11"/>
    <s v="75%"/>
    <d v="2025-04-07T14:58:21"/>
    <d v="2025-04-28T04:00:00"/>
    <d v="2025-04-18T04:00:00"/>
    <x v="267"/>
    <d v="2025-04-25T11:50:16"/>
    <s v="Apr2025"/>
    <m/>
    <m/>
    <m/>
    <m/>
    <s v=""/>
    <s v=""/>
    <n v="0"/>
    <n v="16.542812499996217"/>
    <n v="16.542812499996217"/>
    <n v="0"/>
    <n v="0"/>
    <n v="0"/>
    <n v="0"/>
    <n v="0"/>
    <n v="0"/>
    <n v="0"/>
    <n v="0"/>
    <n v="0"/>
    <n v="16.542812499996217"/>
    <n v="16.542812499996217"/>
    <n v="-4"/>
    <n v="1"/>
  </r>
  <r>
    <s v="Cases &amp; Composites"/>
    <s v="CAS-226399-L7M2N9"/>
    <s v="Tyler Abusbah"/>
    <s v="Complete"/>
    <s v="Active"/>
    <x v="0"/>
    <n v="26"/>
    <s v="24KC620"/>
    <s v="Repair-EA"/>
    <x v="0"/>
    <x v="1"/>
    <x v="3"/>
    <s v="75%"/>
    <d v="2024-09-04T15:10:14"/>
    <d v="2025-04-01T04:00:00"/>
    <d v="2025-05-19T04:00:00"/>
    <x v="220"/>
    <d v="2025-03-26T13:58:04"/>
    <s v="May"/>
    <d v="2025-01-24T05:00:00"/>
    <d v="2025-01-27T05:00:00"/>
    <d v="2025-01-27T05:00:00"/>
    <d v="2025-01-27T05:00:00"/>
    <n v="3"/>
    <n v="0"/>
    <n v="3"/>
    <n v="200.53456018518045"/>
    <n v="197.53456018518045"/>
    <n v="0"/>
    <n v="0"/>
    <n v="0"/>
    <n v="0"/>
    <n v="0"/>
    <n v="0"/>
    <n v="0"/>
    <n v="0"/>
    <n v="0"/>
    <n v="200.53456018518045"/>
    <n v="197.53456018518045"/>
    <n v="-8"/>
    <n v="1"/>
  </r>
  <r>
    <s v="Cases &amp; Composites"/>
    <s v="CAS-242013-X7X9J4"/>
    <s v="Tyler Abusbah"/>
    <s v="Complete"/>
    <s v="Resolved"/>
    <x v="0"/>
    <n v="26"/>
    <s v="25KC182"/>
    <s v="Repair-EA"/>
    <x v="0"/>
    <x v="1"/>
    <x v="3"/>
    <s v="75%"/>
    <d v="2025-02-04T20:50:30"/>
    <d v="2025-08-07T04:00:00"/>
    <d v="2025-06-13T04:00:00"/>
    <x v="53"/>
    <d v="2025-04-29T18:00:23"/>
    <s v="Apr2025"/>
    <d v="2025-04-17T04:00:00"/>
    <d v="2025-04-17T04:00:00"/>
    <d v="2025-04-17T04:00:00"/>
    <d v="2025-04-25T04:00:00"/>
    <n v="0"/>
    <n v="8"/>
    <n v="8"/>
    <n v="83.29826388888614"/>
    <n v="75.29826388888614"/>
    <n v="15"/>
    <n v="0"/>
    <n v="0"/>
    <n v="0"/>
    <n v="0"/>
    <n v="0"/>
    <n v="0"/>
    <n v="0"/>
    <n v="15"/>
    <n v="68.29826388888614"/>
    <n v="60.29826388888614"/>
    <n v="-100"/>
    <n v="1"/>
  </r>
  <r>
    <s v="Cases &amp; Composites"/>
    <s v="CAS-245813-G6F5F3"/>
    <s v="Francisco Astiasaran"/>
    <s v="Complete"/>
    <s v="Resolved"/>
    <x v="0"/>
    <n v="26"/>
    <s v="25KC195"/>
    <s v="Repair-EA"/>
    <x v="1"/>
    <x v="1"/>
    <x v="3"/>
    <s v="75%"/>
    <d v="2025-03-11T13:12:28"/>
    <d v="2025-04-04T04:00:00"/>
    <d v="2025-04-04T04:00:00"/>
    <x v="217"/>
    <d v="2025-04-02T10:49:19"/>
    <m/>
    <m/>
    <m/>
    <m/>
    <m/>
    <s v=""/>
    <s v=""/>
    <n v="0"/>
    <n v="20.616342592591536"/>
    <n v="20.616342592591536"/>
    <n v="0"/>
    <n v="0"/>
    <n v="0"/>
    <n v="0"/>
    <n v="0"/>
    <n v="0"/>
    <n v="0"/>
    <n v="0"/>
    <n v="0"/>
    <n v="20.616342592591536"/>
    <n v="20.616342592591536"/>
    <n v="-3"/>
    <n v="1"/>
  </r>
  <r>
    <s v="Cases &amp; Composites"/>
    <s v="MSG-250618-BC655C"/>
    <s v="Francisco Astiasaran"/>
    <s v="Complete"/>
    <s v="Complete"/>
    <x v="0"/>
    <n v="26"/>
    <s v="25CCA53A"/>
    <s v="Repair-EA"/>
    <x v="0"/>
    <x v="0"/>
    <x v="3"/>
    <s v="75%"/>
    <d v="2025-06-17T04:00:00"/>
    <d v="2025-07-09T04:00:00"/>
    <d v="2025-07-09T04:00:00"/>
    <x v="13"/>
    <d v="2025-07-07T14:34:13"/>
    <s v="Jul2025 Revise 25CCA53 to use PN 5328673-01"/>
    <m/>
    <m/>
    <m/>
    <m/>
    <s v=""/>
    <s v=""/>
    <n v="0"/>
    <n v="14"/>
    <n v="14"/>
    <n v="0"/>
    <n v="0"/>
    <n v="0"/>
    <n v="0"/>
    <n v="0"/>
    <n v="0"/>
    <n v="0"/>
    <n v="0"/>
    <n v="0"/>
    <n v="14"/>
    <n v="14"/>
    <n v="-8"/>
    <n v="1"/>
  </r>
  <r>
    <s v="Cases &amp; Composites"/>
    <s v="CAS-230281-L6Z8H8"/>
    <s v="Jia Chen"/>
    <s v="Complete"/>
    <s v="Resolved"/>
    <x v="0"/>
    <n v="27"/>
    <s v="24KC708"/>
    <s v="Repair-EA"/>
    <x v="0"/>
    <x v="1"/>
    <x v="3"/>
    <s v="75%"/>
    <d v="2024-10-09T17:53:14"/>
    <d v="2025-04-11T04:00:00"/>
    <d v="2025-04-11T04:00:00"/>
    <x v="50"/>
    <d v="2025-03-21T13:43:53"/>
    <m/>
    <d v="2025-01-20T05:00:00"/>
    <d v="2025-01-22T05:00:00"/>
    <d v="2025-01-22T05:00:00"/>
    <d v="2025-02-28T05:00:00"/>
    <n v="2"/>
    <n v="37"/>
    <n v="39"/>
    <n v="161.42136574073811"/>
    <n v="122.42136574073811"/>
    <n v="0"/>
    <n v="0"/>
    <n v="0"/>
    <n v="0"/>
    <n v="0"/>
    <n v="0"/>
    <n v="0"/>
    <n v="0"/>
    <n v="0"/>
    <n v="161.42136574073811"/>
    <n v="122.42136574073811"/>
    <n v="-22"/>
    <n v="1"/>
  </r>
  <r>
    <s v="Cases &amp; Composites"/>
    <s v="CAS-233136-Z0S2N5"/>
    <s v="Alexander Page"/>
    <s v="Complete"/>
    <s v="Resolved"/>
    <x v="0"/>
    <n v="27"/>
    <s v="25KC026"/>
    <s v="Repair-EA"/>
    <x v="0"/>
    <x v="1"/>
    <x v="3"/>
    <s v="50%"/>
    <d v="2024-11-05T21:24:50"/>
    <d v="2025-04-17T04:00:00"/>
    <d v="2025-04-30T04:00:00"/>
    <x v="22"/>
    <d v="2025-04-08T14:54:56"/>
    <s v="apr2025"/>
    <d v="2025-02-06T05:00:00"/>
    <d v="2025-02-12T05:00:00"/>
    <d v="2025-02-12T05:00:00"/>
    <d v="2025-03-31T04:00:00"/>
    <n v="6"/>
    <n v="46.958333333328483"/>
    <n v="52.958333333328483"/>
    <n v="153.27442129629344"/>
    <n v="100.31608796296496"/>
    <n v="20"/>
    <n v="0"/>
    <n v="0"/>
    <n v="0"/>
    <n v="0"/>
    <n v="0"/>
    <n v="0"/>
    <n v="0"/>
    <n v="20"/>
    <n v="133.27442129629344"/>
    <n v="80.316087962964957"/>
    <n v="-9"/>
    <n v="1"/>
  </r>
  <r>
    <s v="Cases &amp; Composites"/>
    <s v="CAS-239259-K3N5X1"/>
    <s v="Francisco Astiasaran"/>
    <s v="Complete"/>
    <s v="Resolved"/>
    <x v="0"/>
    <n v="27"/>
    <s v="25KC034"/>
    <s v="Repair-EA"/>
    <x v="0"/>
    <x v="1"/>
    <x v="3"/>
    <s v="75%"/>
    <d v="2025-01-08T20:19:08"/>
    <d v="2025-01-22T05:00:00"/>
    <d v="2025-01-22T05:00:00"/>
    <x v="268"/>
    <d v="2025-01-20T20:35:49"/>
    <s v="COPQ"/>
    <m/>
    <m/>
    <m/>
    <m/>
    <s v=""/>
    <s v=""/>
    <n v="0"/>
    <n v="11.361712962963793"/>
    <n v="11.361712962963793"/>
    <n v="0"/>
    <n v="0"/>
    <n v="0"/>
    <n v="0"/>
    <n v="0"/>
    <n v="0"/>
    <n v="0"/>
    <n v="0"/>
    <n v="0"/>
    <n v="11.361712962963793"/>
    <n v="11.361712962963793"/>
    <n v="-2"/>
    <n v="1"/>
  </r>
  <r>
    <s v="Cases &amp; Composites"/>
    <s v="CAS-225133-C1Q8B4"/>
    <s v="Francisco Astiasaran"/>
    <s v="Complete"/>
    <s v="Resolved"/>
    <x v="0"/>
    <n v="28"/>
    <s v="14CC211E"/>
    <s v="Repair-EA"/>
    <x v="1"/>
    <x v="0"/>
    <x v="0"/>
    <s v="75%"/>
    <d v="2024-08-22T17:42:39"/>
    <d v="2025-02-14T05:00:00"/>
    <d v="2025-02-14T05:00:00"/>
    <x v="114"/>
    <d v="2025-02-12T18:39:15"/>
    <m/>
    <m/>
    <m/>
    <m/>
    <m/>
    <s v=""/>
    <s v=""/>
    <n v="0"/>
    <n v="173.47038194444758"/>
    <n v="173.47038194444758"/>
    <n v="0"/>
    <n v="0"/>
    <n v="0"/>
    <n v="0"/>
    <n v="0"/>
    <n v="0"/>
    <n v="0"/>
    <n v="0"/>
    <n v="0"/>
    <n v="173.47038194444758"/>
    <n v="173.47038194444758"/>
    <n v="-2"/>
    <n v="1"/>
  </r>
  <r>
    <s v="Cases &amp; Composites"/>
    <s v="CAS-231526-D7H6X3"/>
    <s v="Francisco Astiasaran"/>
    <s v="Complete"/>
    <s v="Resolved"/>
    <x v="0"/>
    <n v="28"/>
    <s v="24KC675"/>
    <s v="Repair-EA"/>
    <x v="1"/>
    <x v="1"/>
    <x v="3"/>
    <m/>
    <d v="2024-10-21T16:57:10"/>
    <d v="2024-11-29T05:00:00"/>
    <d v="2025-06-25T04:00:00"/>
    <x v="207"/>
    <d v="2025-06-17T12:20:46"/>
    <s v="Jun2025"/>
    <d v="2025-06-02T04:00:00"/>
    <d v="2025-06-04T04:00:00"/>
    <d v="2025-06-05T04:00:00"/>
    <d v="2025-06-05T04:00:00"/>
    <n v="2"/>
    <n v="0"/>
    <n v="2"/>
    <n v="238.46030092592264"/>
    <n v="236.46030092592264"/>
    <n v="0"/>
    <n v="0"/>
    <n v="0"/>
    <n v="0"/>
    <n v="8"/>
    <n v="0"/>
    <n v="0"/>
    <n v="0"/>
    <n v="8"/>
    <n v="230.46030092592264"/>
    <n v="228.46030092592264"/>
    <n v="199.95833333332848"/>
    <n v="0"/>
  </r>
  <r>
    <s v="Cases &amp; Composites"/>
    <s v="CAS-246791-Y4T7G9"/>
    <s v="Francisco Astiasaran"/>
    <s v="Complete"/>
    <s v="Resolved"/>
    <x v="0"/>
    <n v="28"/>
    <s v="25CC721"/>
    <s v="Repair-EA"/>
    <x v="0"/>
    <x v="0"/>
    <x v="8"/>
    <s v="75%"/>
    <d v="2025-03-20T14:53:13"/>
    <d v="2025-04-30T04:00:00"/>
    <d v="2025-04-30T04:00:00"/>
    <x v="242"/>
    <d v="2025-05-02T11:10:58"/>
    <s v="May2025 FanR-Blade"/>
    <d v="2025-04-04T04:00:00"/>
    <d v="2025-04-04T04:00:00"/>
    <d v="2025-04-07T04:00:00"/>
    <d v="2025-04-08T04:00:00"/>
    <n v="0"/>
    <n v="1"/>
    <n v="1"/>
    <n v="41.54637731481489"/>
    <n v="40.54637731481489"/>
    <n v="0"/>
    <n v="0"/>
    <n v="0"/>
    <n v="0"/>
    <n v="0"/>
    <n v="0"/>
    <n v="0"/>
    <n v="0"/>
    <n v="0"/>
    <n v="41.54637731481489"/>
    <n v="40.54637731481489"/>
    <n v="1"/>
    <n v="0"/>
  </r>
  <r>
    <s v="Cases &amp; Composites"/>
    <s v="CAS-231692-S7W4C9"/>
    <s v="Francisco Astiasaran"/>
    <s v="Complete"/>
    <s v="Resolved"/>
    <x v="0"/>
    <n v="29"/>
    <s v="24KC683"/>
    <s v="Repair-EA"/>
    <x v="1"/>
    <x v="1"/>
    <x v="3"/>
    <m/>
    <d v="2024-10-22T17:51:15"/>
    <d v="2025-02-20T05:00:00"/>
    <d v="2025-06-25T04:00:00"/>
    <x v="269"/>
    <d v="2025-06-16T18:51:33"/>
    <s v="Jun2025"/>
    <d v="2024-11-07T05:00:00"/>
    <d v="2025-06-04T04:00:00"/>
    <d v="2025-06-05T04:00:00"/>
    <d v="2025-06-05T04:00:00"/>
    <n v="208.95833333332848"/>
    <n v="0"/>
    <n v="208.95833333332848"/>
    <n v="236.42274305555475"/>
    <n v="27.464409722226264"/>
    <n v="0"/>
    <n v="0"/>
    <n v="0"/>
    <n v="0"/>
    <n v="0"/>
    <n v="0"/>
    <n v="0"/>
    <n v="0"/>
    <n v="0"/>
    <n v="236.42274305555475"/>
    <n v="27.464409722226264"/>
    <n v="115.95833333332848"/>
    <n v="0"/>
  </r>
  <r>
    <s v="Cases &amp; Composites"/>
    <s v="CAS-236068-H0M9H5"/>
    <s v="Francisco Astiasaran"/>
    <s v="Complete"/>
    <s v="Resolved"/>
    <x v="0"/>
    <n v="29"/>
    <s v="14CC326F"/>
    <s v="Repair-EA"/>
    <x v="1"/>
    <x v="0"/>
    <x v="0"/>
    <s v="75%"/>
    <d v="2024-12-03T17:10:52"/>
    <d v="2025-02-10T05:00:00"/>
    <d v="2025-02-10T05:00:00"/>
    <x v="270"/>
    <d v="2025-02-18T13:25:54"/>
    <m/>
    <m/>
    <m/>
    <m/>
    <m/>
    <s v=""/>
    <s v=""/>
    <n v="0"/>
    <n v="72.492453703707724"/>
    <n v="72.492453703707724"/>
    <n v="0"/>
    <n v="0"/>
    <n v="0"/>
    <n v="0"/>
    <n v="0"/>
    <n v="0"/>
    <n v="0"/>
    <n v="0"/>
    <n v="0"/>
    <n v="72.492453703707724"/>
    <n v="72.492453703707724"/>
    <n v="4"/>
    <n v="0"/>
  </r>
  <r>
    <s v="Cases &amp; Composites"/>
    <s v="CAS-194913-R6J8V2"/>
    <s v="Francisco Astiasaran"/>
    <s v="Complete"/>
    <s v="Resolved"/>
    <x v="0"/>
    <n v="30"/>
    <s v="20CC682B"/>
    <s v="Repair-EA"/>
    <x v="1"/>
    <x v="0"/>
    <x v="0"/>
    <m/>
    <d v="2023-10-12T17:13:02"/>
    <d v="2025-05-02T04:00:00"/>
    <d v="2025-05-02T04:00:00"/>
    <x v="23"/>
    <d v="2025-05-02T14:39:19"/>
    <s v="May2025 GTFA-2"/>
    <d v="2023-10-23T04:00:00"/>
    <d v="2024-06-03T04:00:00"/>
    <d v="2025-04-15T04:00:00"/>
    <d v="2025-04-17T04:00:00"/>
    <n v="224"/>
    <n v="2"/>
    <n v="226"/>
    <n v="567.4492824074041"/>
    <n v="341.4492824074041"/>
    <n v="0"/>
    <n v="0"/>
    <n v="0"/>
    <n v="0"/>
    <n v="0"/>
    <n v="174.51256434027891"/>
    <n v="0"/>
    <n v="0"/>
    <n v="174.51256434027891"/>
    <n v="392.93671806712518"/>
    <n v="166.93671806712518"/>
    <n v="0"/>
    <n v="1"/>
  </r>
  <r>
    <s v="Cases &amp; Composites"/>
    <s v="CAS-250258-S3Q1J5"/>
    <s v="Francisco Astiasaran"/>
    <s v="Complete"/>
    <s v="Resolved"/>
    <x v="0"/>
    <n v="30"/>
    <s v="25CCA23"/>
    <s v="Repair-EA"/>
    <x v="0"/>
    <x v="0"/>
    <x v="3"/>
    <s v="75%"/>
    <d v="2025-04-23T17:57:02"/>
    <d v="2025-05-14T04:00:00"/>
    <d v="2025-05-14T04:00:00"/>
    <x v="263"/>
    <d v="2025-05-14T12:58:22"/>
    <s v="May2025"/>
    <m/>
    <m/>
    <m/>
    <m/>
    <s v=""/>
    <s v=""/>
    <n v="0"/>
    <n v="19.418726851850806"/>
    <n v="19.418726851850806"/>
    <n v="0"/>
    <n v="0"/>
    <n v="0"/>
    <n v="0"/>
    <n v="0"/>
    <n v="0"/>
    <n v="0"/>
    <n v="0"/>
    <n v="0"/>
    <n v="19.418726851850806"/>
    <n v="19.418726851850806"/>
    <n v="-1"/>
    <n v="1"/>
  </r>
  <r>
    <s v="Cases &amp; Composites"/>
    <s v="CAS-253656-B2S1X2"/>
    <s v="Francisco Astiasaran"/>
    <s v="Complete"/>
    <s v="Resolved"/>
    <x v="0"/>
    <n v="30"/>
    <s v="25CCC52"/>
    <s v="Repair-EA"/>
    <x v="0"/>
    <x v="0"/>
    <x v="11"/>
    <s v="75%"/>
    <d v="2025-05-27T13:06:53"/>
    <d v="2025-06-27T04:00:00"/>
    <d v="2025-06-20T04:00:00"/>
    <x v="205"/>
    <d v="2025-06-23T14:05:38"/>
    <s v="Jun2025. AF2.0"/>
    <m/>
    <m/>
    <m/>
    <m/>
    <s v=""/>
    <s v=""/>
    <n v="0"/>
    <n v="23.620219907403225"/>
    <n v="23.620219907403225"/>
    <n v="0"/>
    <n v="0"/>
    <n v="0"/>
    <n v="0"/>
    <n v="0"/>
    <n v="0"/>
    <n v="0"/>
    <n v="0"/>
    <n v="0"/>
    <n v="23.620219907403225"/>
    <n v="23.620219907403225"/>
    <n v="-7"/>
    <n v="1"/>
  </r>
  <r>
    <s v="Cases &amp; Composites"/>
    <s v="CAS-257300-L1Z8X4"/>
    <s v="Francisco Astiasaran"/>
    <s v="Complete"/>
    <s v="Resolved"/>
    <x v="0"/>
    <n v="30"/>
    <s v="25CCF37"/>
    <s v="Repair-EA"/>
    <x v="0"/>
    <x v="0"/>
    <x v="11"/>
    <s v="75%"/>
    <d v="2025-06-30T16:23:00"/>
    <d v="2025-07-09T04:00:00"/>
    <d v="2025-07-09T04:00:00"/>
    <x v="231"/>
    <d v="2025-07-24T17:13:58"/>
    <s v="AF2.0"/>
    <m/>
    <m/>
    <m/>
    <m/>
    <s v=""/>
    <s v=""/>
    <n v="0"/>
    <n v="23.484027777776646"/>
    <n v="23.484027777776646"/>
    <n v="0"/>
    <n v="0"/>
    <n v="0"/>
    <n v="0"/>
    <n v="0"/>
    <n v="0"/>
    <n v="0"/>
    <n v="0"/>
    <n v="0"/>
    <n v="23.484027777776646"/>
    <n v="23.484027777776646"/>
    <n v="15"/>
    <n v="0"/>
  </r>
  <r>
    <s v="Cases &amp; Composites"/>
    <s v="CAS-236588-C1G8F3"/>
    <s v="Francisco Astiasaran"/>
    <s v="Complete"/>
    <s v="Resolved"/>
    <x v="0"/>
    <n v="31"/>
    <s v="22CCB40D"/>
    <s v="Repair-EA"/>
    <x v="3"/>
    <x v="0"/>
    <x v="0"/>
    <m/>
    <d v="2024-12-09T14:16:57"/>
    <d v="2025-01-30T05:00:00"/>
    <d v="2025-02-12T05:00:00"/>
    <x v="46"/>
    <d v="2025-02-21T17:50:38"/>
    <m/>
    <d v="2024-12-10T05:00:00"/>
    <d v="2024-12-18T05:00:00"/>
    <d v="2024-12-18T05:00:00"/>
    <d v="2024-12-18T05:00:00"/>
    <n v="8"/>
    <n v="0"/>
    <n v="8"/>
    <n v="73.613229166672681"/>
    <n v="65.613229166672681"/>
    <n v="0"/>
    <n v="0"/>
    <n v="0"/>
    <n v="0"/>
    <n v="0"/>
    <n v="0"/>
    <n v="6.0158615162072238"/>
    <n v="21.772723564812622"/>
    <n v="27.788585081019846"/>
    <n v="45.824644085652835"/>
    <n v="37.824644085652835"/>
    <n v="22"/>
    <n v="0"/>
  </r>
  <r>
    <s v="Cases &amp; Composites"/>
    <s v="CAS-236065-V0M2F8"/>
    <s v="Tyler Abusbah"/>
    <s v="Complete"/>
    <s v="Resolved"/>
    <x v="0"/>
    <n v="31"/>
    <s v="25CC317"/>
    <s v="Repair-EA"/>
    <x v="0"/>
    <x v="0"/>
    <x v="8"/>
    <s v="50%"/>
    <d v="2024-12-03T17:00:51"/>
    <d v="2025-06-04T04:00:00"/>
    <d v="2025-05-30T04:00:00"/>
    <x v="263"/>
    <d v="2025-05-14T13:24:30"/>
    <s v="TIC Inner May2025"/>
    <d v="2025-04-07T04:00:00"/>
    <d v="2025-04-07T04:00:00"/>
    <d v="2025-04-08T04:00:00"/>
    <d v="2025-04-30T04:00:00"/>
    <n v="0"/>
    <n v="22"/>
    <n v="22"/>
    <n v="160.45774305555096"/>
    <n v="138.45774305555096"/>
    <n v="42.037375694439106"/>
    <n v="0"/>
    <n v="0"/>
    <n v="0"/>
    <n v="0"/>
    <n v="6.2307712615729542"/>
    <n v="0"/>
    <n v="0"/>
    <n v="48.26814695601206"/>
    <n v="112.1895960995389"/>
    <n v="90.189596099538903"/>
    <n v="-22"/>
    <n v="1"/>
  </r>
  <r>
    <s v="Cases &amp; Composites"/>
    <s v="CAS-232704-N8L6G7"/>
    <s v="Francisco Astiasaran"/>
    <s v="Complete"/>
    <s v="Resolved"/>
    <x v="0"/>
    <n v="32"/>
    <s v="14CC211F"/>
    <s v="Repair-EA"/>
    <x v="1"/>
    <x v="0"/>
    <x v="0"/>
    <s v="75%"/>
    <d v="2024-10-31T18:04:02"/>
    <d v="2025-03-18T04:00:00"/>
    <d v="2025-04-21T04:00:00"/>
    <x v="271"/>
    <d v="2025-04-29T13:04:01"/>
    <s v="Apr2025"/>
    <m/>
    <m/>
    <m/>
    <m/>
    <s v=""/>
    <s v=""/>
    <n v="0"/>
    <n v="178.4138657407384"/>
    <n v="178.4138657407384"/>
    <n v="0"/>
    <n v="0"/>
    <n v="0"/>
    <n v="0"/>
    <n v="0"/>
    <n v="0"/>
    <n v="0"/>
    <n v="0"/>
    <n v="0"/>
    <n v="178.4138657407384"/>
    <n v="178.4138657407384"/>
    <n v="41"/>
    <n v="0"/>
  </r>
  <r>
    <s v="Cases &amp; Composites"/>
    <s v="CAS-248241-P8Y5N4"/>
    <s v="Francisco Astiasaran"/>
    <s v="Complete"/>
    <s v="Resolved"/>
    <x v="0"/>
    <n v="37"/>
    <s v="19CC141A"/>
    <s v="Repair-EA"/>
    <x v="1"/>
    <x v="0"/>
    <x v="0"/>
    <s v="75%"/>
    <d v="2025-04-03T18:19:57"/>
    <d v="2025-06-05T04:00:00"/>
    <d v="2025-08-06T04:00:00"/>
    <x v="272"/>
    <d v="2025-07-30T12:58:16"/>
    <s v="Jul2025"/>
    <d v="2025-07-28T04:00:00"/>
    <d v="2025-07-28T04:00:00"/>
    <d v="2025-07-28T04:00:00"/>
    <d v="2025-07-29T04:00:00"/>
    <n v="0"/>
    <n v="1"/>
    <n v="1"/>
    <n v="116.4028124999968"/>
    <n v="115.4028124999968"/>
    <n v="0"/>
    <n v="0"/>
    <n v="0"/>
    <n v="0"/>
    <n v="0"/>
    <n v="0"/>
    <n v="0"/>
    <n v="0"/>
    <n v="0"/>
    <n v="116.4028124999968"/>
    <n v="115.4028124999968"/>
    <n v="54"/>
    <n v="0"/>
  </r>
  <r>
    <s v="Cases &amp; Composites"/>
    <s v="CAS-255564-G5X7B8"/>
    <s v="Francisco Astiasaran"/>
    <s v="Complete"/>
    <s v="Resolved"/>
    <x v="0"/>
    <n v="37"/>
    <s v="25CCE20"/>
    <s v="Repair-EA"/>
    <x v="0"/>
    <x v="0"/>
    <x v="11"/>
    <s v="75%"/>
    <d v="2025-06-13T17:35:31"/>
    <d v="2025-07-04T04:00:00"/>
    <d v="2025-07-04T04:00:00"/>
    <x v="7"/>
    <d v="2025-06-30T14:41:47"/>
    <s v="Jun2025 AF2.0"/>
    <m/>
    <m/>
    <m/>
    <m/>
    <s v=""/>
    <s v=""/>
    <n v="0"/>
    <n v="13.433668981480878"/>
    <n v="13.433668981480878"/>
    <n v="0"/>
    <n v="0"/>
    <n v="0"/>
    <n v="0"/>
    <n v="0"/>
    <n v="0"/>
    <n v="0"/>
    <n v="0"/>
    <n v="0"/>
    <n v="13.433668981480878"/>
    <n v="13.433668981480878"/>
    <n v="-7"/>
    <n v="1"/>
  </r>
  <r>
    <s v="Cases &amp; Composites"/>
    <s v="CAS-253193-W3N7Z5"/>
    <s v="Francisco Astiasaran"/>
    <s v="Complete"/>
    <s v="Resolved"/>
    <x v="0"/>
    <n v="38"/>
    <s v="25CCC88"/>
    <s v="Repair-EA"/>
    <x v="0"/>
    <x v="0"/>
    <x v="10"/>
    <s v="75%"/>
    <d v="2025-05-22T13:45:47"/>
    <d v="2025-07-16T04:00:00"/>
    <d v="2025-07-16T04:00:00"/>
    <x v="231"/>
    <d v="2025-07-24T11:30:47"/>
    <s v="AF2.0"/>
    <d v="2025-06-27T04:00:00"/>
    <d v="2025-06-27T04:00:00"/>
    <d v="2025-06-27T04:00:00"/>
    <d v="2025-06-27T04:00:00"/>
    <n v="0"/>
    <n v="0"/>
    <n v="0"/>
    <n v="62.593206018515048"/>
    <n v="62.593206018515048"/>
    <n v="0"/>
    <n v="0"/>
    <n v="0"/>
    <n v="0"/>
    <n v="0"/>
    <n v="0"/>
    <n v="0"/>
    <n v="0"/>
    <n v="0"/>
    <n v="62.593206018515048"/>
    <n v="62.593206018515048"/>
    <n v="8"/>
    <n v="0"/>
  </r>
  <r>
    <s v="Cases &amp; Composites"/>
    <s v="CAS-248219-Q2B4T6"/>
    <s v="Francisco Astiasaran"/>
    <s v="Complete"/>
    <s v="Resolved"/>
    <x v="0"/>
    <n v="40"/>
    <s v="25CC813"/>
    <s v="Repair-EA"/>
    <x v="0"/>
    <x v="0"/>
    <x v="11"/>
    <s v="75%"/>
    <d v="2025-04-03T12:44:05"/>
    <d v="2025-04-21T04:00:00"/>
    <d v="2025-04-21T04:00:00"/>
    <x v="271"/>
    <d v="2025-04-28T18:53:23"/>
    <s v="Apr2025"/>
    <m/>
    <m/>
    <m/>
    <m/>
    <s v=""/>
    <s v=""/>
    <n v="0"/>
    <n v="24.636053240741603"/>
    <n v="24.636053240741603"/>
    <n v="0"/>
    <n v="0"/>
    <n v="0"/>
    <n v="0"/>
    <n v="0"/>
    <n v="0"/>
    <n v="0"/>
    <n v="0"/>
    <n v="0"/>
    <n v="24.636053240741603"/>
    <n v="24.636053240741603"/>
    <n v="7"/>
    <n v="0"/>
  </r>
  <r>
    <s v="Cases &amp; Composites"/>
    <s v="CAS-137967-M4X7D1"/>
    <s v="Orlando Melendez Colon"/>
    <s v="Complete"/>
    <s v="Resolved"/>
    <x v="0"/>
    <m/>
    <s v="23VG044"/>
    <s v="Repair-EA"/>
    <x v="0"/>
    <x v="3"/>
    <x v="5"/>
    <m/>
    <d v="2022-02-09T16:54:51"/>
    <d v="2023-06-15T04:00:00"/>
    <d v="2024-10-31T04:00:00"/>
    <x v="37"/>
    <d v="2024-11-01T01:57:25"/>
    <s v="Oct"/>
    <d v="2022-02-17T05:00:00"/>
    <d v="2023-04-21T04:00:00"/>
    <d v="2023-04-21T04:00:00"/>
    <d v="2023-06-09T04:00:00"/>
    <n v="427.95833333332848"/>
    <n v="49"/>
    <n v="476.95833333332848"/>
    <n v="993.46190972221666"/>
    <n v="516.50357638888818"/>
    <n v="0"/>
    <n v="0"/>
    <n v="0"/>
    <n v="0"/>
    <n v="0"/>
    <n v="0"/>
    <n v="0"/>
    <n v="0"/>
    <n v="0"/>
    <n v="993.46190972221666"/>
    <n v="516.50357638888818"/>
    <n v="503"/>
    <n v="0"/>
  </r>
  <r>
    <s v="Cases &amp; Composites"/>
    <s v="CAS-167770-F5F8X8"/>
    <s v="Francisco Astiasaran"/>
    <s v="Complete"/>
    <s v="Resolved"/>
    <x v="0"/>
    <m/>
    <s v="13CC675G"/>
    <s v="Repair-EA"/>
    <x v="1"/>
    <x v="0"/>
    <x v="0"/>
    <m/>
    <d v="2023-01-09T00:53:47"/>
    <d v="2025-02-24T05:00:00"/>
    <d v="2025-02-24T05:00:00"/>
    <x v="199"/>
    <d v="2025-02-21T18:34:06"/>
    <m/>
    <m/>
    <m/>
    <m/>
    <m/>
    <s v=""/>
    <s v=""/>
    <n v="0"/>
    <n v="773.17098379629897"/>
    <n v="773.17098379629897"/>
    <n v="0"/>
    <n v="0"/>
    <n v="0"/>
    <n v="0"/>
    <n v="0"/>
    <n v="0"/>
    <n v="0"/>
    <n v="0"/>
    <n v="0"/>
    <n v="773.17098379629897"/>
    <n v="773.17098379629897"/>
    <n v="-4"/>
    <n v="1"/>
  </r>
  <r>
    <s v="Cases &amp; Composites"/>
    <s v="CAS-170367-Z9L4L5"/>
    <s v="Robert Thompson"/>
    <s v="Complete"/>
    <s v="Resolved"/>
    <x v="0"/>
    <m/>
    <s v="23CC455"/>
    <s v="Repair-EA"/>
    <x v="0"/>
    <x v="0"/>
    <x v="8"/>
    <m/>
    <d v="2023-02-02T19:06:39"/>
    <d v="2023-03-31T04:00:00"/>
    <d v="2024-02-09T05:00:00"/>
    <x v="128"/>
    <d v="2024-02-07T19:36:58"/>
    <s v="Inlet Cone Assembly"/>
    <m/>
    <m/>
    <m/>
    <m/>
    <s v=""/>
    <s v=""/>
    <n v="0"/>
    <n v="369.41204861111328"/>
    <n v="369.41204861111328"/>
    <n v="0"/>
    <n v="0"/>
    <n v="0"/>
    <n v="0"/>
    <n v="0"/>
    <n v="0"/>
    <n v="0"/>
    <n v="0"/>
    <n v="0"/>
    <n v="369.41204861111328"/>
    <n v="369.41204861111328"/>
    <n v="313.04166666667152"/>
    <n v="0"/>
  </r>
  <r>
    <s v="Cases &amp; Composites"/>
    <s v="CAS-172546-N4G9G2"/>
    <s v="Pedro Iturrino"/>
    <s v="Complete"/>
    <s v="Resolved"/>
    <x v="0"/>
    <m/>
    <s v="23KC199"/>
    <s v="Repair-EA"/>
    <x v="0"/>
    <x v="1"/>
    <x v="3"/>
    <m/>
    <d v="2023-02-23T14:33:51"/>
    <d v="2023-05-23T04:00:00"/>
    <d v="2024-01-19T05:00:00"/>
    <x v="115"/>
    <d v="2024-01-08T13:25:45"/>
    <m/>
    <d v="2023-07-31T04:00:00"/>
    <d v="2023-12-18T05:00:00"/>
    <d v="2023-12-18T05:00:00"/>
    <d v="2023-12-18T05:00:00"/>
    <n v="140.04166666667152"/>
    <n v="0"/>
    <n v="140.04166666667152"/>
    <n v="315.60149305556115"/>
    <n v="175.55982638888963"/>
    <n v="0"/>
    <n v="0"/>
    <n v="0"/>
    <n v="0"/>
    <n v="0"/>
    <n v="26"/>
    <n v="0"/>
    <n v="0"/>
    <n v="26"/>
    <n v="289.60149305556115"/>
    <n v="149.55982638888963"/>
    <n v="227.04166666667152"/>
    <n v="0"/>
  </r>
  <r>
    <s v="Cases &amp; Composites"/>
    <s v="CAS-174457-H7N9M6"/>
    <s v="Orlando Melendez Colon"/>
    <s v="Complete"/>
    <s v="Resolved"/>
    <x v="0"/>
    <m/>
    <s v="23VG105"/>
    <s v="Repair-EA"/>
    <x v="1"/>
    <x v="3"/>
    <x v="4"/>
    <s v="75%"/>
    <d v="2023-03-14T17:12:43"/>
    <d v="2024-12-13T05:00:00"/>
    <d v="2025-01-24T05:00:00"/>
    <x v="71"/>
    <d v="2025-01-14T18:04:23"/>
    <m/>
    <m/>
    <m/>
    <m/>
    <m/>
    <s v=""/>
    <s v=""/>
    <n v="0"/>
    <n v="665.4911689814835"/>
    <n v="665.4911689814835"/>
    <n v="0"/>
    <n v="0"/>
    <n v="0"/>
    <n v="0"/>
    <n v="375"/>
    <n v="0"/>
    <n v="0"/>
    <n v="0"/>
    <n v="375"/>
    <n v="290.4911689814835"/>
    <n v="290.4911689814835"/>
    <n v="26"/>
    <n v="0"/>
  </r>
  <r>
    <s v="Cases &amp; Composites"/>
    <s v="CAS-157208-Z3N2C1"/>
    <s v="Orlando Melendez Colon"/>
    <s v="Complete"/>
    <s v="Resolved"/>
    <x v="0"/>
    <m/>
    <s v="23VG214"/>
    <s v="Repair-EA"/>
    <x v="0"/>
    <x v="3"/>
    <x v="5"/>
    <m/>
    <d v="2022-08-31T09:29:46"/>
    <d v="2023-10-13T04:00:00"/>
    <d v="2025-02-28T05:00:00"/>
    <x v="47"/>
    <d v="2025-02-19T02:52:27"/>
    <m/>
    <d v="2023-07-26T04:00:00"/>
    <d v="2023-09-13T04:00:00"/>
    <d v="2023-09-13T04:00:00"/>
    <d v="2024-09-19T04:00:00"/>
    <n v="49"/>
    <n v="372"/>
    <n v="421"/>
    <n v="901.81266203703854"/>
    <n v="480.81266203703854"/>
    <n v="0"/>
    <n v="0"/>
    <n v="0"/>
    <n v="0"/>
    <n v="0"/>
    <n v="0"/>
    <n v="0"/>
    <n v="0"/>
    <n v="0"/>
    <n v="901.81266203703854"/>
    <n v="480.81266203703854"/>
    <n v="494.04166666667152"/>
    <n v="0"/>
  </r>
  <r>
    <s v="Cases &amp; Composites"/>
    <s v="CAS-182452-B7Y6S8"/>
    <s v="Orlando Melendez Colon"/>
    <s v="Complete"/>
    <s v="Resolved"/>
    <x v="0"/>
    <m/>
    <s v="23VG212"/>
    <s v="Repair-EA"/>
    <x v="0"/>
    <x v="3"/>
    <x v="5"/>
    <m/>
    <d v="2023-06-08T18:23:31"/>
    <d v="2023-08-18T04:00:00"/>
    <d v="2024-07-26T04:00:00"/>
    <x v="107"/>
    <d v="2024-07-20T02:43:50"/>
    <s v="July"/>
    <d v="2023-07-11T04:00:00"/>
    <d v="2023-12-14T05:00:00"/>
    <d v="2023-12-14T05:00:00"/>
    <d v="2024-04-19T04:00:00"/>
    <n v="156.04166666667152"/>
    <n v="126.95833333332848"/>
    <n v="283"/>
    <n v="403.40033564814803"/>
    <n v="120.40033564814803"/>
    <n v="0"/>
    <n v="0"/>
    <n v="0"/>
    <n v="0"/>
    <n v="0"/>
    <n v="104"/>
    <n v="0"/>
    <n v="0"/>
    <n v="104"/>
    <n v="299.40033564814803"/>
    <n v="16.40033564814803"/>
    <n v="333"/>
    <n v="0"/>
  </r>
  <r>
    <s v="Cases &amp; Composites"/>
    <s v="CAS-188088-V4W3L7"/>
    <s v="Orlando Melendez Colon"/>
    <s v="Complete"/>
    <s v="Resolved"/>
    <x v="0"/>
    <m/>
    <s v="24VG087"/>
    <s v="Repair-EA"/>
    <x v="0"/>
    <x v="3"/>
    <x v="5"/>
    <s v="75%"/>
    <d v="2023-08-04T12:15:37"/>
    <d v="2025-02-28T05:00:00"/>
    <d v="2025-02-28T05:00:00"/>
    <x v="199"/>
    <d v="2025-02-25T13:14:44"/>
    <m/>
    <d v="2025-02-12T05:00:00"/>
    <d v="2025-02-12T05:00:00"/>
    <d v="2025-02-12T05:00:00"/>
    <d v="2025-02-12T05:00:00"/>
    <n v="0"/>
    <n v="0"/>
    <n v="0"/>
    <n v="565.69748842592526"/>
    <n v="565.69748842592526"/>
    <n v="0"/>
    <n v="0"/>
    <n v="0"/>
    <n v="0"/>
    <n v="0"/>
    <n v="0"/>
    <n v="0"/>
    <n v="0"/>
    <n v="0"/>
    <n v="565.69748842592526"/>
    <n v="565.69748842592526"/>
    <n v="-8"/>
    <n v="1"/>
  </r>
  <r>
    <s v="Cases &amp; Composites"/>
    <s v="CAS-191008-B3K4J5"/>
    <s v="Orlando Melendez Colon"/>
    <s v="Complete"/>
    <s v="Resolved"/>
    <x v="0"/>
    <m/>
    <s v="23VG318"/>
    <s v="Repair-EA"/>
    <x v="0"/>
    <x v="3"/>
    <x v="5"/>
    <m/>
    <d v="2023-09-04T13:04:38"/>
    <d v="2023-11-30T05:00:00"/>
    <d v="2024-04-26T04:00:00"/>
    <x v="66"/>
    <d v="2024-04-25T02:55:25"/>
    <s v="Apr"/>
    <d v="2023-09-14T04:00:00"/>
    <d v="2023-09-19T04:00:00"/>
    <d v="2023-09-19T04:00:00"/>
    <d v="2023-11-17T05:00:00"/>
    <n v="5"/>
    <n v="59.041666666671517"/>
    <n v="64.041666666671517"/>
    <n v="231.62178240740468"/>
    <n v="167.58011574073316"/>
    <n v="0"/>
    <n v="0"/>
    <n v="0"/>
    <n v="0"/>
    <n v="0"/>
    <n v="0"/>
    <n v="0"/>
    <n v="0"/>
    <n v="0"/>
    <n v="231.62178240740468"/>
    <n v="167.58011574073316"/>
    <n v="144.95833333332848"/>
    <n v="0"/>
  </r>
  <r>
    <s v="Cases &amp; Composites"/>
    <s v="CAS-194518-X9Q7C0"/>
    <s v="Pedro Iturrino"/>
    <s v="Complete"/>
    <s v="Resolved"/>
    <x v="0"/>
    <m/>
    <s v="23KC557"/>
    <s v="Repair-EA"/>
    <x v="0"/>
    <x v="1"/>
    <x v="3"/>
    <m/>
    <d v="2023-10-09T20:27:45"/>
    <d v="2024-02-23T05:00:00"/>
    <d v="2024-03-14T04:00:00"/>
    <x v="273"/>
    <d v="2024-03-11T14:10:42"/>
    <s v="MAR2"/>
    <d v="2023-10-23T04:00:00"/>
    <d v="2023-12-20T05:00:00"/>
    <d v="2023-12-20T05:00:00"/>
    <d v="2024-01-31T05:00:00"/>
    <n v="58.041666666671517"/>
    <n v="42"/>
    <n v="100.04166666667152"/>
    <n v="150.3557291666657"/>
    <n v="50.314062499994179"/>
    <n v="0"/>
    <n v="0"/>
    <n v="0"/>
    <n v="0"/>
    <n v="0"/>
    <n v="0"/>
    <n v="0"/>
    <n v="0"/>
    <n v="0"/>
    <n v="150.3557291666657"/>
    <n v="50.314062499994179"/>
    <n v="14"/>
    <n v="0"/>
  </r>
  <r>
    <s v="Cases &amp; Composites"/>
    <s v="CAS-194343-N2X4Z7"/>
    <s v="Orlando Melendez Colon"/>
    <s v="Complete"/>
    <s v="Resolved"/>
    <x v="0"/>
    <m/>
    <s v="23VC504"/>
    <s v="Repair-EA"/>
    <x v="1"/>
    <x v="3"/>
    <x v="5"/>
    <m/>
    <d v="2023-10-06T20:35:53"/>
    <d v="2024-03-29T04:00:00"/>
    <d v="2024-03-29T04:00:00"/>
    <x v="274"/>
    <d v="2024-03-11T11:51:44"/>
    <s v="mar"/>
    <d v="2024-01-15T05:00:00"/>
    <d v="2024-01-16T05:00:00"/>
    <d v="2024-01-16T05:00:00"/>
    <d v="2024-01-16T05:00:00"/>
    <n v="1"/>
    <n v="0"/>
    <n v="1"/>
    <n v="144.35008101852145"/>
    <n v="143.35008101852145"/>
    <n v="0"/>
    <n v="0"/>
    <n v="0"/>
    <n v="0"/>
    <n v="0"/>
    <n v="0"/>
    <n v="0"/>
    <n v="0"/>
    <n v="0"/>
    <n v="144.35008101852145"/>
    <n v="143.35008101852145"/>
    <n v="-29.958333333328483"/>
    <n v="1"/>
  </r>
  <r>
    <s v="Cases &amp; Composites"/>
    <s v="CAS-197411-M9B7N6"/>
    <s v="Jia Chen"/>
    <s v="Complete"/>
    <s v="Resolved"/>
    <x v="0"/>
    <m/>
    <s v="23VC522"/>
    <s v="Repair-EA"/>
    <x v="0"/>
    <x v="3"/>
    <x v="3"/>
    <m/>
    <d v="2023-11-06T16:19:34"/>
    <d v="2024-01-26T05:00:00"/>
    <d v="2024-02-20T05:00:00"/>
    <x v="34"/>
    <d v="2024-02-19T22:41:24"/>
    <s v="FEB1"/>
    <d v="2023-12-19T05:00:00"/>
    <d v="2023-12-22T05:00:00"/>
    <d v="2023-12-22T05:00:00"/>
    <d v="2024-01-19T05:00:00"/>
    <n v="3"/>
    <n v="28"/>
    <n v="31"/>
    <n v="93.528078703704523"/>
    <n v="62.528078703704523"/>
    <n v="0"/>
    <n v="0"/>
    <n v="0"/>
    <n v="0"/>
    <n v="0"/>
    <n v="0"/>
    <n v="0"/>
    <n v="0"/>
    <n v="0"/>
    <n v="93.528078703704523"/>
    <n v="62.528078703704523"/>
    <n v="13"/>
    <n v="0"/>
  </r>
  <r>
    <s v="Cases &amp; Composites"/>
    <s v="CAS-197939-X4R5Q9"/>
    <s v="Orlando Melendez Colon"/>
    <s v="Complete"/>
    <s v="Resolved"/>
    <x v="0"/>
    <m/>
    <s v="23VC549"/>
    <s v="Repair-EA"/>
    <x v="0"/>
    <x v="3"/>
    <x v="5"/>
    <m/>
    <d v="2023-11-10T15:53:51"/>
    <d v="2024-03-20T04:00:00"/>
    <d v="2024-05-03T04:00:00"/>
    <x v="123"/>
    <d v="2024-05-04T03:42:18"/>
    <s v="May"/>
    <d v="2024-01-15T05:00:00"/>
    <d v="2024-01-23T05:00:00"/>
    <d v="2024-01-23T05:00:00"/>
    <d v="2024-02-02T05:00:00"/>
    <n v="8"/>
    <n v="10"/>
    <n v="18"/>
    <n v="173.50427083332761"/>
    <n v="155.50427083332761"/>
    <n v="0"/>
    <n v="0"/>
    <n v="0"/>
    <n v="0"/>
    <n v="0"/>
    <n v="0"/>
    <n v="0"/>
    <n v="0"/>
    <n v="0"/>
    <n v="173.50427083332761"/>
    <n v="155.50427083332761"/>
    <n v="43"/>
    <n v="0"/>
  </r>
  <r>
    <s v="Cases &amp; Composites"/>
    <s v="CAS-195179-X7R6C6"/>
    <s v="Orlando Melendez Colon"/>
    <s v="Complete"/>
    <s v="Resolved"/>
    <x v="0"/>
    <m/>
    <s v="23VG360"/>
    <s v="Repair-EA"/>
    <x v="0"/>
    <x v="3"/>
    <x v="5"/>
    <m/>
    <d v="2023-10-16T12:30:14"/>
    <d v="2024-04-15T04:00:00"/>
    <d v="2024-04-30T04:00:00"/>
    <x v="108"/>
    <d v="2024-04-19T20:25:42"/>
    <s v="Apr"/>
    <d v="2023-12-14T05:00:00"/>
    <d v="2024-01-19T05:00:00"/>
    <d v="2024-01-19T05:00:00"/>
    <d v="2024-04-12T04:00:00"/>
    <n v="36"/>
    <n v="83.958333333328483"/>
    <n v="119.95833333332848"/>
    <n v="183.64567129629722"/>
    <n v="63.687337962968741"/>
    <n v="0"/>
    <n v="0"/>
    <n v="0"/>
    <n v="0"/>
    <n v="0"/>
    <n v="8"/>
    <n v="0"/>
    <n v="0"/>
    <n v="8"/>
    <n v="175.64567129629722"/>
    <n v="55.687337962968741"/>
    <n v="2"/>
    <n v="0"/>
  </r>
  <r>
    <s v="Cases &amp; Composites"/>
    <s v="CAS-202537-Y6G2L4"/>
    <s v="Robert Thompson"/>
    <s v="Complete"/>
    <s v="Resolved"/>
    <x v="0"/>
    <m/>
    <s v="23CCY61"/>
    <s v="Repair-EA"/>
    <x v="0"/>
    <x v="0"/>
    <x v="10"/>
    <m/>
    <d v="2024-01-02T15:46:24"/>
    <d v="2024-01-12T05:00:00"/>
    <d v="2024-01-12T05:00:00"/>
    <x v="275"/>
    <d v="2024-01-10T19:24:39"/>
    <m/>
    <d v="2024-01-02T05:00:00"/>
    <d v="2024-01-02T05:00:00"/>
    <d v="2024-01-02T05:00:00"/>
    <d v="2024-01-02T05:00:00"/>
    <n v="0"/>
    <n v="0"/>
    <n v="0"/>
    <n v="7.5511111111118225"/>
    <n v="7.5511111111118225"/>
    <n v="0"/>
    <n v="0"/>
    <n v="0"/>
    <n v="0"/>
    <n v="0"/>
    <n v="0"/>
    <n v="0"/>
    <n v="0"/>
    <n v="0"/>
    <n v="7.5511111111118225"/>
    <n v="7.5511111111118225"/>
    <n v="-2"/>
    <n v="1"/>
  </r>
  <r>
    <s v="Cases &amp; Composites"/>
    <s v="CAS-203158-R3M0V9"/>
    <s v="Orlando Melendez Colon"/>
    <s v="Complete"/>
    <s v="Resolved"/>
    <x v="0"/>
    <m/>
    <s v="24VG013"/>
    <s v="Repair-EA"/>
    <x v="0"/>
    <x v="3"/>
    <x v="5"/>
    <m/>
    <d v="2024-01-09T10:13:19"/>
    <d v="2024-02-23T05:00:00"/>
    <d v="2024-02-23T05:00:00"/>
    <x v="276"/>
    <d v="2024-02-07T19:45:03"/>
    <s v="feb"/>
    <m/>
    <m/>
    <m/>
    <m/>
    <s v=""/>
    <s v=""/>
    <n v="0"/>
    <n v="27.782418981485534"/>
    <n v="27.782418981485534"/>
    <n v="0"/>
    <n v="0"/>
    <n v="0"/>
    <n v="0"/>
    <n v="0"/>
    <n v="0"/>
    <n v="0"/>
    <n v="0"/>
    <n v="0"/>
    <n v="27.782418981485534"/>
    <n v="27.782418981485534"/>
    <n v="-17"/>
    <n v="1"/>
  </r>
  <r>
    <s v="Cases &amp; Composites"/>
    <n v="103703"/>
    <s v="Ferdin Mustafa"/>
    <s v="Complete"/>
    <s v="Closed"/>
    <x v="0"/>
    <m/>
    <s v="24FC029"/>
    <s v="Repair-EA"/>
    <x v="0"/>
    <x v="2"/>
    <x v="2"/>
    <m/>
    <d v="2024-01-26T05:00:00"/>
    <d v="2024-03-01T05:00:00"/>
    <d v="2024-03-01T05:00:00"/>
    <x v="277"/>
    <d v="2024-02-22T20:15:48"/>
    <m/>
    <d v="2024-01-29T05:00:00"/>
    <d v="2024-01-30T05:00:00"/>
    <d v="2024-01-30T05:00:00"/>
    <d v="2024-02-15T05:00:00"/>
    <n v="1"/>
    <n v="16"/>
    <n v="17"/>
    <n v="25"/>
    <n v="8"/>
    <n v="0"/>
    <n v="0"/>
    <n v="0"/>
    <n v="0"/>
    <n v="0"/>
    <n v="0"/>
    <n v="0"/>
    <n v="0"/>
    <n v="0"/>
    <n v="25"/>
    <n v="8"/>
    <n v="-10"/>
    <n v="1"/>
  </r>
  <r>
    <s v="Cases &amp; Composites"/>
    <s v="CAS-205118-V6X5V2"/>
    <s v="Jia Chen"/>
    <s v="Complete"/>
    <s v="Resolved"/>
    <x v="0"/>
    <m/>
    <s v="24VG128"/>
    <s v="Repair-EA"/>
    <x v="0"/>
    <x v="3"/>
    <x v="3"/>
    <m/>
    <d v="2024-01-29T16:21:37"/>
    <d v="2024-08-14T04:00:00"/>
    <d v="2024-10-15T04:00:00"/>
    <x v="278"/>
    <d v="2024-10-14T17:36:25"/>
    <s v="Oct"/>
    <d v="2024-06-20T04:00:00"/>
    <d v="2024-06-20T04:00:00"/>
    <d v="2024-06-20T04:00:00"/>
    <d v="2024-07-31T04:00:00"/>
    <n v="0"/>
    <n v="41"/>
    <n v="41"/>
    <n v="255.4849884259238"/>
    <n v="214.4849884259238"/>
    <n v="0"/>
    <n v="0"/>
    <n v="0"/>
    <n v="0"/>
    <n v="0"/>
    <n v="0"/>
    <n v="0"/>
    <n v="0"/>
    <n v="0"/>
    <n v="255.4849884259238"/>
    <n v="214.4849884259238"/>
    <n v="58"/>
    <n v="0"/>
  </r>
  <r>
    <s v="Cases &amp; Composites"/>
    <s v="CAS-205525-C5B7F5"/>
    <s v="Jia Chen"/>
    <s v="Complete"/>
    <s v="Resolved"/>
    <x v="0"/>
    <m/>
    <s v="24KC073"/>
    <s v="Repair-EA"/>
    <x v="0"/>
    <x v="1"/>
    <x v="3"/>
    <m/>
    <d v="2024-02-01T16:34:45"/>
    <d v="2024-10-09T04:00:00"/>
    <d v="2024-10-28T04:00:00"/>
    <x v="179"/>
    <d v="2024-10-22T16:26:48"/>
    <m/>
    <d v="2024-02-08T05:00:00"/>
    <d v="2024-05-08T04:00:00"/>
    <d v="2024-05-08T04:00:00"/>
    <d v="2024-07-23T04:00:00"/>
    <n v="89.958333333328483"/>
    <n v="76"/>
    <n v="165.95833333332848"/>
    <n v="263.47586805555329"/>
    <n v="97.517534722224809"/>
    <n v="0"/>
    <n v="0"/>
    <n v="0"/>
    <n v="0"/>
    <n v="0"/>
    <n v="13"/>
    <n v="0"/>
    <n v="0"/>
    <n v="13"/>
    <n v="250.47586805555329"/>
    <n v="84.517534722224809"/>
    <n v="13"/>
    <n v="0"/>
  </r>
  <r>
    <s v="Cases &amp; Composites"/>
    <s v="CAS-205427-C1Y4X2"/>
    <s v="Robert Thompson"/>
    <s v="Complete"/>
    <s v="Resolved"/>
    <x v="0"/>
    <m/>
    <s v="24CC020"/>
    <s v="Repair-EA"/>
    <x v="0"/>
    <x v="0"/>
    <x v="10"/>
    <m/>
    <d v="2024-01-31T20:58:37"/>
    <d v="2024-03-27T04:00:00"/>
    <d v="2024-03-27T04:00:00"/>
    <x v="154"/>
    <d v="2024-03-27T21:14:48"/>
    <s v="FanR-Blade"/>
    <d v="2024-02-06T05:00:00"/>
    <d v="2024-03-20T04:00:00"/>
    <d v="2024-03-20T04:00:00"/>
    <d v="2024-03-20T04:00:00"/>
    <n v="42.958333333328483"/>
    <n v="0"/>
    <n v="42.958333333328483"/>
    <n v="55.292627314811398"/>
    <n v="12.334293981482915"/>
    <n v="0"/>
    <n v="0"/>
    <n v="0"/>
    <n v="0"/>
    <n v="0"/>
    <n v="27.723012615744665"/>
    <n v="0"/>
    <n v="0"/>
    <n v="27.723012615744665"/>
    <n v="27.569614699066733"/>
    <n v="-15.38871863426175"/>
    <n v="0"/>
    <n v="1"/>
  </r>
  <r>
    <s v="Cases &amp; Composites"/>
    <s v="MSG-240207-5C9FBC"/>
    <s v="Robert Thompson"/>
    <s v="Complete"/>
    <s v="Complete"/>
    <x v="0"/>
    <m/>
    <s v="24AC014"/>
    <s v="Repair-EA"/>
    <x v="1"/>
    <x v="4"/>
    <x v="6"/>
    <m/>
    <d v="2024-02-07T05:00:00"/>
    <d v="2024-03-22T04:00:00"/>
    <d v="2024-05-09T04:00:00"/>
    <x v="119"/>
    <d v="2024-05-08T12:52:32"/>
    <s v="MayInlet Cone Rear Segment Assembly"/>
    <d v="2024-04-03T04:00:00"/>
    <d v="2024-04-05T04:00:00"/>
    <d v="2024-04-05T04:00:00"/>
    <d v="2024-04-08T04:00:00"/>
    <n v="2"/>
    <n v="3"/>
    <n v="5"/>
    <n v="83.958333333328483"/>
    <n v="78.958333333328483"/>
    <n v="0"/>
    <n v="0"/>
    <n v="0"/>
    <n v="0"/>
    <n v="0"/>
    <n v="0"/>
    <n v="0"/>
    <n v="0"/>
    <n v="0"/>
    <n v="83.958333333328483"/>
    <n v="78.958333333328483"/>
    <n v="40"/>
    <n v="0"/>
  </r>
  <r>
    <s v="Cases &amp; Composites"/>
    <s v="MSG-240122-C2A1EB"/>
    <s v="Robert Thompson"/>
    <s v="Complete"/>
    <s v="Complete"/>
    <x v="0"/>
    <m/>
    <s v="22KC506B"/>
    <s v="Repair-EA"/>
    <x v="1"/>
    <x v="1"/>
    <x v="1"/>
    <m/>
    <d v="2024-01-22T05:00:00"/>
    <d v="2024-03-29T04:00:00"/>
    <d v="2024-06-19T04:00:00"/>
    <x v="279"/>
    <d v="2024-06-21T17:50:28"/>
    <s v="Vane-Base Replacement (112&quot;);  PMO priority ACMT support"/>
    <d v="2024-03-13T04:00:00"/>
    <d v="2024-05-10T04:00:00"/>
    <d v="2024-05-10T04:00:00"/>
    <d v="2024-05-31T04:00:00"/>
    <n v="58"/>
    <n v="21"/>
    <n v="79"/>
    <n v="147.95833333332848"/>
    <n v="68.958333333328483"/>
    <n v="0"/>
    <n v="0"/>
    <n v="0"/>
    <n v="0"/>
    <n v="0"/>
    <n v="0"/>
    <n v="0"/>
    <n v="0"/>
    <n v="0"/>
    <n v="147.95833333332848"/>
    <n v="68.958333333328483"/>
    <n v="81"/>
    <n v="0"/>
  </r>
  <r>
    <s v="Cases &amp; Composites"/>
    <s v="CAS-206430-X7F9T8"/>
    <s v="Dean Catlett"/>
    <s v="Complete"/>
    <s v="Resolved"/>
    <x v="0"/>
    <m/>
    <s v="24AC001"/>
    <s v="Repair-EA"/>
    <x v="0"/>
    <x v="4"/>
    <x v="6"/>
    <s v="75%"/>
    <d v="2024-02-12T15:10:39"/>
    <d v="2024-04-17T04:00:00"/>
    <d v="2024-12-13T05:00:00"/>
    <x v="228"/>
    <d v="2024-12-02T15:44:26"/>
    <s v="Salesforce Case # 01929301November 2024 Commitment"/>
    <d v="2024-10-21T04:00:00"/>
    <d v="2024-10-21T04:00:00"/>
    <d v="2024-10-21T04:00:00"/>
    <d v="2024-11-05T05:00:00"/>
    <n v="0"/>
    <n v="15.041666666671517"/>
    <n v="15.041666666671517"/>
    <n v="287.57593750000524"/>
    <n v="272.53427083333372"/>
    <n v="0"/>
    <n v="0"/>
    <n v="0"/>
    <n v="0"/>
    <n v="161"/>
    <n v="0"/>
    <n v="0"/>
    <n v="0"/>
    <n v="161"/>
    <n v="126.57593750000524"/>
    <n v="111.53427083333372"/>
    <n v="223.04166666667152"/>
    <n v="0"/>
  </r>
  <r>
    <s v="Cases &amp; Composites"/>
    <s v="MSG-240222-03CA51"/>
    <s v="Robert Thompson"/>
    <s v="Complete"/>
    <s v="Complete"/>
    <x v="0"/>
    <m/>
    <s v="24CC685"/>
    <s v="Repair-EA"/>
    <x v="1"/>
    <x v="0"/>
    <x v="7"/>
    <m/>
    <d v="2024-02-22T05:00:00"/>
    <d v="2024-06-07T04:00:00"/>
    <d v="2024-05-27T04:00:00"/>
    <x v="36"/>
    <d v="2024-05-24T17:16:55"/>
    <m/>
    <d v="2024-03-20T04:00:00"/>
    <d v="2024-04-15T04:00:00"/>
    <d v="2024-04-15T04:00:00"/>
    <d v="2024-04-22T04:00:00"/>
    <n v="26"/>
    <n v="7"/>
    <n v="33"/>
    <n v="91.958333333328483"/>
    <n v="58.958333333328483"/>
    <n v="0"/>
    <n v="0"/>
    <n v="0"/>
    <n v="0"/>
    <n v="0"/>
    <n v="0"/>
    <n v="0"/>
    <n v="0"/>
    <n v="0"/>
    <n v="91.958333333328483"/>
    <n v="58.958333333328483"/>
    <n v="-14"/>
    <n v="1"/>
  </r>
  <r>
    <s v="Cases &amp; Composites"/>
    <s v="CAS-208752-K5M9S5"/>
    <s v="Robert Thompson"/>
    <s v="Complete"/>
    <s v="Resolved"/>
    <x v="0"/>
    <m/>
    <s v="24CC621"/>
    <s v="Repair-EA"/>
    <x v="0"/>
    <x v="0"/>
    <x v="10"/>
    <m/>
    <d v="2024-03-06T20:13:42"/>
    <d v="2024-03-27T04:00:00"/>
    <d v="2024-03-27T04:00:00"/>
    <x v="280"/>
    <d v="2024-03-28T19:04:30"/>
    <m/>
    <d v="2024-03-13T04:00:00"/>
    <d v="2024-03-15T04:00:00"/>
    <d v="2024-03-15T04:00:00"/>
    <d v="2024-03-15T04:00:00"/>
    <n v="2"/>
    <n v="0"/>
    <n v="2"/>
    <n v="21.323819444442051"/>
    <n v="19.323819444442051"/>
    <n v="0"/>
    <n v="0"/>
    <n v="0"/>
    <n v="0"/>
    <n v="0"/>
    <n v="0"/>
    <n v="0"/>
    <n v="0"/>
    <n v="0"/>
    <n v="21.323819444442051"/>
    <n v="19.323819444442051"/>
    <n v="1"/>
    <n v="0"/>
  </r>
  <r>
    <s v="Cases &amp; Composites"/>
    <s v="CAS-196187-G4J4P3"/>
    <s v="Bruce Zoyaar"/>
    <s v="Complete"/>
    <s v="Resolved"/>
    <x v="0"/>
    <m/>
    <s v="24KC317"/>
    <s v="Repair-EA"/>
    <x v="0"/>
    <x v="1"/>
    <x v="3"/>
    <m/>
    <d v="2023-10-25T09:04:36"/>
    <d v="2024-10-23T04:00:00"/>
    <d v="2024-11-05T05:00:00"/>
    <x v="281"/>
    <d v="2024-10-17T01:49:54"/>
    <s v="October"/>
    <d v="2024-05-23T04:00:00"/>
    <d v="2024-10-01T04:00:00"/>
    <d v="2024-10-01T04:00:00"/>
    <d v="2024-10-04T04:00:00"/>
    <n v="131"/>
    <n v="3"/>
    <n v="134"/>
    <n v="356.78847222222248"/>
    <n v="222.78847222222248"/>
    <n v="0"/>
    <n v="0"/>
    <n v="16"/>
    <n v="68"/>
    <n v="0"/>
    <n v="0"/>
    <n v="0"/>
    <n v="0"/>
    <n v="84"/>
    <n v="272.78847222222248"/>
    <n v="138.78847222222248"/>
    <n v="-7"/>
    <n v="1"/>
  </r>
  <r>
    <s v="Cases &amp; Composites"/>
    <s v="CAS-210139-Z4V3C0"/>
    <s v="Robert Thompson"/>
    <s v="Complete"/>
    <s v="Resolved"/>
    <x v="0"/>
    <m/>
    <s v="24CCO36"/>
    <s v="Repair-EA"/>
    <x v="0"/>
    <x v="0"/>
    <x v="10"/>
    <m/>
    <d v="2024-03-21T11:56:02"/>
    <d v="2024-10-18T04:00:00"/>
    <d v="2024-10-18T04:00:00"/>
    <x v="246"/>
    <d v="2024-10-21T12:56:42"/>
    <s v="FanR-Blade"/>
    <d v="2024-10-01T04:00:00"/>
    <d v="2024-10-07T04:00:00"/>
    <d v="2024-10-07T04:00:00"/>
    <d v="2024-10-07T04:00:00"/>
    <n v="6"/>
    <n v="0"/>
    <n v="6"/>
    <n v="211.66942129629024"/>
    <n v="205.66942129629024"/>
    <n v="0"/>
    <n v="0"/>
    <n v="0"/>
    <n v="0"/>
    <n v="0"/>
    <n v="0"/>
    <n v="0"/>
    <n v="0"/>
    <n v="0"/>
    <n v="211.66942129629024"/>
    <n v="205.66942129629024"/>
    <n v="1"/>
    <n v="0"/>
  </r>
  <r>
    <s v="Cases &amp; Composites"/>
    <s v="CAS-211088-Q8M1L7"/>
    <s v="Dean Catlett"/>
    <s v="Complete"/>
    <s v="Resolved"/>
    <x v="0"/>
    <m/>
    <s v="24KC193"/>
    <s v="Repair-EA"/>
    <x v="1"/>
    <x v="1"/>
    <x v="4"/>
    <m/>
    <d v="2024-04-02T04:59:58"/>
    <d v="2024-09-17T04:00:00"/>
    <d v="2024-06-28T04:00:00"/>
    <x v="282"/>
    <d v="2024-07-01T18:05:42"/>
    <s v="June 2024 Commitment"/>
    <d v="2024-04-24T04:00:00"/>
    <d v="2024-04-26T04:00:00"/>
    <d v="2024-04-26T04:00:00"/>
    <d v="2024-05-14T04:00:00"/>
    <n v="2"/>
    <n v="18"/>
    <n v="20"/>
    <n v="82.958356481482042"/>
    <n v="62.958356481482042"/>
    <n v="0"/>
    <n v="0"/>
    <n v="0"/>
    <n v="0"/>
    <n v="0"/>
    <n v="0"/>
    <n v="0"/>
    <n v="0"/>
    <n v="0"/>
    <n v="82.958356481482042"/>
    <n v="62.958356481482042"/>
    <n v="-85"/>
    <n v="1"/>
  </r>
  <r>
    <s v="Cases &amp; Composites"/>
    <s v="CAS-210916-G4W6F7"/>
    <s v="Tyler Abusbah"/>
    <s v="Complete"/>
    <s v="Resolved"/>
    <x v="0"/>
    <m/>
    <s v="24CC330A"/>
    <s v="Repair-EA"/>
    <x v="0"/>
    <x v="0"/>
    <x v="3"/>
    <m/>
    <d v="2024-03-29T14:41:57"/>
    <d v="2024-06-17T04:00:00"/>
    <d v="2024-06-17T04:00:00"/>
    <x v="133"/>
    <d v="2024-05-23T17:18:00"/>
    <s v="TIC Inner. May"/>
    <d v="2024-04-25T04:00:00"/>
    <d v="2024-05-01T04:00:00"/>
    <d v="2024-05-01T04:00:00"/>
    <d v="2024-05-01T04:00:00"/>
    <n v="6"/>
    <n v="0"/>
    <n v="6"/>
    <n v="52.554201388884394"/>
    <n v="46.554201388884394"/>
    <n v="0"/>
    <n v="0"/>
    <n v="0"/>
    <n v="0"/>
    <n v="0"/>
    <n v="0"/>
    <n v="0"/>
    <n v="0"/>
    <n v="0"/>
    <n v="52.554201388884394"/>
    <n v="46.554201388884394"/>
    <n v="-27"/>
    <n v="1"/>
  </r>
  <r>
    <s v="Cases &amp; Composites"/>
    <s v="CAS-212348-P3N0P1"/>
    <s v="Jia Chen"/>
    <s v="Complete"/>
    <s v="Resolved"/>
    <x v="0"/>
    <m/>
    <s v="24KC237"/>
    <s v="Repair-EA"/>
    <x v="0"/>
    <x v="1"/>
    <x v="3"/>
    <m/>
    <d v="2024-04-16T18:35:15"/>
    <d v="2025-03-18T04:00:00"/>
    <d v="2025-03-18T04:00:00"/>
    <x v="192"/>
    <d v="2025-02-27T20:00:18"/>
    <m/>
    <d v="2024-05-03T04:00:00"/>
    <d v="2025-01-22T05:00:00"/>
    <d v="2025-01-22T05:00:00"/>
    <d v="2025-02-24T05:00:00"/>
    <n v="264.04166666667152"/>
    <n v="33"/>
    <n v="297.04166666667152"/>
    <n v="316.4338541666657"/>
    <n v="19.392187499994179"/>
    <n v="0"/>
    <n v="0"/>
    <n v="0"/>
    <n v="13"/>
    <n v="0"/>
    <n v="15"/>
    <n v="0"/>
    <n v="0"/>
    <n v="28"/>
    <n v="288.4338541666657"/>
    <n v="-8.6078125000058208"/>
    <n v="-18.958333333328483"/>
    <n v="1"/>
  </r>
  <r>
    <s v="Cases &amp; Composites"/>
    <n v="105355"/>
    <s v="Ferdin Mustafa"/>
    <s v="Complete"/>
    <s v="Closed"/>
    <x v="0"/>
    <m/>
    <s v="24FC129"/>
    <s v="Repair-EA"/>
    <x v="0"/>
    <x v="2"/>
    <x v="2"/>
    <m/>
    <d v="2024-04-17T04:00:00"/>
    <d v="2024-07-19T04:00:00"/>
    <d v="2024-07-19T04:00:00"/>
    <x v="283"/>
    <d v="2024-05-22T13:29:28"/>
    <m/>
    <d v="2024-04-24T04:00:00"/>
    <d v="2024-05-02T04:00:00"/>
    <d v="2024-05-02T04:00:00"/>
    <d v="2024-05-17T04:00:00"/>
    <n v="8"/>
    <n v="15"/>
    <n v="23"/>
    <n v="30"/>
    <n v="7"/>
    <n v="0"/>
    <n v="0"/>
    <n v="0"/>
    <n v="0"/>
    <n v="0"/>
    <n v="0"/>
    <n v="0"/>
    <n v="0"/>
    <n v="0"/>
    <n v="30"/>
    <n v="7"/>
    <n v="-63"/>
    <n v="1"/>
  </r>
  <r>
    <s v="Cases &amp; Composites"/>
    <s v="CAS-206648-K3P6L0"/>
    <s v="Tyler Abusbah"/>
    <s v="Complete"/>
    <s v="Resolved"/>
    <x v="0"/>
    <m/>
    <s v="24KC559"/>
    <s v="Repair-EA"/>
    <x v="0"/>
    <x v="1"/>
    <x v="3"/>
    <m/>
    <d v="2024-03-15T01:38:46"/>
    <d v="2025-02-06T05:00:00"/>
    <d v="2025-02-14T05:00:00"/>
    <x v="240"/>
    <d v="2025-02-10T03:04:56"/>
    <s v="Feb"/>
    <d v="2024-10-07T04:00:00"/>
    <d v="2025-01-16T05:00:00"/>
    <d v="2025-01-16T05:00:00"/>
    <d v="2025-01-16T05:00:00"/>
    <n v="101.04166666667152"/>
    <n v="0"/>
    <n v="101.04166666667152"/>
    <n v="329.13974537037575"/>
    <n v="228.09807870370423"/>
    <n v="0"/>
    <n v="0"/>
    <n v="4"/>
    <n v="200"/>
    <n v="0"/>
    <n v="0"/>
    <n v="0"/>
    <n v="0"/>
    <n v="204"/>
    <n v="125.13974537037575"/>
    <n v="24.098078703704232"/>
    <n v="1"/>
    <n v="0"/>
  </r>
  <r>
    <s v="Cases &amp; Composites"/>
    <s v="CAS-213706-T5T4R9"/>
    <s v="Orlando Melendez Colon"/>
    <s v="Complete"/>
    <s v="Resolved"/>
    <x v="0"/>
    <m/>
    <s v="23VG359A"/>
    <s v="Repair-EA"/>
    <x v="0"/>
    <x v="3"/>
    <x v="5"/>
    <m/>
    <d v="2024-04-29T18:50:03"/>
    <d v="2024-06-28T04:00:00"/>
    <d v="2024-06-28T04:00:00"/>
    <x v="284"/>
    <d v="2024-07-02T14:52:37"/>
    <s v="July"/>
    <m/>
    <m/>
    <m/>
    <m/>
    <s v=""/>
    <s v=""/>
    <n v="0"/>
    <n v="59.38190972222219"/>
    <n v="59.38190972222219"/>
    <n v="0"/>
    <n v="0"/>
    <n v="0"/>
    <n v="0"/>
    <n v="0"/>
    <n v="0"/>
    <n v="0"/>
    <n v="0"/>
    <n v="0"/>
    <n v="59.38190972222219"/>
    <n v="59.38190972222219"/>
    <n v="0"/>
    <n v="1"/>
  </r>
  <r>
    <s v="Cases &amp; Composites"/>
    <s v="CAS-213175-W3L4X6"/>
    <s v="Robert Thompson"/>
    <s v="Complete"/>
    <s v="Resolved"/>
    <x v="0"/>
    <m/>
    <s v="11KC579A"/>
    <s v="Repair-EA"/>
    <x v="3"/>
    <x v="1"/>
    <x v="3"/>
    <m/>
    <d v="2024-04-23T14:58:49"/>
    <d v="2024-08-23T04:00:00"/>
    <d v="2024-08-23T04:00:00"/>
    <x v="86"/>
    <d v="2024-08-19T17:37:30"/>
    <s v="August"/>
    <m/>
    <m/>
    <m/>
    <m/>
    <s v=""/>
    <s v=""/>
    <n v="0"/>
    <n v="114.54248842592642"/>
    <n v="114.54248842592642"/>
    <n v="0"/>
    <n v="0"/>
    <n v="0"/>
    <n v="0"/>
    <n v="0"/>
    <n v="0"/>
    <n v="0"/>
    <n v="0"/>
    <n v="0"/>
    <n v="114.54248842592642"/>
    <n v="114.54248842592642"/>
    <n v="-7"/>
    <n v="1"/>
  </r>
  <r>
    <s v="Cases &amp; Composites"/>
    <s v="CAS-213179-Q4T1V7"/>
    <s v="Robert Thompson"/>
    <s v="Complete"/>
    <s v="Resolved"/>
    <x v="0"/>
    <m/>
    <s v="20KC204A"/>
    <s v="Repair-EA"/>
    <x v="3"/>
    <x v="1"/>
    <x v="3"/>
    <s v="75%"/>
    <d v="2024-04-23T15:10:47"/>
    <d v="2024-07-29T04:00:00"/>
    <d v="2024-09-06T04:00:00"/>
    <x v="285"/>
    <d v="2024-08-30T15:57:14"/>
    <s v="August"/>
    <m/>
    <m/>
    <m/>
    <m/>
    <s v=""/>
    <s v=""/>
    <n v="0"/>
    <n v="128.53417824074131"/>
    <n v="128.53417824074131"/>
    <n v="0"/>
    <n v="0"/>
    <n v="0"/>
    <n v="0"/>
    <n v="0"/>
    <n v="0"/>
    <n v="0"/>
    <n v="0"/>
    <n v="0"/>
    <n v="128.53417824074131"/>
    <n v="128.53417824074131"/>
    <n v="32"/>
    <n v="0"/>
  </r>
  <r>
    <s v="Cases &amp; Composites"/>
    <s v="CAS-205656-P5F6V8"/>
    <s v="Orlando Melendez Colon"/>
    <s v="Complete"/>
    <s v="Resolved"/>
    <x v="0"/>
    <m/>
    <s v="24VCA32"/>
    <s v="Repair-EA"/>
    <x v="0"/>
    <x v="3"/>
    <x v="5"/>
    <s v="75%"/>
    <d v="2024-02-02T18:18:38"/>
    <d v="2024-09-13T04:00:00"/>
    <d v="2024-07-30T04:00:00"/>
    <x v="286"/>
    <d v="2024-07-30T01:35:05"/>
    <m/>
    <d v="2024-07-16T04:00:00"/>
    <d v="2024-07-16T04:00:00"/>
    <d v="2024-07-16T04:00:00"/>
    <d v="2024-07-19T04:00:00"/>
    <n v="0"/>
    <n v="3"/>
    <n v="3"/>
    <n v="177.40372685185139"/>
    <n v="174.40372685185139"/>
    <n v="0"/>
    <n v="48"/>
    <n v="0"/>
    <n v="0"/>
    <n v="0"/>
    <n v="0"/>
    <n v="0"/>
    <n v="0"/>
    <n v="48"/>
    <n v="129.40372685185139"/>
    <n v="126.40372685185139"/>
    <n v="-46"/>
    <n v="1"/>
  </r>
  <r>
    <s v="Cases &amp; Composites"/>
    <s v="CAS-213828-D5B6R2"/>
    <s v="Tyler Abusbah"/>
    <s v="Complete"/>
    <s v="Resolved"/>
    <x v="0"/>
    <m/>
    <s v="24FC182"/>
    <s v="Repair-EA"/>
    <x v="0"/>
    <x v="2"/>
    <x v="3"/>
    <s v="75%"/>
    <d v="2024-04-30T20:18:15"/>
    <d v="2024-08-14T04:00:00"/>
    <d v="2024-10-25T04:00:00"/>
    <x v="281"/>
    <d v="2024-10-16T19:27:57"/>
    <s v="Oct"/>
    <d v="2024-06-07T04:00:00"/>
    <d v="2024-08-13T04:00:00"/>
    <d v="2024-08-13T04:00:00"/>
    <d v="2024-08-27T04:00:00"/>
    <n v="67"/>
    <n v="14"/>
    <n v="81"/>
    <n v="168.32065972222335"/>
    <n v="87.320659722223354"/>
    <n v="6"/>
    <n v="0"/>
    <n v="0"/>
    <n v="0"/>
    <n v="0"/>
    <n v="7"/>
    <n v="0"/>
    <n v="0"/>
    <n v="13"/>
    <n v="155.32065972222335"/>
    <n v="74.320659722223354"/>
    <n v="63"/>
    <n v="0"/>
  </r>
  <r>
    <s v="Cases &amp; Composites"/>
    <s v="CAS-217665-G5Z6Z2"/>
    <s v="Robert Thompson"/>
    <s v="Complete"/>
    <s v="Resolved"/>
    <x v="0"/>
    <m/>
    <s v="15CCH20M"/>
    <s v="Repair-EA"/>
    <x v="1"/>
    <x v="0"/>
    <x v="8"/>
    <s v="75%"/>
    <d v="2024-06-11T08:48:10"/>
    <d v="2024-08-30T04:00:00"/>
    <d v="2024-08-16T04:00:00"/>
    <x v="82"/>
    <d v="2024-08-16T10:42:05"/>
    <s v="FanR-Blade"/>
    <m/>
    <m/>
    <m/>
    <m/>
    <s v=""/>
    <s v=""/>
    <n v="0"/>
    <n v="64.799884259256942"/>
    <n v="64.799884259256942"/>
    <n v="0"/>
    <n v="0"/>
    <n v="0"/>
    <n v="0"/>
    <n v="0"/>
    <n v="0"/>
    <n v="0"/>
    <n v="0"/>
    <n v="0"/>
    <n v="64.799884259256942"/>
    <n v="64.799884259256942"/>
    <n v="-15"/>
    <n v="1"/>
  </r>
  <r>
    <s v="Cases &amp; Composites"/>
    <s v="CAS-215383-S8J9W4"/>
    <s v="Alexander Page"/>
    <s v="Complete"/>
    <s v="Resolved"/>
    <x v="0"/>
    <m/>
    <s v="24CCF89"/>
    <s v="Repair-EA"/>
    <x v="0"/>
    <x v="0"/>
    <x v="0"/>
    <s v="75%"/>
    <d v="2024-05-17T20:16:16"/>
    <d v="2025-04-30T04:00:00"/>
    <d v="2025-05-02T04:00:00"/>
    <x v="271"/>
    <d v="2025-04-28T18:37:49"/>
    <s v="apr2025"/>
    <d v="2024-08-19T04:00:00"/>
    <d v="2024-08-19T04:00:00"/>
    <d v="2024-08-19T04:00:00"/>
    <d v="2025-03-11T04:00:00"/>
    <n v="0"/>
    <n v="204"/>
    <n v="204"/>
    <n v="345.32203703703271"/>
    <n v="141.32203703703271"/>
    <n v="23.893911574072263"/>
    <n v="0"/>
    <n v="0"/>
    <n v="14.798241006945318"/>
    <n v="0"/>
    <n v="0"/>
    <n v="0"/>
    <n v="0"/>
    <n v="38.692152581017581"/>
    <n v="306.62988445601513"/>
    <n v="102.62988445601513"/>
    <n v="-2"/>
    <n v="1"/>
  </r>
  <r>
    <s v="Cases &amp; Composites"/>
    <s v="CAS-218295-H2J1Z7"/>
    <s v="Robert Thompson"/>
    <s v="Complete"/>
    <s v="Resolved"/>
    <x v="0"/>
    <m/>
    <s v="24CCF52"/>
    <s v="Repair-EA"/>
    <x v="0"/>
    <x v="0"/>
    <x v="8"/>
    <s v="75%"/>
    <d v="2024-06-17T14:36:25"/>
    <d v="2024-07-31T04:00:00"/>
    <d v="2024-07-31T04:00:00"/>
    <x v="287"/>
    <d v="2024-07-19T12:53:30"/>
    <s v="July"/>
    <d v="2024-06-28T04:00:00"/>
    <d v="2024-06-28T04:00:00"/>
    <d v="2024-06-28T04:00:00"/>
    <d v="2024-06-28T04:00:00"/>
    <n v="0"/>
    <n v="0"/>
    <n v="0"/>
    <n v="31.558043981480296"/>
    <n v="31.558043981480296"/>
    <n v="0"/>
    <n v="0"/>
    <n v="0"/>
    <n v="0"/>
    <n v="0"/>
    <n v="0"/>
    <n v="0"/>
    <n v="0"/>
    <n v="0"/>
    <n v="31.558043981480296"/>
    <n v="31.558043981480296"/>
    <n v="-12"/>
    <n v="1"/>
  </r>
  <r>
    <s v="Cases &amp; Composites"/>
    <s v="CAS-216982-N4T7D5"/>
    <s v="Tyler Abusbah"/>
    <s v="Complete"/>
    <s v="Resolved"/>
    <x v="0"/>
    <m/>
    <s v="24CCG57"/>
    <s v="Repair-EA"/>
    <x v="0"/>
    <x v="0"/>
    <x v="8"/>
    <s v="75%"/>
    <d v="2024-06-04T15:27:57"/>
    <d v="2024-09-06T04:00:00"/>
    <d v="2024-07-25T04:00:00"/>
    <x v="155"/>
    <d v="2024-07-12T15:16:44"/>
    <s v="TIC Inner"/>
    <m/>
    <m/>
    <m/>
    <m/>
    <s v=""/>
    <s v=""/>
    <n v="0"/>
    <n v="37.522256944444962"/>
    <n v="37.522256944444962"/>
    <n v="0"/>
    <n v="0"/>
    <n v="0"/>
    <n v="0"/>
    <n v="0"/>
    <n v="0"/>
    <n v="0"/>
    <n v="0"/>
    <n v="0"/>
    <n v="37.522256944444962"/>
    <n v="37.522256944444962"/>
    <n v="-56"/>
    <n v="1"/>
  </r>
  <r>
    <s v="Cases &amp; Composites"/>
    <s v="MSG-240702-26FD9E"/>
    <s v="Robert Thompson"/>
    <s v="Complete"/>
    <s v="Complete"/>
    <x v="0"/>
    <m/>
    <s v="24CCB06A"/>
    <s v="Repair-EA"/>
    <x v="0"/>
    <x v="0"/>
    <x v="8"/>
    <s v="75%"/>
    <d v="2024-07-02T04:00:00"/>
    <d v="2024-07-31T04:00:00"/>
    <d v="2024-07-31T04:00:00"/>
    <x v="287"/>
    <d v="2024-07-22T10:52:16"/>
    <s v="Update location of blend area"/>
    <d v="2024-07-02T04:00:00"/>
    <d v="2024-07-09T04:00:00"/>
    <d v="2024-07-09T04:00:00"/>
    <d v="2024-07-09T04:00:00"/>
    <n v="7"/>
    <n v="0"/>
    <n v="7"/>
    <n v="17"/>
    <n v="10"/>
    <n v="0"/>
    <n v="0"/>
    <n v="0"/>
    <n v="0"/>
    <n v="0"/>
    <n v="0"/>
    <n v="0"/>
    <n v="0"/>
    <n v="0"/>
    <n v="17"/>
    <n v="10"/>
    <n v="-12"/>
    <n v="1"/>
  </r>
  <r>
    <s v="Cases &amp; Composites"/>
    <s v="CAS-219868-T9J7F0"/>
    <s v="Robert Thompson"/>
    <s v="Complete"/>
    <s v="Resolved"/>
    <x v="0"/>
    <m/>
    <s v="24CCG67"/>
    <s v="Repair-EA"/>
    <x v="2"/>
    <x v="0"/>
    <x v="10"/>
    <m/>
    <d v="2024-07-02T18:11:32"/>
    <d v="2024-07-23T04:00:00"/>
    <d v="2024-07-23T04:00:00"/>
    <x v="166"/>
    <d v="2024-07-24T12:19:07"/>
    <s v="DDM: 24185J1ESF"/>
    <d v="2024-07-03T04:00:00"/>
    <d v="2024-07-08T04:00:00"/>
    <d v="2024-07-08T04:00:00"/>
    <d v="2024-07-08T04:00:00"/>
    <n v="5"/>
    <n v="0"/>
    <n v="5"/>
    <n v="21.408657407402643"/>
    <n v="16.408657407402643"/>
    <n v="0"/>
    <n v="0"/>
    <n v="0"/>
    <n v="0"/>
    <n v="0"/>
    <n v="0"/>
    <n v="0"/>
    <n v="0"/>
    <n v="0"/>
    <n v="21.408657407402643"/>
    <n v="16.408657407402643"/>
    <n v="1"/>
    <n v="0"/>
  </r>
  <r>
    <s v="Cases &amp; Composites"/>
    <s v="CAS-218565-M1Y7V5"/>
    <s v="Robert Thompson"/>
    <s v="Complete"/>
    <s v="Resolved"/>
    <x v="0"/>
    <m/>
    <s v="17CC494D"/>
    <s v="Repair-EA"/>
    <x v="1"/>
    <x v="0"/>
    <x v="3"/>
    <s v="75%"/>
    <d v="2024-06-19T13:36:52"/>
    <d v="2025-03-05T05:00:00"/>
    <d v="2024-08-30T04:00:00"/>
    <x v="93"/>
    <d v="2024-08-21T16:35:27"/>
    <m/>
    <m/>
    <m/>
    <m/>
    <m/>
    <s v=""/>
    <s v=""/>
    <n v="0"/>
    <n v="62.599398148144246"/>
    <n v="62.599398148144246"/>
    <n v="0"/>
    <n v="0"/>
    <n v="0"/>
    <n v="0"/>
    <n v="0"/>
    <n v="0"/>
    <n v="0"/>
    <n v="0"/>
    <n v="0"/>
    <n v="62.599398148144246"/>
    <n v="62.599398148144246"/>
    <n v="-196.04166666667152"/>
    <n v="1"/>
  </r>
  <r>
    <s v="Cases &amp; Composites"/>
    <s v="CAS-211369-S2T0P2"/>
    <s v="Alexander Page"/>
    <s v="Complete"/>
    <s v="Resolved"/>
    <x v="0"/>
    <m/>
    <s v="24CCK42"/>
    <s v="Repair-EA"/>
    <x v="0"/>
    <x v="0"/>
    <x v="0"/>
    <s v="50%"/>
    <d v="2024-04-04T12:30:04"/>
    <d v="2025-04-04T04:00:00"/>
    <d v="2025-07-11T04:00:00"/>
    <x v="20"/>
    <d v="2025-07-07T14:56:12"/>
    <s v="JUL2025"/>
    <d v="2024-08-19T04:00:00"/>
    <d v="2024-08-20T04:00:00"/>
    <d v="2024-08-20T04:00:00"/>
    <d v="2025-03-21T04:00:00"/>
    <n v="1"/>
    <n v="213"/>
    <n v="214"/>
    <n v="453.64578703703592"/>
    <n v="239.64578703703592"/>
    <n v="52.820924004634435"/>
    <n v="13.968890011579788"/>
    <n v="0"/>
    <n v="0"/>
    <n v="0"/>
    <n v="0"/>
    <n v="0"/>
    <n v="0"/>
    <n v="66.789814016214223"/>
    <n v="386.85597302082169"/>
    <n v="172.85597302082169"/>
    <n v="89"/>
    <n v="0"/>
  </r>
  <r>
    <s v="Cases &amp; Composites"/>
    <s v="CAS-216563-Z1N9T6"/>
    <s v="Ferdin Mustafa"/>
    <s v="Complete"/>
    <s v="Resolved"/>
    <x v="0"/>
    <m/>
    <s v="24AC058"/>
    <s v="Repair-EA"/>
    <x v="0"/>
    <x v="4"/>
    <x v="6"/>
    <s v="75%"/>
    <d v="2024-05-30T15:34:24"/>
    <d v="2024-11-28T05:00:00"/>
    <d v="2024-11-28T05:00:00"/>
    <x v="262"/>
    <d v="2024-11-12T15:17:26"/>
    <m/>
    <d v="2024-08-12T04:00:00"/>
    <d v="2024-08-29T04:00:00"/>
    <d v="2024-08-29T04:00:00"/>
    <d v="2024-10-10T04:00:00"/>
    <n v="17"/>
    <n v="42"/>
    <n v="59"/>
    <n v="161.55944444445049"/>
    <n v="102.55944444445049"/>
    <n v="15"/>
    <n v="4"/>
    <n v="0"/>
    <n v="6"/>
    <n v="0"/>
    <n v="14"/>
    <n v="0"/>
    <n v="0"/>
    <n v="39"/>
    <n v="122.55944444445049"/>
    <n v="63.559444444450492"/>
    <n v="-20"/>
    <n v="1"/>
  </r>
  <r>
    <s v="Cases &amp; Composites"/>
    <s v="CAS-202842-Y9F8T8"/>
    <s v="Alexander Page"/>
    <s v="Complete"/>
    <s v="Resolved"/>
    <x v="0"/>
    <m/>
    <s v="11CC453A"/>
    <s v="Repair-EA"/>
    <x v="1"/>
    <x v="0"/>
    <x v="0"/>
    <s v="75%"/>
    <d v="2024-01-04T21:01:46"/>
    <d v="2025-03-21T04:00:00"/>
    <d v="2025-03-07T05:00:00"/>
    <x v="288"/>
    <d v="2025-03-04T17:38:33"/>
    <s v="mar"/>
    <m/>
    <m/>
    <m/>
    <m/>
    <s v=""/>
    <s v=""/>
    <n v="0"/>
    <n v="423.33210648148088"/>
    <n v="423.33210648148088"/>
    <n v="0"/>
    <n v="137.19163204861252"/>
    <n v="0"/>
    <n v="0"/>
    <n v="0"/>
    <n v="0"/>
    <n v="0"/>
    <n v="0"/>
    <n v="137.19163204861252"/>
    <n v="286.14047443286836"/>
    <n v="286.14047443286836"/>
    <n v="-17.958333333328483"/>
    <n v="1"/>
  </r>
  <r>
    <s v="Cases &amp; Composites"/>
    <s v="CAS-222341-F9M2W1"/>
    <s v="Robert Thompson"/>
    <s v="Complete"/>
    <s v="Resolved"/>
    <x v="0"/>
    <m/>
    <s v="24CCK45"/>
    <s v="Repair-EA"/>
    <x v="0"/>
    <x v="0"/>
    <x v="10"/>
    <s v="75%"/>
    <d v="2024-07-25T20:06:24"/>
    <d v="2024-08-23T04:00:00"/>
    <d v="2024-08-23T04:00:00"/>
    <x v="289"/>
    <d v="2024-08-08T14:28:24"/>
    <m/>
    <d v="2024-07-30T04:00:00"/>
    <d v="2024-08-02T04:00:00"/>
    <d v="2024-08-02T04:00:00"/>
    <d v="2024-08-02T04:00:00"/>
    <n v="3"/>
    <n v="0"/>
    <n v="3"/>
    <n v="13.328888888885558"/>
    <n v="10.328888888885558"/>
    <n v="0"/>
    <n v="0"/>
    <n v="0"/>
    <n v="0"/>
    <n v="0"/>
    <n v="0"/>
    <n v="0"/>
    <n v="0"/>
    <n v="0"/>
    <n v="13.328888888885558"/>
    <n v="10.328888888885558"/>
    <n v="-15"/>
    <n v="1"/>
  </r>
  <r>
    <s v="Cases &amp; Composites"/>
    <s v="CAS-215778-R7F8V0"/>
    <s v="Tyler Abusbah"/>
    <s v="Complete"/>
    <s v="Resolved"/>
    <x v="0"/>
    <m/>
    <s v="24FC298"/>
    <s v="Repair-EA"/>
    <x v="0"/>
    <x v="2"/>
    <x v="3"/>
    <s v="75%"/>
    <d v="2024-05-22T20:57:25"/>
    <d v="2025-02-21T05:00:00"/>
    <d v="2025-03-03T05:00:00"/>
    <x v="235"/>
    <d v="2025-02-28T21:39:02"/>
    <s v="Feb"/>
    <d v="2025-01-03T05:00:00"/>
    <d v="2025-01-03T05:00:00"/>
    <d v="2025-01-03T05:00:00"/>
    <d v="2025-01-24T05:00:00"/>
    <n v="0"/>
    <n v="21"/>
    <n v="21"/>
    <n v="281.3351273148146"/>
    <n v="260.3351273148146"/>
    <n v="37"/>
    <n v="0"/>
    <n v="6"/>
    <n v="0"/>
    <n v="0"/>
    <n v="0"/>
    <n v="0"/>
    <n v="0"/>
    <n v="43"/>
    <n v="238.3351273148146"/>
    <n v="217.3351273148146"/>
    <n v="7"/>
    <n v="0"/>
  </r>
  <r>
    <s v="Cases &amp; Composites"/>
    <s v="CAS-208685-V1N5Y8"/>
    <s v="Orlando Melendez Colon"/>
    <s v="Complete"/>
    <s v="Resolved"/>
    <x v="0"/>
    <m/>
    <s v="24VG191"/>
    <s v="Repair-EA"/>
    <x v="1"/>
    <x v="3"/>
    <x v="5"/>
    <s v="75%"/>
    <d v="2024-03-06T10:20:18"/>
    <d v="2024-11-15T05:00:00"/>
    <d v="2024-11-22T05:00:00"/>
    <x v="211"/>
    <d v="2024-11-21T18:40:48"/>
    <s v="Nov"/>
    <d v="2024-08-16T04:00:00"/>
    <d v="2024-09-04T04:00:00"/>
    <d v="2024-09-04T04:00:00"/>
    <d v="2024-10-09T04:00:00"/>
    <n v="19"/>
    <n v="35"/>
    <n v="54"/>
    <n v="259.77756944444991"/>
    <n v="205.77756944444991"/>
    <n v="0"/>
    <n v="0"/>
    <n v="0"/>
    <n v="0"/>
    <n v="0"/>
    <n v="0"/>
    <n v="0"/>
    <n v="0"/>
    <n v="0"/>
    <n v="259.77756944444991"/>
    <n v="205.77756944444991"/>
    <n v="6"/>
    <n v="0"/>
  </r>
  <r>
    <s v="Cases &amp; Composites"/>
    <s v="CAS-218822-F2T8Z6"/>
    <s v="Alexander Page"/>
    <s v="Complete"/>
    <s v="Resolved"/>
    <x v="0"/>
    <m/>
    <s v="24CCL93"/>
    <s v="Repair-EA"/>
    <x v="0"/>
    <x v="0"/>
    <x v="0"/>
    <s v="25%"/>
    <d v="2024-06-21T16:15:57"/>
    <d v="2025-04-04T04:00:00"/>
    <d v="2025-05-30T04:00:00"/>
    <x v="206"/>
    <d v="2025-05-19T14:46:27"/>
    <s v="may2025"/>
    <d v="2024-10-24T04:00:00"/>
    <d v="2024-10-31T04:00:00"/>
    <d v="2024-10-31T04:00:00"/>
    <d v="2025-03-21T04:00:00"/>
    <n v="7"/>
    <n v="141"/>
    <n v="148"/>
    <n v="331.48892361111211"/>
    <n v="183.48892361111211"/>
    <n v="20.797822337961406"/>
    <n v="18.778806898153562"/>
    <n v="0"/>
    <n v="0"/>
    <n v="0"/>
    <n v="0"/>
    <n v="0"/>
    <n v="0"/>
    <n v="39.576629236114968"/>
    <n v="291.91229437499715"/>
    <n v="143.91229437499715"/>
    <n v="45"/>
    <n v="0"/>
  </r>
  <r>
    <s v="Cases &amp; Composites"/>
    <n v="106773"/>
    <s v="Jia Chen"/>
    <s v="Complete"/>
    <s v="Closed"/>
    <x v="0"/>
    <m/>
    <s v="24FC270"/>
    <s v="Repair-EA"/>
    <x v="0"/>
    <x v="2"/>
    <x v="3"/>
    <s v="75%"/>
    <d v="2024-06-28T04:00:00"/>
    <d v="2024-12-16T05:00:00"/>
    <d v="2024-11-13T05:00:00"/>
    <x v="290"/>
    <d v="2024-10-18T19:58:08"/>
    <m/>
    <d v="2024-09-04T04:00:00"/>
    <d v="2024-10-02T04:00:00"/>
    <d v="2024-10-02T04:00:00"/>
    <d v="2024-10-03T04:00:00"/>
    <n v="28"/>
    <n v="1"/>
    <n v="29"/>
    <n v="112"/>
    <n v="83"/>
    <n v="3"/>
    <n v="0"/>
    <n v="0"/>
    <n v="0"/>
    <n v="0"/>
    <n v="0"/>
    <n v="0"/>
    <n v="0"/>
    <n v="3"/>
    <n v="109"/>
    <n v="80"/>
    <n v="-59.041666666671517"/>
    <n v="1"/>
  </r>
  <r>
    <s v="Cases &amp; Composites"/>
    <s v="CAS-223728-M3Q8C7"/>
    <s v="Ferdin Mustafa"/>
    <s v="Complete"/>
    <s v="Resolved"/>
    <x v="0"/>
    <m/>
    <s v="24AC068"/>
    <s v="Repair-EA"/>
    <x v="0"/>
    <x v="4"/>
    <x v="6"/>
    <s v="75%"/>
    <d v="2024-08-08T13:27:14"/>
    <d v="2024-11-21T05:00:00"/>
    <d v="2024-10-25T04:00:00"/>
    <x v="198"/>
    <d v="2024-10-30T17:34:36"/>
    <m/>
    <d v="2024-09-04T04:00:00"/>
    <d v="2024-09-12T04:00:00"/>
    <d v="2024-09-12T04:00:00"/>
    <d v="2024-10-07T04:00:00"/>
    <n v="8"/>
    <n v="25"/>
    <n v="33"/>
    <n v="77.606087962958554"/>
    <n v="44.606087962958554"/>
    <n v="0"/>
    <n v="0"/>
    <n v="0"/>
    <n v="0"/>
    <n v="0"/>
    <n v="6"/>
    <n v="0"/>
    <n v="0"/>
    <n v="6"/>
    <n v="71.606087962958554"/>
    <n v="38.606087962958554"/>
    <n v="-27.041666666671517"/>
    <n v="1"/>
  </r>
  <r>
    <s v="Cases &amp; Composites"/>
    <n v="107430"/>
    <s v="Brian K Holland"/>
    <s v="Complete"/>
    <s v="Closed"/>
    <x v="0"/>
    <m/>
    <s v="24FC276"/>
    <s v="Repair-EA"/>
    <x v="0"/>
    <x v="2"/>
    <x v="3"/>
    <m/>
    <d v="2024-08-05T04:00:00"/>
    <d v="2024-12-13T05:00:00"/>
    <d v="2024-10-31T04:00:00"/>
    <x v="290"/>
    <d v="2024-10-21T13:22:18"/>
    <m/>
    <d v="2024-08-16T04:00:00"/>
    <d v="2024-09-11T04:00:00"/>
    <d v="2024-09-11T04:00:00"/>
    <d v="2024-10-14T04:00:00"/>
    <n v="26"/>
    <n v="33"/>
    <n v="59"/>
    <n v="74"/>
    <n v="15"/>
    <n v="0"/>
    <n v="0"/>
    <n v="0"/>
    <n v="0"/>
    <n v="0"/>
    <n v="0"/>
    <n v="0"/>
    <n v="0"/>
    <n v="0"/>
    <n v="74"/>
    <n v="15"/>
    <n v="-56.041666666671517"/>
    <n v="1"/>
  </r>
  <r>
    <s v="Cases &amp; Composites"/>
    <s v="CAS-224149-W0R7V3"/>
    <s v="Robert Thompson"/>
    <s v="Complete"/>
    <s v="Resolved"/>
    <x v="0"/>
    <m/>
    <s v="24CCM37"/>
    <s v="Repair-EA"/>
    <x v="0"/>
    <x v="0"/>
    <x v="10"/>
    <m/>
    <d v="2024-08-13T12:54:51"/>
    <d v="2024-08-23T04:00:00"/>
    <d v="2024-08-27T04:00:00"/>
    <x v="9"/>
    <d v="2024-08-26T16:15:26"/>
    <m/>
    <d v="2024-08-15T04:00:00"/>
    <d v="2024-08-15T04:00:00"/>
    <d v="2024-08-15T04:00:00"/>
    <d v="2024-08-15T04:00:00"/>
    <n v="0"/>
    <n v="0"/>
    <n v="0"/>
    <n v="9.6285763888881775"/>
    <n v="9.6285763888881775"/>
    <n v="0"/>
    <n v="0"/>
    <n v="0"/>
    <n v="0"/>
    <n v="0.33458208332740469"/>
    <n v="0"/>
    <n v="0"/>
    <n v="0"/>
    <n v="0.33458208332740469"/>
    <n v="9.2939943055607728"/>
    <n v="9.2939943055607728"/>
    <n v="0"/>
    <n v="1"/>
  </r>
  <r>
    <s v="Cases &amp; Composites"/>
    <s v="CAS-221557-V3M5Y1"/>
    <s v="Alexander Page"/>
    <s v="Complete"/>
    <s v="Resolved"/>
    <x v="0"/>
    <m/>
    <s v="24VC331"/>
    <s v="Repair-EA"/>
    <x v="0"/>
    <x v="3"/>
    <x v="5"/>
    <s v="75%"/>
    <d v="2024-07-18T11:42:58"/>
    <d v="2024-10-31T04:00:00"/>
    <d v="2024-10-31T04:00:00"/>
    <x v="179"/>
    <d v="2024-10-23T13:46:33"/>
    <s v="Oct"/>
    <d v="2024-10-01T04:00:00"/>
    <d v="2024-10-01T04:00:00"/>
    <d v="2024-10-01T04:00:00"/>
    <d v="2024-10-10T04:00:00"/>
    <n v="0"/>
    <n v="9"/>
    <n v="9"/>
    <n v="95.678495370368182"/>
    <n v="86.678495370368182"/>
    <n v="0"/>
    <n v="3"/>
    <n v="0"/>
    <n v="0"/>
    <n v="0"/>
    <n v="0"/>
    <n v="0"/>
    <n v="0"/>
    <n v="3"/>
    <n v="92.678495370368182"/>
    <n v="83.678495370368182"/>
    <n v="-9"/>
    <n v="1"/>
  </r>
  <r>
    <s v="Cases &amp; Composites"/>
    <s v="CAS-212372-V5R7V0"/>
    <s v="Orlando Melendez Colon"/>
    <s v="Complete"/>
    <s v="Resolved"/>
    <x v="0"/>
    <m/>
    <s v="24VG205"/>
    <s v="Repair-EA"/>
    <x v="1"/>
    <x v="3"/>
    <x v="5"/>
    <s v="75%"/>
    <d v="2024-04-15T15:01:30"/>
    <d v="2025-08-11T04:00:00"/>
    <d v="2024-11-15T05:00:00"/>
    <x v="247"/>
    <d v="2024-11-15T17:00:42"/>
    <s v="Nov"/>
    <d v="2024-08-26T04:00:00"/>
    <d v="2024-08-27T04:00:00"/>
    <d v="2024-08-27T04:00:00"/>
    <d v="2024-08-27T04:00:00"/>
    <n v="1"/>
    <n v="0"/>
    <n v="1"/>
    <n v="210.5822916666657"/>
    <n v="209.5822916666657"/>
    <n v="0"/>
    <n v="0"/>
    <n v="0"/>
    <n v="0"/>
    <n v="0"/>
    <n v="0"/>
    <n v="0"/>
    <n v="0"/>
    <n v="0"/>
    <n v="210.5822916666657"/>
    <n v="209.5822916666657"/>
    <n v="-271.95833333332848"/>
    <n v="1"/>
  </r>
  <r>
    <s v="Cases &amp; Composites"/>
    <s v="CAS-218035-M5C2S5"/>
    <s v="Jia Chen"/>
    <s v="Complete"/>
    <s v="Resolved"/>
    <x v="0"/>
    <m/>
    <s v="24KC601"/>
    <s v="Repair-EA"/>
    <x v="0"/>
    <x v="1"/>
    <x v="3"/>
    <s v="75%"/>
    <d v="2024-06-13T20:24:40"/>
    <d v="2025-02-27T05:00:00"/>
    <d v="2025-02-27T05:00:00"/>
    <x v="248"/>
    <d v="2025-02-03T19:12:03"/>
    <m/>
    <d v="2024-11-14T05:00:00"/>
    <d v="2024-12-06T05:00:00"/>
    <d v="2024-12-06T05:00:00"/>
    <d v="2025-01-22T05:00:00"/>
    <n v="22"/>
    <n v="47"/>
    <n v="69"/>
    <n v="234.35787037037517"/>
    <n v="165.35787037037517"/>
    <n v="40"/>
    <n v="0"/>
    <n v="0"/>
    <n v="0"/>
    <n v="0"/>
    <n v="0"/>
    <n v="0"/>
    <n v="0"/>
    <n v="40"/>
    <n v="194.35787037037517"/>
    <n v="125.35787037037517"/>
    <n v="-24"/>
    <n v="1"/>
  </r>
  <r>
    <s v="Cases &amp; Composites"/>
    <s v="CAS-223532-B7M8N7"/>
    <s v="Orlando Melendez Colon"/>
    <s v="Complete"/>
    <s v="Resolved"/>
    <x v="0"/>
    <m/>
    <s v="24VG210"/>
    <s v="Repair-EA"/>
    <x v="0"/>
    <x v="3"/>
    <x v="5"/>
    <s v="75%"/>
    <d v="2024-08-07T03:41:30"/>
    <d v="2024-11-26T05:00:00"/>
    <d v="2024-10-31T04:00:00"/>
    <x v="281"/>
    <d v="2024-10-18T15:13:01"/>
    <m/>
    <d v="2024-08-27T04:00:00"/>
    <d v="2024-09-12T04:00:00"/>
    <d v="2024-09-12T04:00:00"/>
    <d v="2024-09-26T04:00:00"/>
    <n v="16"/>
    <n v="14"/>
    <n v="30"/>
    <n v="70.012847222220444"/>
    <n v="40.012847222220444"/>
    <n v="0"/>
    <n v="0"/>
    <n v="0"/>
    <n v="0"/>
    <n v="0"/>
    <n v="0"/>
    <n v="0"/>
    <n v="0"/>
    <n v="0"/>
    <n v="70.012847222220444"/>
    <n v="40.012847222220444"/>
    <n v="-41.041666666671517"/>
    <n v="1"/>
  </r>
  <r>
    <s v="Cases &amp; Composites"/>
    <s v="CAS-223745-F6H9F6"/>
    <s v="Francisco Astiasaran"/>
    <s v="Complete"/>
    <s v="Resolved"/>
    <x v="0"/>
    <m/>
    <s v="24CCN48"/>
    <s v="Repair-EA"/>
    <x v="0"/>
    <x v="0"/>
    <x v="0"/>
    <s v="75%"/>
    <d v="2024-08-08T18:00:03"/>
    <d v="2025-03-31T04:00:00"/>
    <d v="2025-03-31T04:00:00"/>
    <x v="291"/>
    <d v="2025-03-11T17:51:53"/>
    <m/>
    <d v="2024-09-04T04:00:00"/>
    <d v="2025-03-04T05:00:00"/>
    <d v="2025-03-04T05:00:00"/>
    <d v="2025-03-04T05:00:00"/>
    <n v="181.04166666667152"/>
    <n v="0"/>
    <n v="181.04166666667152"/>
    <n v="214.41663194444118"/>
    <n v="33.374965277769661"/>
    <n v="0"/>
    <n v="0"/>
    <n v="0"/>
    <n v="0"/>
    <n v="0"/>
    <n v="132.90401807870512"/>
    <n v="0"/>
    <n v="0"/>
    <n v="132.90401807870512"/>
    <n v="81.512613865736057"/>
    <n v="-99.52905280093546"/>
    <n v="-20"/>
    <n v="1"/>
  </r>
  <r>
    <s v="Cases &amp; Composites"/>
    <s v="CAS-224182-B3H1V1"/>
    <s v="Francisco Astiasaran"/>
    <s v="Complete"/>
    <s v="Resolved"/>
    <x v="0"/>
    <m/>
    <s v="19KC693A"/>
    <s v="Repair-EA"/>
    <x v="3"/>
    <x v="1"/>
    <x v="3"/>
    <s v="75%"/>
    <d v="2024-08-13T17:16:27"/>
    <d v="2025-02-07T05:00:00"/>
    <d v="2025-02-07T05:00:00"/>
    <x v="98"/>
    <d v="2025-01-31T13:36:19"/>
    <m/>
    <m/>
    <m/>
    <m/>
    <m/>
    <s v=""/>
    <s v=""/>
    <n v="0"/>
    <n v="168.48857638888876"/>
    <n v="168.48857638888876"/>
    <n v="0"/>
    <n v="0"/>
    <n v="0"/>
    <n v="0"/>
    <n v="0"/>
    <n v="0"/>
    <n v="0"/>
    <n v="0"/>
    <n v="0"/>
    <n v="168.48857638888876"/>
    <n v="168.48857638888876"/>
    <n v="-9"/>
    <n v="1"/>
  </r>
  <r>
    <s v="Cases &amp; Composites"/>
    <s v="CAS-219517-S8Z0M4"/>
    <s v="Alexander Page"/>
    <s v="Complete"/>
    <s v="Resolved"/>
    <x v="0"/>
    <m/>
    <s v="24CCN72"/>
    <s v="Repair-EA"/>
    <x v="0"/>
    <x v="0"/>
    <x v="0"/>
    <s v="50%"/>
    <d v="2024-06-28T13:42:46"/>
    <d v="2025-04-04T04:00:00"/>
    <d v="2025-06-20T04:00:00"/>
    <x v="25"/>
    <d v="2025-06-02T15:03:13"/>
    <s v="Jun2025"/>
    <d v="2024-09-18T04:00:00"/>
    <d v="2024-11-25T05:00:00"/>
    <d v="2024-11-25T05:00:00"/>
    <d v="2025-03-21T04:00:00"/>
    <n v="68.041666666671517"/>
    <n v="115.95833333332848"/>
    <n v="184"/>
    <n v="338.59530092592468"/>
    <n v="154.59530092592468"/>
    <n v="33.950710416662332"/>
    <n v="0"/>
    <n v="0"/>
    <n v="0"/>
    <n v="6.1802273263892857"/>
    <n v="0"/>
    <n v="0"/>
    <n v="0"/>
    <n v="40.130937743051618"/>
    <n v="298.46436318287306"/>
    <n v="114.46436318287306"/>
    <n v="59"/>
    <n v="0"/>
  </r>
  <r>
    <s v="Cases &amp; Composites"/>
    <s v="CAS-225158-J7T3F7"/>
    <s v="Robert Thompson"/>
    <s v="Complete"/>
    <s v="Resolved"/>
    <x v="0"/>
    <m/>
    <s v="24CCL61A"/>
    <s v="Repair-EA"/>
    <x v="0"/>
    <x v="0"/>
    <x v="3"/>
    <m/>
    <d v="2024-08-26T13:50:59"/>
    <d v="2024-09-30T04:00:00"/>
    <d v="2024-08-30T04:00:00"/>
    <x v="94"/>
    <d v="2024-08-29T13:02:02"/>
    <m/>
    <m/>
    <m/>
    <m/>
    <m/>
    <s v=""/>
    <s v=""/>
    <n v="0"/>
    <n v="1.5895949074038072"/>
    <n v="1.5895949074038072"/>
    <n v="0"/>
    <n v="0"/>
    <n v="0"/>
    <n v="0"/>
    <n v="0"/>
    <n v="0"/>
    <n v="0"/>
    <n v="0"/>
    <n v="0"/>
    <n v="1.5895949074038072"/>
    <n v="1.5895949074038072"/>
    <n v="-33"/>
    <n v="1"/>
  </r>
  <r>
    <s v="Cases &amp; Composites"/>
    <s v="CAS-223026-M9D3R1"/>
    <s v="Ferdin Mustafa"/>
    <s v="Complete"/>
    <s v="Resolved"/>
    <x v="0"/>
    <m/>
    <s v="24AC072"/>
    <s v="Repair-EA"/>
    <x v="0"/>
    <x v="4"/>
    <x v="6"/>
    <s v="75%"/>
    <d v="2024-08-01T14:10:42"/>
    <d v="2024-12-02T05:00:00"/>
    <d v="2024-12-02T05:00:00"/>
    <x v="95"/>
    <d v="2024-09-30T18:32:50"/>
    <s v="Salesforce Case #02023024"/>
    <d v="2024-09-10T04:00:00"/>
    <d v="2024-09-12T04:00:00"/>
    <d v="2024-09-12T04:00:00"/>
    <d v="2024-09-12T04:00:00"/>
    <n v="2"/>
    <n v="0"/>
    <n v="2"/>
    <n v="59.5759027777749"/>
    <n v="57.5759027777749"/>
    <n v="19"/>
    <n v="0"/>
    <n v="0"/>
    <n v="0"/>
    <n v="0"/>
    <n v="0"/>
    <n v="0"/>
    <n v="0"/>
    <n v="19"/>
    <n v="40.5759027777749"/>
    <n v="38.5759027777749"/>
    <n v="-63.041666666671517"/>
    <n v="1"/>
  </r>
  <r>
    <s v="Cases &amp; Composites"/>
    <s v="CAS-226086-Y8D1X9"/>
    <s v="Alexander Page"/>
    <s v="Complete"/>
    <s v="Resolved"/>
    <x v="0"/>
    <m/>
    <s v="24VG150"/>
    <s v="Repair-EA"/>
    <x v="0"/>
    <x v="3"/>
    <x v="5"/>
    <m/>
    <d v="2024-09-02T07:50:20"/>
    <d v="2024-10-04T04:00:00"/>
    <d v="2024-10-31T04:00:00"/>
    <x v="180"/>
    <d v="2024-10-11T12:38:54"/>
    <s v="oct"/>
    <m/>
    <m/>
    <m/>
    <m/>
    <s v=""/>
    <s v=""/>
    <n v="0"/>
    <n v="31.84004629629635"/>
    <n v="31.84004629629635"/>
    <n v="0"/>
    <n v="1"/>
    <n v="0"/>
    <n v="0"/>
    <n v="0"/>
    <n v="0"/>
    <n v="0"/>
    <n v="0"/>
    <n v="1"/>
    <n v="30.84004629629635"/>
    <n v="30.84004629629635"/>
    <n v="0"/>
    <n v="1"/>
  </r>
  <r>
    <s v="Cases &amp; Composites"/>
    <s v="CAS-214994-P0X2T6"/>
    <s v="Jia Chen"/>
    <s v="Complete"/>
    <s v="Resolved"/>
    <x v="0"/>
    <m/>
    <s v="24KC574"/>
    <s v="Repair-EA"/>
    <x v="0"/>
    <x v="1"/>
    <x v="3"/>
    <s v="75%"/>
    <d v="2024-05-14T20:05:27"/>
    <d v="2025-02-07T05:00:00"/>
    <d v="2025-02-25T05:00:00"/>
    <x v="248"/>
    <d v="2025-02-03T15:54:46"/>
    <m/>
    <d v="2024-09-26T04:00:00"/>
    <d v="2024-12-06T05:00:00"/>
    <d v="2024-12-06T05:00:00"/>
    <d v="2025-01-21T05:00:00"/>
    <n v="71.041666666671517"/>
    <n v="46"/>
    <n v="117.04166666667152"/>
    <n v="264.37121527778072"/>
    <n v="147.3295486111092"/>
    <n v="68"/>
    <n v="0"/>
    <n v="0"/>
    <n v="0"/>
    <n v="0"/>
    <n v="34"/>
    <n v="0"/>
    <n v="0"/>
    <n v="102"/>
    <n v="162.37121527778072"/>
    <n v="45.329548611109203"/>
    <n v="-4"/>
    <n v="1"/>
  </r>
  <r>
    <s v="Cases &amp; Composites"/>
    <n v="97184"/>
    <s v="Ferdin Mustafa"/>
    <s v="Complete"/>
    <s v="Closed"/>
    <x v="0"/>
    <m/>
    <s v="24FC312"/>
    <s v="Repair-EA"/>
    <x v="1"/>
    <x v="2"/>
    <x v="2"/>
    <s v="75%"/>
    <d v="2023-03-01T05:00:00"/>
    <d v="2025-01-30T05:00:00"/>
    <d v="2025-03-20T04:00:00"/>
    <x v="292"/>
    <d v="2025-03-14T19:24:48"/>
    <s v="Mar2025 Commitment"/>
    <d v="2024-12-18T05:00:00"/>
    <d v="2025-01-17T05:00:00"/>
    <d v="2025-01-17T05:00:00"/>
    <d v="2025-01-17T05:00:00"/>
    <n v="30"/>
    <n v="0"/>
    <n v="30"/>
    <n v="743.95833333332848"/>
    <n v="713.95833333332848"/>
    <n v="5"/>
    <n v="0"/>
    <n v="0"/>
    <n v="0"/>
    <n v="0"/>
    <n v="0"/>
    <n v="0"/>
    <n v="0"/>
    <n v="5"/>
    <n v="738.95833333332848"/>
    <n v="708.95833333332848"/>
    <n v="42.958333333328483"/>
    <n v="0"/>
  </r>
  <r>
    <s v="Cases &amp; Composites"/>
    <s v="MSG-240905-06A993"/>
    <s v="Robert Thompson"/>
    <s v="Complete"/>
    <s v="Complete"/>
    <x v="0"/>
    <m/>
    <s v="16CCC15D"/>
    <s v="Repair-EA"/>
    <x v="3"/>
    <x v="0"/>
    <x v="8"/>
    <m/>
    <d v="2024-09-05T04:00:00"/>
    <d v="2024-12-31T05:00:00"/>
    <d v="2024-10-11T04:00:00"/>
    <x v="105"/>
    <d v="2024-09-20T17:36:16"/>
    <m/>
    <m/>
    <m/>
    <m/>
    <m/>
    <s v=""/>
    <s v=""/>
    <n v="0"/>
    <n v="15"/>
    <n v="15"/>
    <n v="0"/>
    <n v="0"/>
    <n v="0"/>
    <n v="0"/>
    <n v="0"/>
    <n v="0"/>
    <n v="0"/>
    <n v="0"/>
    <n v="0"/>
    <n v="15"/>
    <n v="15"/>
    <n v="-102.04166666667152"/>
    <n v="1"/>
  </r>
  <r>
    <s v="Cases &amp; Composites"/>
    <s v="CAS-227201-Y2T3R9"/>
    <s v="Orlando Melendez Colon"/>
    <s v="Complete"/>
    <s v="Resolved"/>
    <x v="0"/>
    <m/>
    <s v="24VG234"/>
    <s v="Repair-EA"/>
    <x v="0"/>
    <x v="3"/>
    <x v="5"/>
    <s v="75%"/>
    <d v="2024-09-12T02:37:31"/>
    <d v="2024-10-18T04:00:00"/>
    <d v="2024-10-18T04:00:00"/>
    <x v="232"/>
    <d v="2024-10-11T16:05:51"/>
    <s v="Oct"/>
    <m/>
    <m/>
    <m/>
    <m/>
    <s v=""/>
    <s v=""/>
    <n v="0"/>
    <n v="27.057280092587462"/>
    <n v="27.057280092587462"/>
    <n v="0"/>
    <n v="0"/>
    <n v="0"/>
    <n v="0"/>
    <n v="0"/>
    <n v="0"/>
    <n v="0"/>
    <n v="0"/>
    <n v="0"/>
    <n v="27.057280092587462"/>
    <n v="27.057280092587462"/>
    <n v="-9"/>
    <n v="1"/>
  </r>
  <r>
    <s v="Cases &amp; Composites"/>
    <s v="CAS-224787-K5S6S6"/>
    <s v="Tyler Abusbah"/>
    <s v="Complete"/>
    <s v="Resolved"/>
    <x v="0"/>
    <m/>
    <s v="24KC604"/>
    <s v="Repair-EA"/>
    <x v="0"/>
    <x v="1"/>
    <x v="3"/>
    <s v="75%"/>
    <d v="2024-08-20T08:53:24"/>
    <d v="2025-03-12T04:00:00"/>
    <d v="2025-03-26T04:00:00"/>
    <x v="178"/>
    <d v="2025-03-19T01:35:31"/>
    <s v="Mar2025"/>
    <d v="2024-10-07T04:00:00"/>
    <d v="2024-11-01T04:00:00"/>
    <d v="2024-11-01T04:00:00"/>
    <d v="2025-02-05T05:00:00"/>
    <n v="25"/>
    <n v="96.041666666671517"/>
    <n v="121.04166666667152"/>
    <n v="209.79624999999942"/>
    <n v="88.754583333327901"/>
    <n v="0"/>
    <n v="0"/>
    <n v="0"/>
    <n v="0"/>
    <n v="0"/>
    <n v="20"/>
    <n v="0"/>
    <n v="0"/>
    <n v="20"/>
    <n v="189.79624999999942"/>
    <n v="68.754583333327901"/>
    <n v="6"/>
    <n v="0"/>
  </r>
  <r>
    <s v="Cases &amp; Composites"/>
    <s v="CAS-225015-Y9H3F4"/>
    <s v="Jia Chen"/>
    <s v="Complete"/>
    <s v="Resolved"/>
    <x v="0"/>
    <m/>
    <s v="24KC619"/>
    <s v="Repair-EA"/>
    <x v="0"/>
    <x v="1"/>
    <x v="3"/>
    <s v="75%"/>
    <d v="2024-08-21T18:27:42"/>
    <d v="2025-02-27T05:00:00"/>
    <d v="2025-03-26T04:00:00"/>
    <x v="293"/>
    <d v="2025-03-26T19:58:20"/>
    <s v="Mar2025"/>
    <d v="2024-11-15T05:00:00"/>
    <d v="2024-12-06T05:00:00"/>
    <d v="2024-12-06T05:00:00"/>
    <d v="2025-01-14T05:00:00"/>
    <n v="21"/>
    <n v="39"/>
    <n v="60"/>
    <n v="216.397430555553"/>
    <n v="156.397430555553"/>
    <n v="0"/>
    <n v="1"/>
    <n v="0"/>
    <n v="0"/>
    <n v="0"/>
    <n v="0"/>
    <n v="0"/>
    <n v="0"/>
    <n v="1"/>
    <n v="215.397430555553"/>
    <n v="155.397430555553"/>
    <n v="26.958333333328483"/>
    <n v="0"/>
  </r>
  <r>
    <s v="Cases &amp; Composites"/>
    <s v="CAS-225777-T1N3V5"/>
    <s v="Orlando Melendez Colon"/>
    <s v="Complete"/>
    <s v="Resolved"/>
    <x v="0"/>
    <m/>
    <s v="24VG249"/>
    <s v="Repair-EA"/>
    <x v="0"/>
    <x v="3"/>
    <x v="5"/>
    <s v="75%"/>
    <d v="2024-08-29T07:48:11"/>
    <d v="2024-10-21T04:00:00"/>
    <d v="2024-10-22T04:00:00"/>
    <x v="294"/>
    <d v="2024-10-23T02:58:14"/>
    <m/>
    <d v="2024-10-14T04:00:00"/>
    <d v="2024-10-15T04:00:00"/>
    <d v="2024-10-15T04:00:00"/>
    <d v="2024-10-15T04:00:00"/>
    <n v="1"/>
    <n v="0"/>
    <n v="1"/>
    <n v="52.841539351851679"/>
    <n v="51.841539351851679"/>
    <n v="0"/>
    <n v="5"/>
    <n v="0"/>
    <n v="0"/>
    <n v="0"/>
    <n v="0"/>
    <n v="0"/>
    <n v="0"/>
    <n v="5"/>
    <n v="47.841539351851679"/>
    <n v="46.841539351851679"/>
    <n v="0"/>
    <n v="1"/>
  </r>
  <r>
    <s v="Cases &amp; Composites"/>
    <s v="MSG-250306-B96693"/>
    <s v="Francisco Astiasaran"/>
    <s v="Complete"/>
    <s v="Complete"/>
    <x v="0"/>
    <m/>
    <s v="08KCH83C"/>
    <s v="Repair-EA"/>
    <x v="3"/>
    <x v="1"/>
    <x v="3"/>
    <s v="75%"/>
    <d v="2025-03-05T05:00:00"/>
    <d v="2025-04-04T04:00:00"/>
    <d v="2025-03-26T04:00:00"/>
    <x v="51"/>
    <d v="2025-04-01T13:22:08"/>
    <m/>
    <d v="2025-03-06T05:00:00"/>
    <d v="2025-03-06T05:00:00"/>
    <d v="2025-03-06T05:00:00"/>
    <d v="2025-03-07T05:00:00"/>
    <n v="0"/>
    <n v="1"/>
    <n v="1"/>
    <n v="25.958333333328483"/>
    <n v="24.958333333328483"/>
    <n v="0"/>
    <n v="0"/>
    <n v="0"/>
    <n v="0"/>
    <n v="0"/>
    <n v="0"/>
    <n v="0"/>
    <n v="0"/>
    <n v="0"/>
    <n v="25.958333333328483"/>
    <n v="24.958333333328483"/>
    <n v="-4"/>
    <n v="1"/>
  </r>
  <r>
    <s v="Cases &amp; Composites"/>
    <s v="CAS-225939-W6R5R6"/>
    <s v="Orlando Melendez Colon"/>
    <s v="Complete"/>
    <s v="Resolved"/>
    <x v="0"/>
    <m/>
    <s v="24VG246"/>
    <s v="Repair-EA"/>
    <x v="0"/>
    <x v="3"/>
    <x v="5"/>
    <s v="75%"/>
    <d v="2024-08-30T09:12:22"/>
    <d v="2024-10-30T04:00:00"/>
    <d v="2024-10-30T04:00:00"/>
    <x v="278"/>
    <d v="2024-10-15T15:07:53"/>
    <m/>
    <m/>
    <m/>
    <m/>
    <m/>
    <s v=""/>
    <s v=""/>
    <n v="0"/>
    <n v="41.783078703701904"/>
    <n v="41.783078703701904"/>
    <n v="0"/>
    <n v="0"/>
    <n v="0"/>
    <n v="0"/>
    <n v="0"/>
    <n v="0"/>
    <n v="0"/>
    <n v="0"/>
    <n v="0"/>
    <n v="41.783078703701904"/>
    <n v="41.783078703701904"/>
    <n v="-19"/>
    <n v="1"/>
  </r>
  <r>
    <s v="Cases &amp; Composites"/>
    <s v="CAS-229652-K3R4P9"/>
    <s v="Francisco Astiasaran"/>
    <s v="Complete"/>
    <s v="Resolved"/>
    <x v="0"/>
    <m/>
    <s v="24CCR76"/>
    <s v="Repair-EA"/>
    <x v="0"/>
    <x v="0"/>
    <x v="10"/>
    <s v="75%"/>
    <d v="2024-10-03T14:59:36"/>
    <d v="2024-11-22T05:00:00"/>
    <d v="2025-01-17T05:00:00"/>
    <x v="84"/>
    <d v="2025-01-21T15:14:49"/>
    <s v="JAN. FanR-Blade"/>
    <d v="2025-01-02T05:00:00"/>
    <d v="2025-01-02T05:00:00"/>
    <d v="2025-01-02T05:00:00"/>
    <d v="2025-01-02T05:00:00"/>
    <n v="0"/>
    <n v="0"/>
    <n v="0"/>
    <n v="105.58361111111299"/>
    <n v="105.58361111111299"/>
    <n v="0"/>
    <n v="0"/>
    <n v="0"/>
    <n v="0"/>
    <n v="0"/>
    <n v="35.994589710644505"/>
    <n v="0"/>
    <n v="0"/>
    <n v="35.994589710644505"/>
    <n v="69.589021400468482"/>
    <n v="69.589021400468482"/>
    <n v="56"/>
    <n v="0"/>
  </r>
  <r>
    <s v="Cases &amp; Composites"/>
    <s v="CAS-230158-S1G6F8"/>
    <s v="Ferdin Mustafa"/>
    <s v="Complete"/>
    <s v="Resolved"/>
    <x v="0"/>
    <m/>
    <s v="24KC618"/>
    <s v="Repair-EA"/>
    <x v="0"/>
    <x v="1"/>
    <x v="1"/>
    <s v="75%"/>
    <d v="2024-10-08T20:21:08"/>
    <d v="2025-02-28T05:00:00"/>
    <d v="2025-02-28T05:00:00"/>
    <x v="182"/>
    <d v="2024-11-18T18:58:46"/>
    <s v="Customer assembly kit date/need by for engine build Nov. 13, 2024."/>
    <d v="2024-10-25T04:00:00"/>
    <d v="2024-10-31T04:00:00"/>
    <d v="2024-10-31T04:00:00"/>
    <d v="2024-11-04T05:00:00"/>
    <n v="6"/>
    <n v="4.0416666666715173"/>
    <n v="10.041666666671517"/>
    <n v="37.360324074077653"/>
    <n v="27.318657407406135"/>
    <n v="0"/>
    <n v="0"/>
    <n v="0"/>
    <n v="0"/>
    <n v="0"/>
    <n v="0"/>
    <n v="0"/>
    <n v="0"/>
    <n v="0"/>
    <n v="37.360324074077653"/>
    <n v="27.318657407406135"/>
    <n v="-105"/>
    <n v="1"/>
  </r>
  <r>
    <s v="Cases &amp; Composites"/>
    <s v="MSG-241010-C82DF5"/>
    <s v="Brian K Holland"/>
    <s v="Complete"/>
    <s v="Complete"/>
    <x v="0"/>
    <m/>
    <s v="20CCC67C"/>
    <s v="Repair-EA"/>
    <x v="2"/>
    <x v="0"/>
    <x v="8"/>
    <m/>
    <d v="2024-10-10T04:00:00"/>
    <d v="2024-11-07T05:00:00"/>
    <d v="2024-11-07T05:00:00"/>
    <x v="216"/>
    <d v="2024-11-08T16:14:24"/>
    <s v="Remove proprietary repair from CIR and place in MR"/>
    <m/>
    <m/>
    <m/>
    <m/>
    <s v=""/>
    <s v=""/>
    <n v="0"/>
    <n v="27.041666666671517"/>
    <n v="27.041666666671517"/>
    <n v="0"/>
    <n v="0"/>
    <n v="0"/>
    <n v="0"/>
    <n v="0"/>
    <n v="0"/>
    <n v="0"/>
    <n v="0"/>
    <n v="0"/>
    <n v="27.041666666671517"/>
    <n v="27.041666666671517"/>
    <n v="-1"/>
    <n v="1"/>
  </r>
  <r>
    <s v="Cases &amp; Composites"/>
    <s v="CAS-223200-J2D1S5"/>
    <s v="Alexander Page"/>
    <s v="Complete"/>
    <s v="Resolved"/>
    <x v="0"/>
    <m/>
    <s v="24CCS70"/>
    <s v="Repair-EA"/>
    <x v="0"/>
    <x v="0"/>
    <x v="0"/>
    <s v="50%"/>
    <d v="2024-08-02T21:14:07"/>
    <d v="2025-04-30T04:00:00"/>
    <d v="2025-06-30T04:00:00"/>
    <x v="295"/>
    <d v="2025-06-24T20:38:15"/>
    <s v="JUN2025"/>
    <d v="2024-11-07T05:00:00"/>
    <d v="2024-11-22T05:00:00"/>
    <d v="2024-11-22T05:00:00"/>
    <d v="2025-03-17T04:00:00"/>
    <n v="15"/>
    <n v="114.95833333332848"/>
    <n v="129.95833333332848"/>
    <n v="325.2818634259238"/>
    <n v="195.32353009259532"/>
    <n v="9.9405341435194714"/>
    <n v="0"/>
    <n v="0"/>
    <n v="0"/>
    <n v="0"/>
    <n v="0"/>
    <n v="0"/>
    <n v="0"/>
    <n v="9.9405341435194714"/>
    <n v="315.34132928240433"/>
    <n v="185.38299594907585"/>
    <n v="55"/>
    <n v="0"/>
  </r>
  <r>
    <s v="Cases &amp; Composites"/>
    <s v="CAS-230106-W9F5G7"/>
    <s v="Ferdin Mustafa"/>
    <s v="Complete"/>
    <s v="Active"/>
    <x v="0"/>
    <m/>
    <s v="24KC621"/>
    <s v="Repair-EA"/>
    <x v="0"/>
    <x v="1"/>
    <x v="3"/>
    <s v="75%"/>
    <d v="2024-10-08T12:39:33"/>
    <d v="2025-04-15T04:00:00"/>
    <d v="2025-02-07T05:00:00"/>
    <x v="248"/>
    <d v="2025-02-03T23:27:19"/>
    <m/>
    <d v="2024-11-25T05:00:00"/>
    <d v="2024-12-11T05:00:00"/>
    <d v="2024-12-11T05:00:00"/>
    <d v="2024-12-11T05:00:00"/>
    <n v="16"/>
    <n v="0"/>
    <n v="16"/>
    <n v="117.68086805555504"/>
    <n v="101.68086805555504"/>
    <n v="0"/>
    <n v="0"/>
    <n v="0"/>
    <n v="0"/>
    <n v="0"/>
    <n v="0"/>
    <n v="0"/>
    <n v="0"/>
    <n v="0"/>
    <n v="117.68086805555504"/>
    <n v="101.68086805555504"/>
    <n v="-70.958333333328483"/>
    <n v="1"/>
  </r>
  <r>
    <s v="Cases &amp; Composites"/>
    <s v="CAS-230250-S4Y6V8"/>
    <s v="Tyler Abusbah"/>
    <s v="Complete"/>
    <s v="Resolved"/>
    <x v="0"/>
    <m/>
    <s v="24CCS60"/>
    <s v="Repair-EA"/>
    <x v="0"/>
    <x v="0"/>
    <x v="8"/>
    <s v="75%"/>
    <d v="2024-10-09T13:10:40"/>
    <d v="2024-10-30T04:00:00"/>
    <d v="2024-10-30T04:00:00"/>
    <x v="37"/>
    <d v="2024-10-30T19:35:50"/>
    <s v="TIC Inner"/>
    <m/>
    <m/>
    <m/>
    <m/>
    <s v=""/>
    <s v=""/>
    <n v="0"/>
    <n v="20.6175925925927"/>
    <n v="20.6175925925927"/>
    <n v="0"/>
    <n v="0"/>
    <n v="0"/>
    <n v="0"/>
    <n v="0"/>
    <n v="0"/>
    <n v="0"/>
    <n v="0"/>
    <n v="0"/>
    <n v="20.6175925925927"/>
    <n v="20.6175925925927"/>
    <n v="0"/>
    <n v="1"/>
  </r>
  <r>
    <s v="Cases &amp; Composites"/>
    <s v="CAS-225165-P7D8R3"/>
    <s v="Orlando Melendez Colon"/>
    <s v="Complete"/>
    <s v="Resolved"/>
    <x v="0"/>
    <m/>
    <s v="24VG257"/>
    <s v="Repair-EA"/>
    <x v="0"/>
    <x v="3"/>
    <x v="5"/>
    <s v="75%"/>
    <d v="2024-08-22T20:50:05"/>
    <d v="2024-10-31T04:00:00"/>
    <d v="2024-10-31T04:00:00"/>
    <x v="37"/>
    <d v="2024-10-31T13:12:34"/>
    <m/>
    <m/>
    <m/>
    <m/>
    <m/>
    <s v=""/>
    <s v=""/>
    <n v="0"/>
    <n v="68.298553240740148"/>
    <n v="68.298553240740148"/>
    <n v="0"/>
    <n v="0"/>
    <n v="0"/>
    <n v="0"/>
    <n v="0"/>
    <n v="0"/>
    <n v="0"/>
    <n v="0"/>
    <n v="0"/>
    <n v="68.298553240740148"/>
    <n v="68.298553240740148"/>
    <n v="-1"/>
    <n v="1"/>
  </r>
  <r>
    <s v="Cases &amp; Composites"/>
    <n v="108939"/>
    <s v="Dean Catlett"/>
    <s v="Complete"/>
    <s v="Closed"/>
    <x v="0"/>
    <m/>
    <s v="24FC341"/>
    <s v="Repair-EA"/>
    <x v="0"/>
    <x v="2"/>
    <x v="2"/>
    <s v="75%"/>
    <d v="2024-10-14T04:00:00"/>
    <d v="2024-11-26T05:00:00"/>
    <d v="2024-11-26T05:00:00"/>
    <x v="216"/>
    <d v="2024-11-07T15:15:17"/>
    <s v="November 2024"/>
    <d v="2024-10-23T04:00:00"/>
    <d v="2024-10-23T04:00:00"/>
    <d v="2024-10-23T04:00:00"/>
    <d v="2024-10-30T04:00:00"/>
    <n v="0"/>
    <n v="7"/>
    <n v="7"/>
    <n v="23.041666666671517"/>
    <n v="16.041666666671517"/>
    <n v="0"/>
    <n v="0"/>
    <n v="0"/>
    <n v="0"/>
    <n v="0"/>
    <n v="0"/>
    <n v="0"/>
    <n v="0"/>
    <n v="0"/>
    <n v="23.041666666671517"/>
    <n v="16.041666666671517"/>
    <n v="-20"/>
    <n v="1"/>
  </r>
  <r>
    <s v="Cases &amp; Composites"/>
    <s v="CAS-226693-Q8W8M5"/>
    <s v="Jia Chen"/>
    <s v="Complete"/>
    <s v="Resolved"/>
    <x v="0"/>
    <m/>
    <s v="24KC681"/>
    <s v="Repair-EA"/>
    <x v="0"/>
    <x v="1"/>
    <x v="3"/>
    <s v="75%"/>
    <d v="2024-09-06T15:34:06"/>
    <d v="2025-02-28T05:00:00"/>
    <d v="2025-02-28T05:00:00"/>
    <x v="296"/>
    <d v="2025-02-10T15:54:39"/>
    <s v="STAGE 9 HPC CASE ASSEMBLY - W-SEAL FLANGE WEAR WELD REPAIR - 09KC807A Limit Extension"/>
    <d v="2024-12-13T05:00:00"/>
    <d v="2024-12-16T05:00:00"/>
    <d v="2024-12-16T05:00:00"/>
    <d v="2025-01-20T05:00:00"/>
    <n v="3"/>
    <n v="35"/>
    <n v="38"/>
    <n v="156.55965277778159"/>
    <n v="118.55965277778159"/>
    <n v="16"/>
    <n v="0"/>
    <n v="0"/>
    <n v="0"/>
    <n v="0"/>
    <n v="0"/>
    <n v="0"/>
    <n v="0"/>
    <n v="16"/>
    <n v="140.55965277778159"/>
    <n v="102.55965277778159"/>
    <n v="-18"/>
    <n v="1"/>
  </r>
  <r>
    <s v="Cases &amp; Composites"/>
    <n v="108936"/>
    <s v="Dean Catlett"/>
    <s v="Complete"/>
    <s v="Closed"/>
    <x v="0"/>
    <m/>
    <s v="24FC344"/>
    <s v="Repair-EA"/>
    <x v="0"/>
    <x v="2"/>
    <x v="2"/>
    <s v="75%"/>
    <d v="2024-10-14T04:00:00"/>
    <d v="2024-11-26T05:00:00"/>
    <d v="2024-11-26T05:00:00"/>
    <x v="216"/>
    <d v="2024-11-08T14:01:30"/>
    <s v="November 2024"/>
    <d v="2024-10-23T04:00:00"/>
    <d v="2024-10-28T04:00:00"/>
    <d v="2024-10-28T04:00:00"/>
    <d v="2024-10-30T04:00:00"/>
    <n v="5"/>
    <n v="2"/>
    <n v="7"/>
    <n v="23.041666666671517"/>
    <n v="16.041666666671517"/>
    <n v="0"/>
    <n v="0"/>
    <n v="0"/>
    <n v="0"/>
    <n v="0"/>
    <n v="0"/>
    <n v="0"/>
    <n v="0"/>
    <n v="0"/>
    <n v="23.041666666671517"/>
    <n v="16.041666666671517"/>
    <n v="-20"/>
    <n v="1"/>
  </r>
  <r>
    <s v="Cases &amp; Composites"/>
    <s v="CAS-231334-D9N4N5"/>
    <s v="Orlando Melendez Colon"/>
    <s v="Complete"/>
    <s v="Resolved"/>
    <x v="0"/>
    <m/>
    <s v="24VG261"/>
    <s v="Repair-EA"/>
    <x v="0"/>
    <x v="3"/>
    <x v="5"/>
    <s v="75%"/>
    <d v="2024-10-18T13:23:03"/>
    <d v="2025-04-03T04:00:00"/>
    <d v="2025-03-26T04:00:00"/>
    <x v="220"/>
    <d v="2025-03-25T02:16:16"/>
    <m/>
    <d v="2025-01-23T05:00:00"/>
    <d v="2025-02-05T05:00:00"/>
    <d v="2025-02-05T05:00:00"/>
    <d v="2025-02-05T05:00:00"/>
    <n v="13"/>
    <n v="0"/>
    <n v="13"/>
    <n v="156.60899305555358"/>
    <n v="143.60899305555358"/>
    <n v="0"/>
    <n v="46"/>
    <n v="0"/>
    <n v="0"/>
    <n v="0"/>
    <n v="0"/>
    <n v="0"/>
    <n v="5"/>
    <n v="51"/>
    <n v="105.60899305555358"/>
    <n v="92.608993055553583"/>
    <n v="-10"/>
    <n v="1"/>
  </r>
  <r>
    <s v="Cases &amp; Composites"/>
    <n v="109160"/>
    <s v="Brian K Holland"/>
    <s v="Complete"/>
    <s v="Closed"/>
    <x v="0"/>
    <m/>
    <s v="24FC343"/>
    <s v="Repair-EA"/>
    <x v="0"/>
    <x v="2"/>
    <x v="3"/>
    <m/>
    <d v="2024-10-23T04:00:00"/>
    <d v="2024-10-29T04:00:00"/>
    <d v="2024-10-29T04:00:00"/>
    <x v="215"/>
    <d v="2024-10-24T21:10:08"/>
    <m/>
    <m/>
    <m/>
    <m/>
    <m/>
    <s v=""/>
    <s v=""/>
    <n v="0"/>
    <n v="1"/>
    <n v="1"/>
    <n v="0"/>
    <n v="0"/>
    <n v="0"/>
    <n v="0"/>
    <n v="0"/>
    <n v="0"/>
    <n v="0"/>
    <n v="0"/>
    <n v="0"/>
    <n v="1"/>
    <n v="1"/>
    <n v="-5"/>
    <n v="1"/>
  </r>
  <r>
    <s v="Cases &amp; Composites"/>
    <s v="CAS-228149-N3K6R9"/>
    <s v="Tyler Abusbah"/>
    <s v="Complete"/>
    <s v="Resolved"/>
    <x v="0"/>
    <m/>
    <s v="24KC650"/>
    <s v="Repair-EA"/>
    <x v="0"/>
    <x v="1"/>
    <x v="3"/>
    <s v="50%"/>
    <d v="2024-09-19T17:43:54"/>
    <d v="2025-05-27T04:00:00"/>
    <d v="2025-06-12T04:00:00"/>
    <x v="25"/>
    <d v="2025-06-02T15:12:25"/>
    <s v="Jun2025"/>
    <d v="2024-11-15T05:00:00"/>
    <d v="2024-12-03T05:00:00"/>
    <d v="2024-12-03T05:00:00"/>
    <d v="2024-12-03T05:00:00"/>
    <n v="18"/>
    <n v="0"/>
    <n v="18"/>
    <n v="255.42784722222132"/>
    <n v="237.42784722222132"/>
    <n v="6"/>
    <n v="0"/>
    <n v="0"/>
    <n v="0"/>
    <n v="67"/>
    <n v="0"/>
    <n v="0"/>
    <n v="19"/>
    <n v="92"/>
    <n v="163.42784722222132"/>
    <n v="145.42784722222132"/>
    <n v="6"/>
    <n v="0"/>
  </r>
  <r>
    <s v="Cases &amp; Composites"/>
    <s v="CAS-231520-H7C1Q0"/>
    <s v="Francisco Astiasaran"/>
    <s v="Complete"/>
    <s v="Resolved"/>
    <x v="0"/>
    <m/>
    <s v="24KC691"/>
    <s v="Repair-EA"/>
    <x v="1"/>
    <x v="1"/>
    <x v="3"/>
    <s v="75%"/>
    <d v="2024-10-21T15:54:59"/>
    <d v="2025-02-07T05:00:00"/>
    <d v="2025-02-07T05:00:00"/>
    <x v="98"/>
    <d v="2025-01-31T13:36:24"/>
    <m/>
    <m/>
    <m/>
    <m/>
    <m/>
    <s v=""/>
    <s v=""/>
    <n v="0"/>
    <n v="99.545150462967285"/>
    <n v="99.545150462967285"/>
    <n v="0"/>
    <n v="0"/>
    <n v="0"/>
    <n v="0"/>
    <n v="0"/>
    <n v="0"/>
    <n v="0"/>
    <n v="0"/>
    <n v="0"/>
    <n v="99.545150462967285"/>
    <n v="99.545150462967285"/>
    <n v="-9"/>
    <n v="1"/>
  </r>
  <r>
    <s v="Cases &amp; Composites"/>
    <s v="CAS-188469-S2Y6D0"/>
    <s v="Orlando Melendez Colon"/>
    <s v="Complete"/>
    <s v="Resolved"/>
    <x v="0"/>
    <m/>
    <s v="24VG050"/>
    <s v="Repair-EA"/>
    <x v="0"/>
    <x v="3"/>
    <x v="5"/>
    <s v="75%"/>
    <d v="2023-08-09T09:26:15"/>
    <d v="2024-11-22T05:00:00"/>
    <d v="2024-12-11T05:00:00"/>
    <x v="297"/>
    <d v="2024-12-10T17:12:57"/>
    <s v="Dec"/>
    <d v="2024-10-29T04:00:00"/>
    <d v="2024-10-29T04:00:00"/>
    <d v="2024-10-29T04:00:00"/>
    <d v="2024-10-29T04:00:00"/>
    <n v="0"/>
    <n v="0"/>
    <n v="0"/>
    <n v="487.81510416667152"/>
    <n v="487.81510416667152"/>
    <n v="0"/>
    <n v="0"/>
    <n v="0"/>
    <n v="92"/>
    <n v="0"/>
    <n v="0"/>
    <n v="0"/>
    <n v="0"/>
    <n v="92"/>
    <n v="395.81510416667152"/>
    <n v="395.81510416667152"/>
    <n v="17"/>
    <n v="0"/>
  </r>
  <r>
    <s v="Cases &amp; Composites"/>
    <s v="CAS-228276-D1X1Q5"/>
    <s v="Tyler Abusbah"/>
    <s v="Complete"/>
    <s v="Resolved"/>
    <x v="0"/>
    <m/>
    <s v="24KC748"/>
    <s v="Repair-EA"/>
    <x v="0"/>
    <x v="1"/>
    <x v="3"/>
    <s v="75%"/>
    <d v="2024-09-20T13:27:53"/>
    <d v="2025-03-25T04:00:00"/>
    <d v="2025-04-22T04:00:00"/>
    <x v="298"/>
    <d v="2025-04-14T15:53:11"/>
    <s v="Apr2025"/>
    <d v="2025-01-31T05:00:00"/>
    <d v="2025-02-03T05:00:00"/>
    <d v="2025-02-03T05:00:00"/>
    <d v="2025-02-03T05:00:00"/>
    <n v="3"/>
    <n v="0"/>
    <n v="3"/>
    <n v="205.60563657407329"/>
    <n v="202.60563657407329"/>
    <n v="4"/>
    <n v="16"/>
    <n v="0"/>
    <n v="0"/>
    <n v="0"/>
    <n v="0"/>
    <n v="0"/>
    <n v="0"/>
    <n v="20"/>
    <n v="185.60563657407329"/>
    <n v="182.60563657407329"/>
    <n v="20"/>
    <n v="0"/>
  </r>
  <r>
    <s v="Cases &amp; Composites"/>
    <s v="CAS-231944-C2X6D7"/>
    <s v="Orlando Melendez Colon"/>
    <s v="Complete"/>
    <s v="Resolved"/>
    <x v="0"/>
    <m/>
    <s v="24VG264"/>
    <s v="Repair-EA"/>
    <x v="0"/>
    <x v="3"/>
    <x v="5"/>
    <s v="75%"/>
    <d v="2024-10-24T14:02:10"/>
    <d v="2025-03-28T04:00:00"/>
    <d v="2025-04-18T04:00:00"/>
    <x v="227"/>
    <d v="2025-04-16T14:19:40"/>
    <s v="April2025"/>
    <d v="2025-02-04T05:00:00"/>
    <d v="2025-02-13T05:00:00"/>
    <d v="2025-02-13T05:00:00"/>
    <d v="2025-03-21T04:00:00"/>
    <n v="9"/>
    <n v="35.958333333328483"/>
    <n v="44.958333333328483"/>
    <n v="172.58182870370365"/>
    <n v="127.62349537037517"/>
    <n v="0"/>
    <n v="65"/>
    <n v="0"/>
    <n v="0"/>
    <n v="0"/>
    <n v="3"/>
    <n v="0"/>
    <n v="0"/>
    <n v="68"/>
    <n v="104.58182870370365"/>
    <n v="59.623495370375167"/>
    <n v="18"/>
    <n v="0"/>
  </r>
  <r>
    <s v="Cases &amp; Composites"/>
    <s v="CAS-228292-B3Z6V9"/>
    <s v="Jia Chen"/>
    <s v="Complete"/>
    <s v="Resolved"/>
    <x v="0"/>
    <m/>
    <s v="24KC688"/>
    <s v="Repair-EA"/>
    <x v="0"/>
    <x v="1"/>
    <x v="3"/>
    <s v="50%"/>
    <d v="2024-09-20T14:54:03"/>
    <d v="2025-02-11T05:00:00"/>
    <d v="2025-02-26T05:00:00"/>
    <x v="135"/>
    <d v="2025-02-11T14:25:27"/>
    <s v="STAGE 9 HPC CASE - AFT FLANGE PLASMA COATING - REPAIR-15 LIMIT EXTENSION"/>
    <d v="2025-01-16T05:00:00"/>
    <d v="2025-01-22T05:00:00"/>
    <d v="2025-01-22T05:00:00"/>
    <d v="2025-01-27T05:00:00"/>
    <n v="6"/>
    <n v="5"/>
    <n v="11"/>
    <n v="143.58746527777839"/>
    <n v="132.58746527777839"/>
    <n v="4"/>
    <n v="8"/>
    <n v="1"/>
    <n v="5"/>
    <n v="8"/>
    <n v="0"/>
    <n v="0"/>
    <n v="0"/>
    <n v="26"/>
    <n v="117.58746527777839"/>
    <n v="106.58746527777839"/>
    <n v="0"/>
    <n v="1"/>
  </r>
  <r>
    <s v="Cases &amp; Composites"/>
    <s v="CAS-228918-D1V4L6"/>
    <s v="Jia Chen"/>
    <s v="Complete"/>
    <s v="Resolved"/>
    <x v="0"/>
    <m/>
    <s v="24KC676"/>
    <s v="Repair-EA"/>
    <x v="0"/>
    <x v="1"/>
    <x v="3"/>
    <s v="50%"/>
    <d v="2024-09-26T15:27:14"/>
    <d v="2025-03-26T04:00:00"/>
    <d v="2025-03-26T04:00:00"/>
    <x v="49"/>
    <d v="2025-03-19T20:16:43"/>
    <s v="Mar2025"/>
    <d v="2024-11-14T05:00:00"/>
    <d v="2024-11-14T05:00:00"/>
    <d v="2024-11-14T05:00:00"/>
    <d v="2025-02-12T05:00:00"/>
    <n v="0"/>
    <n v="90"/>
    <n v="90"/>
    <n v="173.52275462963007"/>
    <n v="83.522754629630072"/>
    <n v="0"/>
    <n v="0"/>
    <n v="0"/>
    <n v="0"/>
    <n v="0"/>
    <n v="0"/>
    <n v="0"/>
    <n v="0"/>
    <n v="0"/>
    <n v="173.52275462963007"/>
    <n v="83.522754629630072"/>
    <n v="-7"/>
    <n v="1"/>
  </r>
  <r>
    <s v="Cases &amp; Composites"/>
    <s v="CAS-232701-C5S6S9"/>
    <s v="Francisco Astiasaran"/>
    <s v="Complete"/>
    <s v="Resolved"/>
    <x v="0"/>
    <m/>
    <s v="14CC214H"/>
    <s v="Repair-EA"/>
    <x v="1"/>
    <x v="0"/>
    <x v="0"/>
    <s v="75%"/>
    <d v="2024-10-31T17:48:09"/>
    <d v="2025-03-21T04:00:00"/>
    <d v="2025-04-17T04:00:00"/>
    <x v="227"/>
    <d v="2025-04-16T13:27:55"/>
    <s v="Apr2025"/>
    <m/>
    <m/>
    <m/>
    <m/>
    <s v=""/>
    <s v=""/>
    <n v="0"/>
    <n v="165.42489583333372"/>
    <n v="165.42489583333372"/>
    <n v="0"/>
    <n v="0"/>
    <n v="0"/>
    <n v="0"/>
    <n v="0"/>
    <n v="0"/>
    <n v="0"/>
    <n v="0"/>
    <n v="0"/>
    <n v="165.42489583333372"/>
    <n v="165.42489583333372"/>
    <n v="25"/>
    <n v="0"/>
  </r>
  <r>
    <s v="Cases &amp; Composites"/>
    <s v="MSG-241105-D40671"/>
    <s v="Jia Chen"/>
    <s v="Complete"/>
    <s v="Complete"/>
    <x v="0"/>
    <m/>
    <s v="24CCF69A"/>
    <s v="Repair-EA"/>
    <x v="0"/>
    <x v="0"/>
    <x v="0"/>
    <m/>
    <d v="2024-11-05T05:00:00"/>
    <d v="2024-11-28T05:00:00"/>
    <d v="2024-11-28T05:00:00"/>
    <x v="187"/>
    <d v="2024-11-14T19:08:15"/>
    <s v="CAS-216972-Z8F0V0 (EA 24CCF69) Serial Number Correction"/>
    <m/>
    <m/>
    <m/>
    <m/>
    <s v=""/>
    <s v=""/>
    <n v="0"/>
    <n v="9"/>
    <n v="9"/>
    <n v="0"/>
    <n v="0"/>
    <n v="0"/>
    <n v="0"/>
    <n v="0"/>
    <n v="0"/>
    <n v="0"/>
    <n v="0"/>
    <n v="0"/>
    <n v="9"/>
    <n v="9"/>
    <n v="-14"/>
    <n v="1"/>
  </r>
  <r>
    <s v="Cases &amp; Composites"/>
    <s v="CAS-230126-H3F8N3"/>
    <s v="Jia Chen"/>
    <s v="Complete"/>
    <s v="Resolved"/>
    <x v="0"/>
    <m/>
    <s v="24CCV21"/>
    <s v="Repair-EA"/>
    <x v="0"/>
    <x v="0"/>
    <x v="0"/>
    <s v="75%"/>
    <d v="2024-10-08T14:41:24"/>
    <d v="2025-02-19T05:00:00"/>
    <d v="2025-02-20T05:00:00"/>
    <x v="255"/>
    <d v="2025-02-19T19:03:08"/>
    <m/>
    <d v="2024-11-13T05:00:00"/>
    <d v="2024-11-13T05:00:00"/>
    <d v="2024-11-13T05:00:00"/>
    <d v="2024-11-15T05:00:00"/>
    <n v="0"/>
    <n v="2"/>
    <n v="2"/>
    <n v="133.59625000000233"/>
    <n v="131.59625000000233"/>
    <n v="0"/>
    <n v="0"/>
    <n v="0"/>
    <n v="0"/>
    <n v="0"/>
    <n v="0"/>
    <n v="0"/>
    <n v="0"/>
    <n v="0"/>
    <n v="133.59625000000233"/>
    <n v="131.59625000000233"/>
    <n v="0"/>
    <n v="1"/>
  </r>
  <r>
    <s v="Cases &amp; Composites"/>
    <s v="CAS-232941-F9G7X6"/>
    <s v="Francisco Astiasaran"/>
    <s v="Complete"/>
    <s v="Resolved"/>
    <x v="0"/>
    <m/>
    <s v="24KC678"/>
    <s v="Repair-EA"/>
    <x v="1"/>
    <x v="1"/>
    <x v="3"/>
    <m/>
    <d v="2024-11-04T13:50:17"/>
    <d v="2025-02-07T05:00:00"/>
    <d v="2025-02-07T05:00:00"/>
    <x v="248"/>
    <d v="2025-02-03T14:25:12"/>
    <m/>
    <m/>
    <m/>
    <m/>
    <m/>
    <s v=""/>
    <s v=""/>
    <n v="0"/>
    <n v="90.63174768519093"/>
    <n v="90.63174768519093"/>
    <n v="0"/>
    <n v="0"/>
    <n v="0"/>
    <n v="0"/>
    <n v="0"/>
    <n v="0"/>
    <n v="0"/>
    <n v="0"/>
    <n v="0"/>
    <n v="90.63174768519093"/>
    <n v="90.63174768519093"/>
    <n v="-4"/>
    <n v="1"/>
  </r>
  <r>
    <s v="Cases &amp; Composites"/>
    <n v="109326"/>
    <s v="Ferdin Mustafa"/>
    <s v="Complete"/>
    <s v="Closed"/>
    <x v="0"/>
    <m/>
    <s v="24FC367"/>
    <s v="Repair-EA"/>
    <x v="1"/>
    <x v="2"/>
    <x v="2"/>
    <s v="75%"/>
    <d v="2024-11-01T04:00:00"/>
    <d v="2025-07-07T04:00:00"/>
    <d v="2025-07-07T04:00:00"/>
    <x v="241"/>
    <d v="2025-02-26T19:52:27"/>
    <s v="February"/>
    <m/>
    <m/>
    <m/>
    <m/>
    <s v=""/>
    <s v=""/>
    <n v="0"/>
    <n v="117.04166666667152"/>
    <n v="117.04166666667152"/>
    <n v="0"/>
    <n v="0"/>
    <n v="0"/>
    <n v="0"/>
    <n v="0"/>
    <n v="0"/>
    <n v="0"/>
    <n v="0"/>
    <n v="0"/>
    <n v="117.04166666667152"/>
    <n v="117.04166666667152"/>
    <n v="-130.95833333332848"/>
    <n v="1"/>
  </r>
  <r>
    <s v="Cases &amp; Composites"/>
    <s v="CAS-233720-S0Y7Q4"/>
    <s v="Francisco Astiasaran"/>
    <s v="Complete"/>
    <s v="Resolved"/>
    <x v="0"/>
    <m/>
    <s v="17CC373B"/>
    <s v="Repair-EA"/>
    <x v="1"/>
    <x v="0"/>
    <x v="0"/>
    <s v="75%"/>
    <d v="2024-11-12T14:26:08"/>
    <d v="2025-02-20T05:00:00"/>
    <d v="2025-02-20T05:00:00"/>
    <x v="241"/>
    <d v="2025-03-03T12:08:09"/>
    <m/>
    <m/>
    <m/>
    <m/>
    <m/>
    <s v=""/>
    <s v=""/>
    <n v="0"/>
    <n v="105.60685185185139"/>
    <n v="105.60685185185139"/>
    <n v="0"/>
    <n v="0"/>
    <n v="0"/>
    <n v="0"/>
    <n v="0"/>
    <n v="0"/>
    <n v="0"/>
    <n v="0"/>
    <n v="0"/>
    <n v="105.60685185185139"/>
    <n v="105.60685185185139"/>
    <n v="6"/>
    <n v="0"/>
  </r>
  <r>
    <s v="Cases &amp; Composites"/>
    <s v="CAS-233872-Z4P1L6"/>
    <s v="Francisco Astiasaran"/>
    <s v="Complete"/>
    <s v="Resolved"/>
    <x v="0"/>
    <m/>
    <s v="24CCW42"/>
    <s v="Repair-EA"/>
    <x v="0"/>
    <x v="0"/>
    <x v="8"/>
    <s v="75%"/>
    <d v="2024-11-13T11:05:21"/>
    <d v="2024-12-23T05:00:00"/>
    <d v="2025-01-10T05:00:00"/>
    <x v="10"/>
    <d v="2025-01-27T15:15:25"/>
    <m/>
    <d v="2024-12-17T05:00:00"/>
    <d v="2024-12-20T05:00:00"/>
    <d v="2024-12-20T05:00:00"/>
    <d v="2024-12-20T05:00:00"/>
    <n v="3"/>
    <n v="0"/>
    <n v="3"/>
    <n v="71.746284722226846"/>
    <n v="68.746284722226846"/>
    <n v="0"/>
    <n v="0"/>
    <n v="0"/>
    <n v="0"/>
    <n v="0"/>
    <n v="0"/>
    <n v="0"/>
    <n v="0"/>
    <n v="0"/>
    <n v="71.746284722226846"/>
    <n v="68.746284722226846"/>
    <n v="32"/>
    <n v="0"/>
  </r>
  <r>
    <s v="Cases &amp; Composites"/>
    <s v="CAS-227281-Q5D3L9"/>
    <s v="Bruce Zoyaar"/>
    <s v="Complete"/>
    <s v="Resolved"/>
    <x v="0"/>
    <m/>
    <s v="25KC061"/>
    <s v="Repair-EA"/>
    <x v="0"/>
    <x v="1"/>
    <x v="3"/>
    <m/>
    <d v="2024-09-12T09:32:58"/>
    <d v="2025-04-07T04:00:00"/>
    <d v="2025-04-30T04:00:00"/>
    <x v="271"/>
    <d v="2025-04-29T00:55:18"/>
    <s v="April - 2025 - RSL"/>
    <d v="2025-02-06T05:00:00"/>
    <d v="2025-02-13T05:00:00"/>
    <d v="2025-02-13T05:00:00"/>
    <d v="2025-03-17T04:00:00"/>
    <n v="7"/>
    <n v="31.958333333328483"/>
    <n v="38.958333333328483"/>
    <n v="227.76877314814919"/>
    <n v="188.81043981482071"/>
    <n v="0"/>
    <n v="0"/>
    <n v="0"/>
    <n v="0"/>
    <n v="0"/>
    <n v="0"/>
    <n v="0"/>
    <n v="0"/>
    <n v="0"/>
    <n v="227.76877314814919"/>
    <n v="188.81043981482071"/>
    <n v="21"/>
    <n v="0"/>
  </r>
  <r>
    <s v="Cases &amp; Composites"/>
    <s v="CAS-234153-M1T2C8"/>
    <s v="Francisco Astiasaran"/>
    <s v="Complete"/>
    <s v="Resolved"/>
    <x v="0"/>
    <m/>
    <s v="24KC715"/>
    <s v="Repair-EA"/>
    <x v="0"/>
    <x v="1"/>
    <x v="3"/>
    <m/>
    <d v="2024-11-14T15:50:45"/>
    <d v="2024-12-06T05:00:00"/>
    <d v="2024-12-06T05:00:00"/>
    <x v="228"/>
    <d v="2024-11-26T16:57:11"/>
    <m/>
    <m/>
    <m/>
    <m/>
    <m/>
    <s v=""/>
    <s v=""/>
    <n v="0"/>
    <n v="11.548090277778101"/>
    <n v="11.548090277778101"/>
    <n v="0"/>
    <n v="2"/>
    <n v="0"/>
    <n v="0"/>
    <n v="0"/>
    <n v="0"/>
    <n v="0"/>
    <n v="0"/>
    <n v="2"/>
    <n v="9.5480902777781012"/>
    <n v="9.5480902777781012"/>
    <n v="-10"/>
    <n v="1"/>
  </r>
  <r>
    <s v="Cases &amp; Composites"/>
    <s v="CAS-231645-Y6Q0Z3"/>
    <s v="Jia Chen"/>
    <s v="Complete"/>
    <s v="Resolved"/>
    <x v="0"/>
    <m/>
    <s v="24KC736"/>
    <s v="Repair-EA"/>
    <x v="0"/>
    <x v="1"/>
    <x v="3"/>
    <s v="75%"/>
    <d v="2024-10-22T13:10:50"/>
    <d v="2025-02-13T05:00:00"/>
    <d v="2025-02-28T05:00:00"/>
    <x v="248"/>
    <d v="2025-02-04T21:08:18"/>
    <m/>
    <d v="2024-12-11T05:00:00"/>
    <d v="2024-12-16T05:00:00"/>
    <d v="2024-12-16T05:00:00"/>
    <d v="2025-01-10T05:00:00"/>
    <n v="5"/>
    <n v="25"/>
    <n v="30"/>
    <n v="103.65914351851825"/>
    <n v="73.659143518518249"/>
    <n v="6"/>
    <n v="0"/>
    <n v="0"/>
    <n v="0"/>
    <n v="0"/>
    <n v="0"/>
    <n v="0"/>
    <n v="0"/>
    <n v="6"/>
    <n v="97.659143518518249"/>
    <n v="67.659143518518249"/>
    <n v="-10"/>
    <n v="1"/>
  </r>
  <r>
    <s v="Cases &amp; Composites"/>
    <s v="CAS-233181-H6K3G6"/>
    <s v="Orlando Melendez Colon"/>
    <s v="Complete"/>
    <s v="Resolved"/>
    <x v="0"/>
    <m/>
    <s v="25VG050"/>
    <s v="Repair-EA"/>
    <x v="0"/>
    <x v="3"/>
    <x v="5"/>
    <s v="75%"/>
    <d v="2024-11-06T08:51:15"/>
    <d v="2025-05-27T04:00:00"/>
    <d v="2025-04-30T04:00:00"/>
    <x v="250"/>
    <d v="2025-04-23T16:40:49"/>
    <s v="April2025"/>
    <d v="2025-03-06T05:00:00"/>
    <d v="2025-03-06T05:00:00"/>
    <d v="2025-03-06T05:00:00"/>
    <d v="2025-03-06T05:00:00"/>
    <n v="0"/>
    <n v="0"/>
    <n v="0"/>
    <n v="166.79774305555475"/>
    <n v="166.79774305555475"/>
    <n v="0"/>
    <n v="39"/>
    <n v="0"/>
    <n v="0"/>
    <n v="0"/>
    <n v="38"/>
    <n v="0"/>
    <n v="0"/>
    <n v="77"/>
    <n v="89.797743055554747"/>
    <n v="89.797743055554747"/>
    <n v="-35"/>
    <n v="1"/>
  </r>
  <r>
    <s v="Cases &amp; Composites"/>
    <s v="CAS-226540-J9M2J2"/>
    <s v="Jia Chen"/>
    <s v="Complete"/>
    <s v="Resolved"/>
    <x v="0"/>
    <m/>
    <s v="24VC391"/>
    <s v="Repair-EA"/>
    <x v="0"/>
    <x v="3"/>
    <x v="3"/>
    <s v="50%"/>
    <d v="2024-09-05T13:11:17"/>
    <d v="2025-02-27T05:00:00"/>
    <d v="2025-02-27T05:00:00"/>
    <x v="46"/>
    <d v="2025-02-21T16:10:57"/>
    <m/>
    <d v="2024-12-19T05:00:00"/>
    <d v="2025-01-06T05:00:00"/>
    <d v="2025-01-06T05:00:00"/>
    <d v="2025-01-16T05:00:00"/>
    <n v="18"/>
    <n v="10"/>
    <n v="28"/>
    <n v="168.65883101851796"/>
    <n v="140.65883101851796"/>
    <n v="33"/>
    <n v="0"/>
    <n v="0"/>
    <n v="0"/>
    <n v="0"/>
    <n v="12"/>
    <n v="0"/>
    <n v="0"/>
    <n v="45"/>
    <n v="123.65883101851796"/>
    <n v="95.658831018517958"/>
    <n v="-6"/>
    <n v="1"/>
  </r>
  <r>
    <s v="Cases &amp; Composites"/>
    <s v="CAS-235581-Z0Z1V4"/>
    <s v="Francisco Astiasaran"/>
    <s v="Complete"/>
    <s v="Resolved"/>
    <x v="0"/>
    <m/>
    <s v="25KC021"/>
    <s v="Repair-EA"/>
    <x v="1"/>
    <x v="1"/>
    <x v="3"/>
    <m/>
    <d v="2024-11-27T18:37:03"/>
    <d v="2025-02-20T05:00:00"/>
    <d v="2025-02-20T05:00:00"/>
    <x v="248"/>
    <d v="2025-02-03T19:31:01"/>
    <m/>
    <m/>
    <m/>
    <m/>
    <m/>
    <s v=""/>
    <s v=""/>
    <n v="0"/>
    <n v="67.432604166671808"/>
    <n v="67.432604166671808"/>
    <n v="0"/>
    <n v="0"/>
    <n v="0"/>
    <n v="0"/>
    <n v="0"/>
    <n v="0"/>
    <n v="0"/>
    <n v="0"/>
    <n v="0"/>
    <n v="67.432604166671808"/>
    <n v="67.432604166671808"/>
    <n v="-17"/>
    <n v="1"/>
  </r>
  <r>
    <s v="Cases &amp; Composites"/>
    <s v="CAS-229260-K7V5G2"/>
    <s v="Alexander Page"/>
    <s v="Complete"/>
    <s v="Resolved"/>
    <x v="0"/>
    <m/>
    <s v="24CCX68"/>
    <s v="Repair-EA"/>
    <x v="0"/>
    <x v="0"/>
    <x v="0"/>
    <s v="50%"/>
    <d v="2024-09-30T20:12:58"/>
    <d v="2025-04-04T04:00:00"/>
    <d v="2025-06-30T04:00:00"/>
    <x v="295"/>
    <d v="2025-06-25T19:43:23"/>
    <s v="Jun2025 DIFFUSER INNER CASE ASSEMBLY - INNER CASE WALL - WELD REPAIR (VENDOR APPLICATION) "/>
    <d v="2025-01-09T05:00:00"/>
    <d v="2025-01-14T05:00:00"/>
    <d v="2025-01-14T05:00:00"/>
    <d v="2025-02-19T05:00:00"/>
    <n v="5"/>
    <n v="36"/>
    <n v="41"/>
    <n v="266.32432870370394"/>
    <n v="225.32432870370394"/>
    <n v="34.711134548611881"/>
    <n v="0"/>
    <n v="0"/>
    <n v="0"/>
    <n v="0"/>
    <n v="0"/>
    <n v="0"/>
    <n v="0"/>
    <n v="34.711134548611881"/>
    <n v="231.61319415509206"/>
    <n v="190.61319415509206"/>
    <n v="81"/>
    <n v="0"/>
  </r>
  <r>
    <s v="Cases &amp; Composites"/>
    <s v="CAS-235235-W5C8S1"/>
    <s v="Orlando Melendez Colon"/>
    <s v="Complete"/>
    <s v="Resolved"/>
    <x v="0"/>
    <m/>
    <s v="24VG277"/>
    <s v="Repair-EA"/>
    <x v="0"/>
    <x v="3"/>
    <x v="5"/>
    <s v="75%"/>
    <d v="2024-11-25T08:22:46"/>
    <d v="2024-12-18T05:00:00"/>
    <d v="2024-12-18T05:00:00"/>
    <x v="188"/>
    <d v="2024-12-19T14:06:17"/>
    <m/>
    <m/>
    <m/>
    <m/>
    <m/>
    <s v=""/>
    <s v=""/>
    <n v="0"/>
    <n v="21.859189814815181"/>
    <n v="21.859189814815181"/>
    <n v="0"/>
    <n v="0"/>
    <n v="0"/>
    <n v="0"/>
    <n v="0"/>
    <n v="0"/>
    <n v="0"/>
    <n v="0"/>
    <n v="0"/>
    <n v="21.859189814815181"/>
    <n v="21.859189814815181"/>
    <n v="-1"/>
    <n v="1"/>
  </r>
  <r>
    <s v="Cases &amp; Composites"/>
    <s v="CAS-235649-X2K2F5"/>
    <s v="Orlando Melendez Colon"/>
    <s v="Complete"/>
    <s v="Resolved"/>
    <x v="0"/>
    <m/>
    <s v="24VG282"/>
    <s v="Repair-EA"/>
    <x v="0"/>
    <x v="3"/>
    <x v="4"/>
    <s v="50%"/>
    <d v="2024-11-28T10:33:22"/>
    <d v="2024-12-18T05:00:00"/>
    <d v="2025-01-24T05:00:00"/>
    <x v="181"/>
    <d v="2025-01-16T13:54:04"/>
    <m/>
    <m/>
    <m/>
    <m/>
    <m/>
    <s v=""/>
    <s v=""/>
    <n v="0"/>
    <n v="47.768495370371966"/>
    <n v="47.768495370371966"/>
    <n v="0"/>
    <n v="0"/>
    <n v="0"/>
    <n v="0"/>
    <n v="0"/>
    <n v="0"/>
    <n v="0"/>
    <n v="0"/>
    <n v="0"/>
    <n v="47.768495370371966"/>
    <n v="47.768495370371966"/>
    <n v="28"/>
    <n v="0"/>
  </r>
  <r>
    <s v="Cases &amp; Composites"/>
    <s v="CAS-235912-H9V1N6"/>
    <s v="Orlando Melendez Colon"/>
    <s v="Complete"/>
    <s v="Resolved"/>
    <x v="0"/>
    <m/>
    <s v="24VG280"/>
    <s v="Repair-EA"/>
    <x v="0"/>
    <x v="3"/>
    <x v="5"/>
    <s v="75%"/>
    <d v="2024-12-02T13:24:16"/>
    <d v="2024-12-20T05:00:00"/>
    <d v="2024-12-20T05:00:00"/>
    <x v="188"/>
    <d v="2024-12-21T01:38:13"/>
    <m/>
    <d v="2024-12-10T05:00:00"/>
    <d v="2024-12-10T05:00:00"/>
    <d v="2024-12-10T05:00:00"/>
    <d v="2024-12-10T05:00:00"/>
    <n v="0"/>
    <n v="0"/>
    <n v="0"/>
    <n v="14.649814814816636"/>
    <n v="14.649814814816636"/>
    <n v="0"/>
    <n v="0"/>
    <n v="0"/>
    <n v="0"/>
    <n v="0"/>
    <n v="0"/>
    <n v="0"/>
    <n v="0"/>
    <n v="0"/>
    <n v="14.649814814816636"/>
    <n v="14.649814814816636"/>
    <n v="-3"/>
    <n v="1"/>
  </r>
  <r>
    <s v="Cases &amp; Composites"/>
    <s v="CAS-236908-Q6S5D8"/>
    <s v="Francisco Astiasaran"/>
    <s v="Complete"/>
    <s v="Resolved"/>
    <x v="0"/>
    <m/>
    <s v="24CCY60"/>
    <s v="Repair-EA"/>
    <x v="0"/>
    <x v="0"/>
    <x v="10"/>
    <s v="75%"/>
    <d v="2024-12-11T16:01:40"/>
    <d v="2025-01-17T05:00:00"/>
    <d v="2025-01-17T05:00:00"/>
    <x v="181"/>
    <d v="2025-01-15T20:42:11"/>
    <s v="JAN"/>
    <d v="2024-12-20T05:00:00"/>
    <d v="2025-01-02T05:00:00"/>
    <d v="2025-01-02T05:00:00"/>
    <d v="2025-01-02T05:00:00"/>
    <n v="13"/>
    <n v="0"/>
    <n v="13"/>
    <n v="34.540509259262762"/>
    <n v="21.540509259262762"/>
    <n v="0"/>
    <n v="0"/>
    <n v="0"/>
    <n v="0"/>
    <n v="0"/>
    <n v="0"/>
    <n v="0"/>
    <n v="0"/>
    <n v="0"/>
    <n v="34.540509259262762"/>
    <n v="21.540509259262762"/>
    <n v="-2"/>
    <n v="1"/>
  </r>
  <r>
    <s v="Cases &amp; Composites"/>
    <n v="109887"/>
    <s v="Jia Chen"/>
    <s v="Complete"/>
    <s v="Closed"/>
    <x v="0"/>
    <m/>
    <s v="24FC396"/>
    <s v="Repair-EA"/>
    <x v="0"/>
    <x v="2"/>
    <x v="3"/>
    <s v="75%"/>
    <d v="2024-12-02T05:00:00"/>
    <d v="2025-03-07T05:00:00"/>
    <d v="2025-03-07T05:00:00"/>
    <x v="135"/>
    <d v="2025-02-11T16:52:32"/>
    <m/>
    <d v="2025-01-14T05:00:00"/>
    <d v="2025-01-22T05:00:00"/>
    <d v="2025-01-22T05:00:00"/>
    <d v="2025-01-29T05:00:00"/>
    <n v="8"/>
    <n v="7"/>
    <n v="15"/>
    <n v="71"/>
    <n v="56"/>
    <n v="8"/>
    <n v="0"/>
    <n v="0"/>
    <n v="0"/>
    <n v="0"/>
    <n v="0"/>
    <n v="0"/>
    <n v="0"/>
    <n v="8"/>
    <n v="63"/>
    <n v="48"/>
    <n v="-24"/>
    <n v="1"/>
  </r>
  <r>
    <s v="Cases &amp; Composites"/>
    <s v="CAS-236655-K6R7K2"/>
    <s v="Orlando Melendez Colon"/>
    <s v="Complete"/>
    <s v="Resolved"/>
    <x v="0"/>
    <m/>
    <s v="25VG003"/>
    <s v="Repair-EA"/>
    <x v="0"/>
    <x v="3"/>
    <x v="5"/>
    <s v="75%"/>
    <d v="2024-12-10T05:30:48"/>
    <d v="2025-01-31T05:00:00"/>
    <d v="2025-02-18T05:00:00"/>
    <x v="270"/>
    <d v="2025-02-17T19:29:41"/>
    <m/>
    <d v="2025-01-22T05:00:00"/>
    <d v="2025-01-29T05:00:00"/>
    <d v="2025-01-29T05:00:00"/>
    <d v="2025-01-29T05:00:00"/>
    <n v="7"/>
    <n v="0"/>
    <n v="7"/>
    <n v="65.978611111117061"/>
    <n v="58.978611111117061"/>
    <n v="0"/>
    <n v="0"/>
    <n v="0"/>
    <n v="0"/>
    <n v="0"/>
    <n v="0"/>
    <n v="0"/>
    <n v="0"/>
    <n v="0"/>
    <n v="65.978611111117061"/>
    <n v="58.978611111117061"/>
    <n v="14"/>
    <n v="0"/>
  </r>
  <r>
    <s v="Cases &amp; Composites"/>
    <s v="CAS-230008-W3P2Z8"/>
    <s v="Alexander Page"/>
    <s v="Complete"/>
    <s v="Resolved"/>
    <x v="0"/>
    <m/>
    <s v="25KC003"/>
    <s v="Repair-EA"/>
    <x v="0"/>
    <x v="1"/>
    <x v="3"/>
    <s v="50%"/>
    <d v="2024-10-07T18:06:17"/>
    <d v="2025-07-18T04:00:00"/>
    <d v="2025-06-20T04:00:00"/>
    <x v="207"/>
    <d v="2025-06-17T20:12:58"/>
    <s v="JUN2025"/>
    <d v="2025-04-25T04:00:00"/>
    <d v="2025-05-02T04:00:00"/>
    <d v="2025-05-05T04:00:00"/>
    <d v="2025-05-08T04:00:00"/>
    <n v="7"/>
    <n v="3"/>
    <n v="10"/>
    <n v="252.41230324073695"/>
    <n v="242.41230324073695"/>
    <n v="19"/>
    <n v="0"/>
    <n v="15"/>
    <n v="0"/>
    <n v="0"/>
    <n v="3"/>
    <n v="0"/>
    <n v="0"/>
    <n v="37"/>
    <n v="215.41230324073695"/>
    <n v="205.41230324073695"/>
    <n v="-31"/>
    <n v="1"/>
  </r>
  <r>
    <s v="Cases &amp; Composites"/>
    <s v="CAS-231183-W9Z9D6"/>
    <s v="Jia Chen"/>
    <s v="Complete"/>
    <s v="Active"/>
    <x v="0"/>
    <m/>
    <s v="25KC170"/>
    <s v="Repair-EA"/>
    <x v="0"/>
    <x v="1"/>
    <x v="3"/>
    <s v="50%"/>
    <d v="2024-10-17T17:46:55"/>
    <d v="2025-04-17T04:00:00"/>
    <d v="2025-04-17T04:00:00"/>
    <x v="45"/>
    <d v="2025-03-25T18:37:00"/>
    <m/>
    <m/>
    <m/>
    <m/>
    <m/>
    <s v=""/>
    <s v=""/>
    <n v="0"/>
    <n v="158.42575231481169"/>
    <n v="158.42575231481169"/>
    <n v="16"/>
    <n v="36"/>
    <n v="0"/>
    <n v="0"/>
    <n v="0"/>
    <n v="0"/>
    <n v="0"/>
    <n v="0"/>
    <n v="52"/>
    <n v="106.42575231481169"/>
    <n v="106.42575231481169"/>
    <n v="-23"/>
    <n v="1"/>
  </r>
  <r>
    <s v="Cases &amp; Composites"/>
    <s v="CAS-231962-F8V8T4"/>
    <s v="Tyler Abusbah"/>
    <s v="Complete"/>
    <s v="Resolved"/>
    <x v="0"/>
    <m/>
    <s v="25KC057"/>
    <s v="Repair-EA"/>
    <x v="0"/>
    <x v="1"/>
    <x v="3"/>
    <s v="75%"/>
    <d v="2024-10-24T15:34:39"/>
    <d v="2025-05-12T04:00:00"/>
    <d v="2025-04-02T04:00:00"/>
    <x v="293"/>
    <d v="2025-03-26T19:52:32"/>
    <s v="Apr"/>
    <d v="2025-02-28T05:00:00"/>
    <d v="2025-02-28T05:00:00"/>
    <d v="2025-02-28T05:00:00"/>
    <d v="2025-02-28T05:00:00"/>
    <n v="0"/>
    <n v="0"/>
    <n v="0"/>
    <n v="152.51760416666366"/>
    <n v="152.51760416666366"/>
    <n v="16"/>
    <n v="0"/>
    <n v="0"/>
    <n v="0"/>
    <n v="0"/>
    <n v="0"/>
    <n v="0"/>
    <n v="0"/>
    <n v="16"/>
    <n v="136.51760416666366"/>
    <n v="136.51760416666366"/>
    <n v="-47"/>
    <n v="1"/>
  </r>
  <r>
    <s v="Cases &amp; Composites"/>
    <s v="CAS-234999-V0P6T0"/>
    <s v="Tyler Abusbah"/>
    <s v="Complete"/>
    <s v="Resolved"/>
    <x v="0"/>
    <m/>
    <s v="25KC099"/>
    <s v="Repair-EA"/>
    <x v="0"/>
    <x v="1"/>
    <x v="3"/>
    <s v="50%"/>
    <d v="2024-11-21T20:47:53"/>
    <d v="2025-05-12T04:00:00"/>
    <d v="2025-05-12T04:00:00"/>
    <x v="266"/>
    <d v="2025-04-22T13:36:16"/>
    <s v="Apr2025"/>
    <d v="2025-03-12T04:00:00"/>
    <d v="2025-03-12T04:00:00"/>
    <d v="2025-03-13T04:00:00"/>
    <d v="2025-03-14T04:00:00"/>
    <n v="0"/>
    <n v="1"/>
    <n v="1"/>
    <n v="150.30008101851854"/>
    <n v="149.30008101851854"/>
    <n v="14"/>
    <n v="0"/>
    <n v="0"/>
    <n v="0"/>
    <n v="0"/>
    <n v="0"/>
    <n v="0"/>
    <n v="0"/>
    <n v="14"/>
    <n v="136.30008101851854"/>
    <n v="135.30008101851854"/>
    <n v="-21"/>
    <n v="1"/>
  </r>
  <r>
    <s v="Cases &amp; Composites"/>
    <s v="CAS-236209-X2W7Y8"/>
    <s v="Alexander Page"/>
    <s v="Complete"/>
    <s v="Resolved"/>
    <x v="0"/>
    <m/>
    <s v="25KC032"/>
    <s v="Repair-EA"/>
    <x v="0"/>
    <x v="1"/>
    <x v="3"/>
    <s v="75%"/>
    <d v="2024-12-04T20:11:50"/>
    <d v="2025-06-27T04:00:00"/>
    <d v="2025-06-27T04:00:00"/>
    <x v="207"/>
    <d v="2025-06-18T14:54:51"/>
    <s v="JUN2025"/>
    <d v="2025-04-15T04:00:00"/>
    <d v="2025-04-15T04:00:00"/>
    <d v="2025-04-15T04:00:00"/>
    <d v="2025-04-22T04:00:00"/>
    <n v="0"/>
    <n v="7"/>
    <n v="7"/>
    <n v="194.32511574073578"/>
    <n v="187.32511574073578"/>
    <n v="0"/>
    <n v="0"/>
    <n v="0"/>
    <n v="0"/>
    <n v="0"/>
    <n v="0"/>
    <n v="0"/>
    <n v="0"/>
    <n v="0"/>
    <n v="194.32511574073578"/>
    <n v="187.32511574073578"/>
    <n v="-10"/>
    <n v="1"/>
  </r>
  <r>
    <s v="Cases &amp; Composites"/>
    <s v="CAS-237967-D6Z9L0"/>
    <s v="Francisco Astiasaran"/>
    <s v="Complete"/>
    <s v="Resolved"/>
    <x v="0"/>
    <m/>
    <s v="25CC029"/>
    <s v="Repair-EA"/>
    <x v="0"/>
    <x v="0"/>
    <x v="10"/>
    <m/>
    <d v="2024-12-20T16:45:42"/>
    <d v="2025-01-17T05:00:00"/>
    <d v="2025-01-17T05:00:00"/>
    <x v="181"/>
    <d v="2025-01-16T18:57:21"/>
    <s v="JAN"/>
    <d v="2025-01-07T05:00:00"/>
    <d v="2025-01-08T05:00:00"/>
    <d v="2025-01-08T05:00:00"/>
    <d v="2025-01-08T05:00:00"/>
    <n v="1"/>
    <n v="0"/>
    <n v="1"/>
    <n v="25.509930555555911"/>
    <n v="24.509930555555911"/>
    <n v="0"/>
    <n v="0"/>
    <n v="0"/>
    <n v="0"/>
    <n v="0"/>
    <n v="0"/>
    <n v="0"/>
    <n v="0"/>
    <n v="0"/>
    <n v="25.509930555555911"/>
    <n v="24.509930555555911"/>
    <n v="-2"/>
    <n v="1"/>
  </r>
  <r>
    <s v="Cases &amp; Composites"/>
    <s v="CAS-234344-V7Q0G9"/>
    <s v="Alexander Page"/>
    <s v="Complete"/>
    <s v="Resolved"/>
    <x v="0"/>
    <m/>
    <s v="25CC063"/>
    <s v="Repair-EA"/>
    <x v="0"/>
    <x v="0"/>
    <x v="0"/>
    <s v="75%"/>
    <d v="2024-11-15T19:57:33"/>
    <d v="2025-03-28T04:00:00"/>
    <d v="2025-06-30T04:00:00"/>
    <x v="295"/>
    <d v="2025-06-25T18:31:35"/>
    <s v="JUN2025"/>
    <d v="2025-02-06T05:00:00"/>
    <d v="2025-02-12T05:00:00"/>
    <d v="2025-02-12T05:00:00"/>
    <d v="2025-02-20T05:00:00"/>
    <n v="6"/>
    <n v="8"/>
    <n v="14"/>
    <n v="220.33503472222219"/>
    <n v="206.33503472222219"/>
    <n v="20.849426967593899"/>
    <n v="0"/>
    <n v="0"/>
    <n v="0"/>
    <n v="0"/>
    <n v="0"/>
    <n v="0"/>
    <n v="0"/>
    <n v="20.849426967593899"/>
    <n v="199.48560775462829"/>
    <n v="185.48560775462829"/>
    <n v="88"/>
    <n v="0"/>
  </r>
  <r>
    <s v="Cases &amp; Composites"/>
    <s v="CAS-234506-G1J1K4"/>
    <s v="Alexander Page"/>
    <s v="Complete"/>
    <s v="Resolved"/>
    <x v="0"/>
    <m/>
    <s v="25CC089"/>
    <s v="Repair-EA"/>
    <x v="0"/>
    <x v="0"/>
    <x v="0"/>
    <s v="75%"/>
    <d v="2024-11-18T14:30:10"/>
    <d v="2025-03-28T04:00:00"/>
    <d v="2025-06-30T04:00:00"/>
    <x v="295"/>
    <d v="2025-06-25T18:41:46"/>
    <s v="JUN2025"/>
    <d v="2025-02-06T05:00:00"/>
    <d v="2025-02-12T05:00:00"/>
    <d v="2025-02-12T05:00:00"/>
    <d v="2025-02-20T05:00:00"/>
    <n v="6"/>
    <n v="8"/>
    <n v="14"/>
    <n v="217.56238425925403"/>
    <n v="203.56238425925403"/>
    <n v="20.850135231477907"/>
    <n v="0"/>
    <n v="0"/>
    <n v="0"/>
    <n v="0"/>
    <n v="0"/>
    <n v="0"/>
    <n v="0"/>
    <n v="20.850135231477907"/>
    <n v="196.71224902777612"/>
    <n v="182.71224902777612"/>
    <n v="88"/>
    <n v="0"/>
  </r>
  <r>
    <s v="Cases &amp; Composites"/>
    <s v="CAS-238771-P8Q1L4"/>
    <s v="Francisco Astiasaran"/>
    <s v="Complete"/>
    <s v="Resolved"/>
    <x v="0"/>
    <m/>
    <s v="25KC060"/>
    <s v="Repair-EA"/>
    <x v="3"/>
    <x v="1"/>
    <x v="3"/>
    <s v="75%"/>
    <d v="2025-01-03T16:32:35"/>
    <d v="2025-02-04T05:00:00"/>
    <d v="2025-02-04T05:00:00"/>
    <x v="96"/>
    <d v="2025-01-30T21:32:36"/>
    <m/>
    <m/>
    <m/>
    <m/>
    <m/>
    <s v=""/>
    <s v=""/>
    <n v="0"/>
    <n v="26.519039351856918"/>
    <n v="26.519039351856918"/>
    <n v="0"/>
    <n v="0"/>
    <n v="0"/>
    <n v="0"/>
    <n v="0"/>
    <n v="0"/>
    <n v="0"/>
    <n v="0"/>
    <n v="0"/>
    <n v="26.519039351856918"/>
    <n v="26.519039351856918"/>
    <n v="-5"/>
    <n v="1"/>
  </r>
  <r>
    <s v="Cases &amp; Composites"/>
    <s v="CAS-236887-C2P5G8"/>
    <s v="Francisco Astiasaran"/>
    <s v="Complete"/>
    <s v="Resolved"/>
    <x v="0"/>
    <m/>
    <s v="25KC025"/>
    <s v="Repair-EA"/>
    <x v="1"/>
    <x v="1"/>
    <x v="3"/>
    <s v="75%"/>
    <d v="2024-12-11T13:56:25"/>
    <d v="2025-02-24T05:00:00"/>
    <d v="2025-02-24T05:00:00"/>
    <x v="223"/>
    <d v="2025-02-05T16:25:07"/>
    <m/>
    <m/>
    <m/>
    <m/>
    <m/>
    <s v=""/>
    <s v=""/>
    <n v="0"/>
    <n v="54.627488425925549"/>
    <n v="54.627488425925549"/>
    <n v="0"/>
    <n v="0"/>
    <n v="0"/>
    <n v="0"/>
    <n v="0"/>
    <n v="0"/>
    <n v="0"/>
    <n v="0"/>
    <n v="0"/>
    <n v="54.627488425925549"/>
    <n v="54.627488425925549"/>
    <n v="-20"/>
    <n v="1"/>
  </r>
  <r>
    <s v="Cases &amp; Composites"/>
    <s v="CAS-239061-Q1P1B4"/>
    <s v="Francisco Astiasaran"/>
    <s v="Complete"/>
    <s v="Resolved"/>
    <x v="0"/>
    <m/>
    <s v="25KC022"/>
    <s v="Repair-EA"/>
    <x v="0"/>
    <x v="1"/>
    <x v="3"/>
    <m/>
    <d v="2025-01-07T18:08:56"/>
    <d v="2025-03-03T05:00:00"/>
    <d v="2025-03-14T04:00:00"/>
    <x v="253"/>
    <d v="2025-03-10T20:27:21"/>
    <m/>
    <m/>
    <m/>
    <m/>
    <m/>
    <s v=""/>
    <s v=""/>
    <n v="0"/>
    <n v="61.410462962958263"/>
    <n v="61.410462962958263"/>
    <n v="0"/>
    <n v="0"/>
    <n v="0"/>
    <n v="0"/>
    <n v="0"/>
    <n v="0"/>
    <n v="0"/>
    <n v="0"/>
    <n v="0"/>
    <n v="61.410462962958263"/>
    <n v="61.410462962958263"/>
    <n v="6.9583333333284827"/>
    <n v="0"/>
  </r>
  <r>
    <s v="Cases &amp; Composites"/>
    <s v="CAS-234263-P5S9B5"/>
    <s v="Orlando Melendez Colon"/>
    <s v="Complete"/>
    <s v="Resolved"/>
    <x v="0"/>
    <m/>
    <s v="25VC020"/>
    <s v="Repair-EA"/>
    <x v="0"/>
    <x v="3"/>
    <x v="5"/>
    <s v="50%"/>
    <d v="2024-11-15T09:19:38"/>
    <d v="2025-04-18T04:00:00"/>
    <d v="2025-04-02T04:00:00"/>
    <x v="299"/>
    <d v="2025-04-03T02:14:17"/>
    <s v="April2025"/>
    <d v="2025-01-23T05:00:00"/>
    <d v="2025-01-23T05:00:00"/>
    <d v="2025-01-23T05:00:00"/>
    <d v="2025-01-29T05:00:00"/>
    <n v="0"/>
    <n v="6"/>
    <n v="6"/>
    <n v="137.77803240740468"/>
    <n v="131.77803240740468"/>
    <n v="0"/>
    <n v="0"/>
    <n v="0"/>
    <n v="0"/>
    <n v="0"/>
    <n v="0"/>
    <n v="0"/>
    <n v="3"/>
    <n v="3"/>
    <n v="134.77803240740468"/>
    <n v="128.77803240740468"/>
    <n v="-16"/>
    <n v="1"/>
  </r>
  <r>
    <s v="Cases &amp; Composites"/>
    <s v="CAS-236063-K6K9W7"/>
    <s v="Ferdin Mustafa"/>
    <s v="Complete"/>
    <s v="Resolved"/>
    <x v="0"/>
    <m/>
    <s v="25AC009"/>
    <s v="Repair-EA"/>
    <x v="1"/>
    <x v="4"/>
    <x v="6"/>
    <s v="75%"/>
    <d v="2024-12-03T16:34:56"/>
    <d v="2025-03-25T04:00:00"/>
    <d v="2025-03-25T04:00:00"/>
    <x v="51"/>
    <d v="2025-03-31T18:37:56"/>
    <s v="Mar2025"/>
    <d v="2025-03-26T04:00:00"/>
    <d v="2025-03-26T04:00:00"/>
    <d v="2025-03-26T04:00:00"/>
    <d v="2025-03-27T04:00:00"/>
    <n v="0"/>
    <n v="1"/>
    <n v="1"/>
    <n v="117.47574074073782"/>
    <n v="116.47574074073782"/>
    <n v="0"/>
    <n v="0"/>
    <n v="0"/>
    <n v="0"/>
    <n v="0"/>
    <n v="0"/>
    <n v="0"/>
    <n v="0"/>
    <n v="0"/>
    <n v="117.47574074073782"/>
    <n v="116.47574074073782"/>
    <n v="6"/>
    <n v="0"/>
  </r>
  <r>
    <s v="Cases &amp; Composites"/>
    <s v="CAS-234520-R7C0D7"/>
    <s v="Jia Chen"/>
    <s v="Complete"/>
    <s v="Resolved"/>
    <x v="0"/>
    <m/>
    <s v="25CC138"/>
    <s v="Repair-EA"/>
    <x v="0"/>
    <x v="0"/>
    <x v="0"/>
    <s v="75%"/>
    <d v="2024-11-18T16:05:01"/>
    <d v="2025-03-05T05:00:00"/>
    <d v="2025-02-20T05:00:00"/>
    <x v="255"/>
    <d v="2025-02-19T16:32:11"/>
    <s v="DIFFUSER INNER CASE ASSEMBLY - OUTER W-SEAL CHAMFER - BLEND REPAIR"/>
    <d v="2025-01-31T05:00:00"/>
    <d v="2025-01-31T05:00:00"/>
    <d v="2025-01-31T05:00:00"/>
    <d v="2025-02-05T05:00:00"/>
    <n v="0"/>
    <n v="5"/>
    <n v="5"/>
    <n v="92.538182870375749"/>
    <n v="87.538182870375749"/>
    <n v="41.703837013890734"/>
    <n v="0"/>
    <n v="0"/>
    <n v="0"/>
    <n v="0"/>
    <n v="0"/>
    <n v="1.0425310648206505"/>
    <n v="0"/>
    <n v="42.746368078711384"/>
    <n v="49.791814791664365"/>
    <n v="44.791814791664365"/>
    <n v="-14"/>
    <n v="1"/>
  </r>
  <r>
    <s v="Cases &amp; Composites"/>
    <s v="CAS-240193-H1P2V1"/>
    <s v="Francisco Astiasaran"/>
    <s v="Complete"/>
    <s v="Resolved"/>
    <x v="0"/>
    <m/>
    <s v="25KC052"/>
    <s v="Repair-EA"/>
    <x v="3"/>
    <x v="1"/>
    <x v="3"/>
    <s v="75%"/>
    <d v="2025-01-17T01:38:22"/>
    <d v="2025-02-14T05:00:00"/>
    <d v="2025-02-14T05:00:00"/>
    <x v="296"/>
    <d v="2025-02-10T20:36:46"/>
    <m/>
    <m/>
    <m/>
    <m/>
    <m/>
    <s v=""/>
    <s v=""/>
    <n v="0"/>
    <n v="24.140023148152977"/>
    <n v="24.140023148152977"/>
    <n v="0"/>
    <n v="0"/>
    <n v="0"/>
    <n v="0"/>
    <n v="0"/>
    <n v="0"/>
    <n v="0"/>
    <n v="0"/>
    <n v="0"/>
    <n v="24.140023148152977"/>
    <n v="24.140023148152977"/>
    <n v="-4"/>
    <n v="1"/>
  </r>
  <r>
    <s v="Cases &amp; Composites"/>
    <s v="MSG-250120-D51F5E"/>
    <s v="Francisco Astiasaran"/>
    <s v="Complete"/>
    <s v="Complete"/>
    <x v="0"/>
    <m/>
    <s v="25KC053"/>
    <s v="Repair-EA"/>
    <x v="3"/>
    <x v="1"/>
    <x v="3"/>
    <s v="75%"/>
    <d v="2025-01-20T05:00:00"/>
    <d v="2025-02-21T05:00:00"/>
    <d v="2025-02-21T05:00:00"/>
    <x v="240"/>
    <d v="2025-02-07T20:30:02"/>
    <m/>
    <m/>
    <m/>
    <m/>
    <m/>
    <s v=""/>
    <s v=""/>
    <n v="0"/>
    <n v="18"/>
    <n v="18"/>
    <n v="0"/>
    <n v="0"/>
    <n v="0"/>
    <n v="0"/>
    <n v="0"/>
    <n v="0"/>
    <n v="0"/>
    <n v="0"/>
    <n v="0"/>
    <n v="18"/>
    <n v="18"/>
    <n v="-14"/>
    <n v="1"/>
  </r>
  <r>
    <s v="Cases &amp; Composites"/>
    <s v="MSG-250122-033496"/>
    <s v="Jia Chen"/>
    <s v="Complete"/>
    <s v="Complete"/>
    <x v="0"/>
    <m/>
    <s v="24VC343A"/>
    <s v="Repair-EA"/>
    <x v="0"/>
    <x v="3"/>
    <x v="3"/>
    <m/>
    <d v="2025-01-22T05:00:00"/>
    <d v="2025-02-06T05:00:00"/>
    <d v="2025-02-06T05:00:00"/>
    <x v="10"/>
    <d v="2025-01-24T17:04:26"/>
    <s v="Typo Correction for CAS-225449-F6K8S2 (EA# 24VC343"/>
    <m/>
    <m/>
    <m/>
    <m/>
    <s v=""/>
    <s v=""/>
    <n v="0"/>
    <n v="2"/>
    <n v="2"/>
    <n v="0"/>
    <n v="0"/>
    <n v="0"/>
    <n v="0"/>
    <n v="0"/>
    <n v="0"/>
    <n v="0"/>
    <n v="0"/>
    <n v="0"/>
    <n v="2"/>
    <n v="2"/>
    <n v="-13"/>
    <n v="1"/>
  </r>
  <r>
    <s v="Cases &amp; Composites"/>
    <s v="CAS-238685-P6M7H3"/>
    <s v="Jia Chen"/>
    <s v="Complete"/>
    <s v="Resolved"/>
    <x v="0"/>
    <m/>
    <s v="25KC083"/>
    <s v="Repair-EA"/>
    <x v="0"/>
    <x v="1"/>
    <x v="3"/>
    <s v="75%"/>
    <d v="2025-01-02T22:10:23"/>
    <d v="2025-04-11T04:00:00"/>
    <d v="2025-04-11T04:00:00"/>
    <x v="300"/>
    <d v="2025-03-28T15:27:42"/>
    <m/>
    <d v="2025-02-25T05:00:00"/>
    <d v="2025-02-25T05:00:00"/>
    <d v="2025-02-25T05:00:00"/>
    <d v="2025-02-28T05:00:00"/>
    <n v="0"/>
    <n v="3"/>
    <n v="3"/>
    <n v="84.242789351847023"/>
    <n v="81.242789351847023"/>
    <n v="0"/>
    <n v="0"/>
    <n v="0"/>
    <n v="0"/>
    <n v="0"/>
    <n v="0"/>
    <n v="0"/>
    <n v="0"/>
    <n v="0"/>
    <n v="84.242789351847023"/>
    <n v="81.242789351847023"/>
    <n v="-14"/>
    <n v="1"/>
  </r>
  <r>
    <s v="Cases &amp; Composites"/>
    <s v="CAS-240883-L1Y8M0"/>
    <s v="Orlando Melendez Colon"/>
    <s v="Complete"/>
    <s v="Resolved"/>
    <x v="0"/>
    <m/>
    <s v="25VC031"/>
    <s v="Repair-EA"/>
    <x v="0"/>
    <x v="3"/>
    <x v="5"/>
    <s v="75%"/>
    <d v="2025-01-23T10:57:44"/>
    <d v="2025-02-26T05:00:00"/>
    <d v="2025-02-28T05:00:00"/>
    <x v="241"/>
    <d v="2025-02-26T20:00:41"/>
    <m/>
    <d v="2025-02-07T05:00:00"/>
    <d v="2025-02-07T05:00:00"/>
    <d v="2025-02-07T05:00:00"/>
    <d v="2025-02-11T05:00:00"/>
    <n v="0"/>
    <n v="4"/>
    <n v="4"/>
    <n v="33.751574074078235"/>
    <n v="29.751574074078235"/>
    <n v="0"/>
    <n v="4"/>
    <n v="0"/>
    <n v="0"/>
    <n v="0"/>
    <n v="0"/>
    <n v="0"/>
    <n v="0"/>
    <n v="4"/>
    <n v="29.751574074078235"/>
    <n v="25.751574074078235"/>
    <n v="0"/>
    <n v="1"/>
  </r>
  <r>
    <s v="Cases &amp; Composites"/>
    <s v="MSG-250123-87C0D4"/>
    <s v="Francisco Astiasaran"/>
    <s v="Complete"/>
    <s v="Complete"/>
    <x v="0"/>
    <m/>
    <s v="25KC084"/>
    <s v="Repair-EA"/>
    <x v="3"/>
    <x v="1"/>
    <x v="3"/>
    <s v="75%"/>
    <d v="2025-01-23T05:00:00"/>
    <d v="2025-02-26T05:00:00"/>
    <d v="2025-02-26T05:00:00"/>
    <x v="47"/>
    <d v="2025-02-18T15:33:26"/>
    <m/>
    <m/>
    <m/>
    <m/>
    <m/>
    <s v=""/>
    <s v=""/>
    <n v="0"/>
    <n v="26"/>
    <n v="26"/>
    <n v="0"/>
    <n v="0"/>
    <n v="0"/>
    <n v="0"/>
    <n v="0"/>
    <n v="0"/>
    <n v="0"/>
    <n v="0"/>
    <n v="0"/>
    <n v="26"/>
    <n v="26"/>
    <n v="-8"/>
    <n v="1"/>
  </r>
  <r>
    <s v="Cases &amp; Composites"/>
    <s v="CAS-233677-R7R4G2"/>
    <s v="Jia Chen"/>
    <s v="Complete"/>
    <s v="Resolved"/>
    <x v="0"/>
    <m/>
    <s v="25VC040"/>
    <s v="Repair-EA"/>
    <x v="0"/>
    <x v="3"/>
    <x v="5"/>
    <s v="50%"/>
    <d v="2024-11-11T13:18:46"/>
    <d v="2025-03-26T04:00:00"/>
    <d v="2025-03-26T04:00:00"/>
    <x v="292"/>
    <d v="2025-03-14T20:03:11"/>
    <s v="Mar2025"/>
    <d v="2025-02-05T05:00:00"/>
    <d v="2025-02-14T05:00:00"/>
    <d v="2025-02-14T05:00:00"/>
    <d v="2025-02-17T05:00:00"/>
    <n v="9"/>
    <n v="3"/>
    <n v="12"/>
    <n v="122.61196759258746"/>
    <n v="110.61196759258746"/>
    <n v="4"/>
    <n v="0"/>
    <n v="0"/>
    <n v="0"/>
    <n v="0"/>
    <n v="0"/>
    <n v="0"/>
    <n v="0"/>
    <n v="4"/>
    <n v="118.61196759258746"/>
    <n v="106.61196759258746"/>
    <n v="-12"/>
    <n v="1"/>
  </r>
  <r>
    <s v="Cases &amp; Composites"/>
    <s v="CAS-239994-P3G5F7"/>
    <s v="Francisco Astiasaran"/>
    <s v="Complete"/>
    <s v="Resolved"/>
    <x v="0"/>
    <m/>
    <s v="25CC486"/>
    <s v="Repair-EA"/>
    <x v="0"/>
    <x v="0"/>
    <x v="3"/>
    <s v="75%"/>
    <d v="2025-01-15T14:48:17"/>
    <d v="2025-03-31T04:00:00"/>
    <d v="2025-03-31T04:00:00"/>
    <x v="45"/>
    <d v="2025-03-25T18:33:36"/>
    <m/>
    <m/>
    <m/>
    <m/>
    <m/>
    <s v=""/>
    <s v=""/>
    <n v="0"/>
    <n v="68.549803240741312"/>
    <n v="68.549803240741312"/>
    <n v="0"/>
    <n v="0"/>
    <n v="0"/>
    <n v="0"/>
    <n v="0"/>
    <n v="0"/>
    <n v="0"/>
    <n v="0"/>
    <n v="0"/>
    <n v="68.549803240741312"/>
    <n v="68.549803240741312"/>
    <n v="-6"/>
    <n v="1"/>
  </r>
  <r>
    <s v="Cases &amp; Composites"/>
    <s v="CAS-241095-H9J7W3"/>
    <s v="Francisco Astiasaran"/>
    <s v="Complete"/>
    <s v="Resolved"/>
    <x v="0"/>
    <m/>
    <s v="25CC209"/>
    <s v="Repair-EA"/>
    <x v="0"/>
    <x v="0"/>
    <x v="0"/>
    <m/>
    <d v="2025-01-24T20:22:03"/>
    <d v="2025-02-11T05:00:00"/>
    <d v="2025-02-11T05:00:00"/>
    <x v="135"/>
    <d v="2025-02-11T19:14:17"/>
    <m/>
    <m/>
    <m/>
    <m/>
    <m/>
    <s v=""/>
    <s v=""/>
    <n v="0"/>
    <n v="17.359687500000291"/>
    <n v="17.359687500000291"/>
    <n v="0"/>
    <n v="0"/>
    <n v="0"/>
    <n v="0"/>
    <n v="0"/>
    <n v="0"/>
    <n v="0"/>
    <n v="0"/>
    <n v="0"/>
    <n v="17.359687500000291"/>
    <n v="17.359687500000291"/>
    <n v="0"/>
    <n v="1"/>
  </r>
  <r>
    <s v="Cases &amp; Composites"/>
    <s v="CAS-241096-N7M6J7"/>
    <s v="Francisco Astiasaran"/>
    <s v="Complete"/>
    <s v="Resolved"/>
    <x v="0"/>
    <m/>
    <s v="25CC212"/>
    <s v="Repair-EA"/>
    <x v="0"/>
    <x v="0"/>
    <x v="11"/>
    <m/>
    <d v="2025-01-24T20:26:19"/>
    <d v="2025-02-21T05:00:00"/>
    <d v="2025-02-21T05:00:00"/>
    <x v="46"/>
    <d v="2025-02-21T21:04:16"/>
    <m/>
    <d v="2025-02-05T05:00:00"/>
    <d v="2025-02-10T05:00:00"/>
    <d v="2025-02-10T05:00:00"/>
    <d v="2025-02-10T05:00:00"/>
    <n v="5"/>
    <n v="0"/>
    <n v="5"/>
    <n v="27.356724537035916"/>
    <n v="22.356724537035916"/>
    <n v="0"/>
    <n v="0"/>
    <n v="0"/>
    <n v="0"/>
    <n v="0"/>
    <n v="0"/>
    <n v="0"/>
    <n v="0"/>
    <n v="0"/>
    <n v="27.356724537035916"/>
    <n v="22.356724537035916"/>
    <n v="0"/>
    <n v="1"/>
  </r>
  <r>
    <s v="Cases &amp; Composites"/>
    <s v="CAS-241572-F5G8T2"/>
    <s v="Francisco Astiasaran"/>
    <s v="Complete"/>
    <s v="Resolved"/>
    <x v="0"/>
    <m/>
    <s v="23CCF32A"/>
    <s v="Repair-EA"/>
    <x v="1"/>
    <x v="0"/>
    <x v="0"/>
    <s v="75%"/>
    <d v="2025-01-30T10:04:02"/>
    <d v="2025-05-30T04:00:00"/>
    <d v="2025-06-13T04:00:00"/>
    <x v="269"/>
    <d v="2025-06-17T13:30:05"/>
    <s v="Jun2025"/>
    <m/>
    <m/>
    <m/>
    <m/>
    <s v=""/>
    <s v=""/>
    <n v="0"/>
    <n v="136.74719907407416"/>
    <n v="136.74719907407416"/>
    <n v="0"/>
    <n v="0"/>
    <n v="0"/>
    <n v="0"/>
    <n v="0"/>
    <n v="0"/>
    <n v="0"/>
    <n v="0"/>
    <n v="0"/>
    <n v="136.74719907407416"/>
    <n v="136.74719907407416"/>
    <n v="17"/>
    <n v="0"/>
  </r>
  <r>
    <s v="Cases &amp; Composites"/>
    <s v="CAS-240174-X4Z2Z1"/>
    <s v="Alexander Page"/>
    <s v="Complete"/>
    <s v="Resolved"/>
    <x v="0"/>
    <m/>
    <s v="25KC109"/>
    <s v="Repair-EA"/>
    <x v="0"/>
    <x v="1"/>
    <x v="3"/>
    <s v="75%"/>
    <d v="2025-01-16T20:33:49"/>
    <d v="2025-07-01T04:00:00"/>
    <d v="2025-05-30T04:00:00"/>
    <x v="16"/>
    <d v="2025-05-27T21:43:39"/>
    <s v="may2025"/>
    <d v="2025-04-17T04:00:00"/>
    <d v="2025-04-17T04:00:00"/>
    <d v="2025-04-17T04:00:00"/>
    <d v="2025-04-25T04:00:00"/>
    <n v="0"/>
    <n v="8"/>
    <n v="8"/>
    <n v="130.30984953703592"/>
    <n v="122.30984953703592"/>
    <n v="0"/>
    <n v="0"/>
    <n v="0"/>
    <n v="0"/>
    <n v="0"/>
    <n v="0"/>
    <n v="0"/>
    <n v="0"/>
    <n v="0"/>
    <n v="130.30984953703592"/>
    <n v="122.30984953703592"/>
    <n v="-35"/>
    <n v="1"/>
  </r>
  <r>
    <s v="Cases &amp; Composites"/>
    <s v="CAS-241634-W6K5S0"/>
    <s v="Jia Chen"/>
    <s v="Complete"/>
    <s v="Resolved"/>
    <x v="0"/>
    <m/>
    <s v="25KC106"/>
    <s v="Repair-EA"/>
    <x v="0"/>
    <x v="1"/>
    <x v="3"/>
    <s v="75%"/>
    <d v="2025-01-30T21:59:26"/>
    <d v="2025-05-08T04:00:00"/>
    <d v="2025-04-17T04:00:00"/>
    <x v="26"/>
    <d v="2025-03-27T19:17:23"/>
    <m/>
    <d v="2025-03-07T05:00:00"/>
    <d v="2025-03-07T05:00:00"/>
    <d v="2025-03-07T05:00:00"/>
    <d v="2025-03-13T04:00:00"/>
    <n v="0"/>
    <n v="5.9583333333284827"/>
    <n v="5.9583333333284827"/>
    <n v="55.250393518515921"/>
    <n v="49.292060185187438"/>
    <n v="0"/>
    <n v="0"/>
    <n v="0"/>
    <n v="0"/>
    <n v="0"/>
    <n v="0"/>
    <n v="0"/>
    <n v="0"/>
    <n v="0"/>
    <n v="55.250393518515921"/>
    <n v="49.292060185187438"/>
    <n v="-42"/>
    <n v="1"/>
  </r>
  <r>
    <s v="Cases &amp; Composites"/>
    <s v="CAS-241713-X0S5K8"/>
    <s v="Francisco Astiasaran"/>
    <s v="Complete"/>
    <s v="Resolved"/>
    <x v="0"/>
    <m/>
    <s v="24KC299A"/>
    <s v="Repair-EA"/>
    <x v="3"/>
    <x v="1"/>
    <x v="3"/>
    <s v="75%"/>
    <d v="2025-01-31T19:17:19"/>
    <d v="2025-03-31T04:00:00"/>
    <d v="2025-04-18T04:00:00"/>
    <x v="267"/>
    <d v="2025-04-24T14:46:53"/>
    <s v="Apr2025"/>
    <m/>
    <m/>
    <m/>
    <m/>
    <s v=""/>
    <s v=""/>
    <n v="0"/>
    <n v="82.362974537034461"/>
    <n v="82.362974537034461"/>
    <n v="0"/>
    <n v="0"/>
    <n v="0"/>
    <n v="0"/>
    <n v="0"/>
    <n v="0"/>
    <n v="0"/>
    <n v="0"/>
    <n v="0"/>
    <n v="82.362974537034461"/>
    <n v="82.362974537034461"/>
    <n v="24"/>
    <n v="0"/>
  </r>
  <r>
    <s v="Cases &amp; Composites"/>
    <s v="CAS-239036-W5Q5P3"/>
    <s v="Ferdin Mustafa"/>
    <s v="Complete"/>
    <s v="Resolved"/>
    <x v="0"/>
    <m/>
    <s v="25KC312"/>
    <s v="Repair-EA"/>
    <x v="0"/>
    <x v="1"/>
    <x v="3"/>
    <m/>
    <d v="2025-01-07T14:24:32"/>
    <d v="2025-06-09T04:00:00"/>
    <d v="2025-08-08T04:00:00"/>
    <x v="260"/>
    <d v="2025-07-30T19:55:44"/>
    <s v="RSL"/>
    <d v="2025-05-15T04:00:00"/>
    <d v="2025-05-15T04:00:00"/>
    <d v="2025-06-24T04:00:00"/>
    <d v="2025-06-25T04:00:00"/>
    <n v="0"/>
    <n v="1"/>
    <n v="1"/>
    <n v="203.56629629629606"/>
    <n v="202.56629629629606"/>
    <n v="12"/>
    <n v="0"/>
    <n v="0"/>
    <n v="0"/>
    <n v="21"/>
    <n v="0"/>
    <n v="17"/>
    <n v="0"/>
    <n v="50"/>
    <n v="153.56629629629606"/>
    <n v="152.56629629629606"/>
    <n v="51"/>
    <n v="0"/>
  </r>
  <r>
    <s v="Cases &amp; Composites"/>
    <s v="CAS-238573-K7Z9L6"/>
    <s v="Francisco Astiasaran"/>
    <s v="Complete"/>
    <s v="Resolved"/>
    <x v="0"/>
    <m/>
    <s v="25CC381"/>
    <s v="Repair-EA"/>
    <x v="0"/>
    <x v="0"/>
    <x v="0"/>
    <s v="25%"/>
    <d v="2024-12-31T16:14:11"/>
    <d v="2025-03-14T04:00:00"/>
    <d v="2025-03-14T04:00:00"/>
    <x v="45"/>
    <d v="2025-03-26T13:22:52"/>
    <s v="Mar2025"/>
    <d v="2025-02-21T05:00:00"/>
    <d v="2025-02-24T05:00:00"/>
    <d v="2025-02-24T05:00:00"/>
    <d v="2025-02-24T05:00:00"/>
    <n v="3"/>
    <n v="0"/>
    <n v="3"/>
    <n v="83.490150462959718"/>
    <n v="80.490150462959718"/>
    <n v="0"/>
    <n v="0"/>
    <n v="0"/>
    <n v="0"/>
    <n v="0"/>
    <n v="0"/>
    <n v="0"/>
    <n v="0"/>
    <n v="0"/>
    <n v="83.490150462959718"/>
    <n v="80.490150462959718"/>
    <n v="11"/>
    <n v="0"/>
  </r>
  <r>
    <s v="Cases &amp; Composites"/>
    <s v="CAS-242294-N6T8Z7"/>
    <s v="Francisco Astiasaran"/>
    <s v="Complete"/>
    <s v="Resolved"/>
    <x v="0"/>
    <m/>
    <s v="25CC550"/>
    <s v="Repair-EA"/>
    <x v="1"/>
    <x v="0"/>
    <x v="0"/>
    <s v="75%"/>
    <d v="2025-02-06T15:09:34"/>
    <d v="2025-04-11T04:00:00"/>
    <d v="2025-06-06T04:00:00"/>
    <x v="238"/>
    <d v="2025-06-05T13:59:37"/>
    <s v="Jun2025"/>
    <m/>
    <m/>
    <m/>
    <m/>
    <s v=""/>
    <s v=""/>
    <n v="0"/>
    <n v="118.5350231481425"/>
    <n v="118.5350231481425"/>
    <n v="0"/>
    <n v="0"/>
    <n v="0"/>
    <n v="0"/>
    <n v="0"/>
    <n v="35.049358553245838"/>
    <n v="0"/>
    <n v="0"/>
    <n v="35.049358553245838"/>
    <n v="83.485664594896662"/>
    <n v="83.485664594896662"/>
    <n v="55"/>
    <n v="0"/>
  </r>
  <r>
    <s v="Cases &amp; Composites"/>
    <s v="CAS-243355-S6L3L7"/>
    <s v="Francisco Astiasaran"/>
    <s v="Complete"/>
    <s v="Resolved"/>
    <x v="0"/>
    <m/>
    <s v="25CC209A"/>
    <s v="Repair-EA"/>
    <x v="0"/>
    <x v="0"/>
    <x v="11"/>
    <m/>
    <d v="2025-02-17T13:42:15"/>
    <d v="2025-02-25T05:00:00"/>
    <d v="2025-02-25T05:00:00"/>
    <x v="235"/>
    <d v="2025-02-28T20:24:30"/>
    <m/>
    <m/>
    <m/>
    <m/>
    <m/>
    <s v=""/>
    <s v=""/>
    <n v="0"/>
    <n v="10.637326388889051"/>
    <n v="10.637326388889051"/>
    <n v="0"/>
    <n v="0"/>
    <n v="0"/>
    <n v="0"/>
    <n v="0"/>
    <n v="0"/>
    <n v="0"/>
    <n v="0"/>
    <n v="0"/>
    <n v="10.637326388889051"/>
    <n v="10.637326388889051"/>
    <n v="3"/>
    <n v="0"/>
  </r>
  <r>
    <s v="Cases &amp; Composites"/>
    <s v="CAS-242922-K3T7B9"/>
    <s v="Francisco Astiasaran"/>
    <s v="Complete"/>
    <s v="Resolved"/>
    <x v="0"/>
    <m/>
    <s v="23FC181A"/>
    <s v="Repair-EA"/>
    <x v="1"/>
    <x v="2"/>
    <x v="3"/>
    <s v="50%"/>
    <d v="2025-02-12T16:05:50"/>
    <d v="2025-03-28T04:00:00"/>
    <d v="2025-06-20T04:00:00"/>
    <x v="301"/>
    <d v="2025-06-26T15:18:09"/>
    <s v="Jun2025"/>
    <m/>
    <m/>
    <m/>
    <m/>
    <s v=""/>
    <s v=""/>
    <n v="0"/>
    <n v="132.495949074073"/>
    <n v="132.495949074073"/>
    <n v="0"/>
    <n v="0"/>
    <n v="0"/>
    <n v="0"/>
    <n v="0"/>
    <n v="0"/>
    <n v="0"/>
    <n v="0"/>
    <n v="0"/>
    <n v="132.495949074073"/>
    <n v="132.495949074073"/>
    <n v="89"/>
    <n v="0"/>
  </r>
  <r>
    <s v="Cases &amp; Composites"/>
    <s v="CAS-242924-M2N8L5"/>
    <s v="Francisco Astiasaran"/>
    <s v="Complete"/>
    <s v="Resolved"/>
    <x v="0"/>
    <m/>
    <s v="22AC041D"/>
    <s v="Repair-EA"/>
    <x v="1"/>
    <x v="4"/>
    <x v="6"/>
    <s v="50%"/>
    <d v="2025-02-12T16:12:07"/>
    <d v="2025-03-28T04:00:00"/>
    <d v="2025-06-20T04:00:00"/>
    <x v="301"/>
    <d v="2025-06-26T15:44:54"/>
    <s v="Jun2025"/>
    <m/>
    <m/>
    <m/>
    <m/>
    <s v=""/>
    <s v=""/>
    <n v="0"/>
    <n v="132.4915856481457"/>
    <n v="132.4915856481457"/>
    <n v="0"/>
    <n v="0"/>
    <n v="0"/>
    <n v="0"/>
    <n v="0"/>
    <n v="0"/>
    <n v="0"/>
    <n v="0"/>
    <n v="0"/>
    <n v="132.4915856481457"/>
    <n v="132.4915856481457"/>
    <n v="89"/>
    <n v="0"/>
  </r>
  <r>
    <s v="Cases &amp; Composites"/>
    <s v="CAS-242945-L9X4Z5"/>
    <s v="Francisco Astiasaran"/>
    <s v="Complete"/>
    <s v="Resolved"/>
    <x v="0"/>
    <m/>
    <s v="25CC395"/>
    <s v="Repair-EA"/>
    <x v="0"/>
    <x v="0"/>
    <x v="0"/>
    <s v="75%"/>
    <d v="2025-02-12T20:43:10"/>
    <d v="2025-04-08T04:00:00"/>
    <d v="2025-04-08T04:00:00"/>
    <x v="254"/>
    <d v="2025-04-08T15:17:27"/>
    <m/>
    <d v="2025-02-26T05:00:00"/>
    <d v="2025-02-28T05:00:00"/>
    <d v="2025-02-28T05:00:00"/>
    <d v="2025-03-11T04:00:00"/>
    <n v="2"/>
    <n v="10.958333333328483"/>
    <n v="12.958333333328483"/>
    <n v="53.30335648147593"/>
    <n v="40.345023148147448"/>
    <n v="0"/>
    <n v="0"/>
    <n v="0"/>
    <n v="0"/>
    <n v="0"/>
    <n v="0"/>
    <n v="0"/>
    <n v="0"/>
    <n v="0"/>
    <n v="53.30335648147593"/>
    <n v="40.345023148147448"/>
    <n v="-1"/>
    <n v="1"/>
  </r>
  <r>
    <s v="Cases &amp; Composites"/>
    <s v="CAS-225544-W7W6T8"/>
    <s v="Francisco Astiasaran"/>
    <s v="Complete"/>
    <s v="Active"/>
    <x v="0"/>
    <m/>
    <s v="09KC556B"/>
    <s v="Repair-EA"/>
    <x v="1"/>
    <x v="1"/>
    <x v="3"/>
    <s v="75%"/>
    <d v="2024-08-27T10:59:35"/>
    <d v="2025-04-25T04:00:00"/>
    <d v="2025-05-09T04:00:00"/>
    <x v="157"/>
    <d v="2025-05-12T19:00:54"/>
    <s v="May2025"/>
    <m/>
    <m/>
    <m/>
    <m/>
    <s v=""/>
    <s v=""/>
    <n v="0"/>
    <n v="257.70862268518249"/>
    <n v="257.70862268518249"/>
    <n v="0"/>
    <n v="0"/>
    <n v="0"/>
    <n v="0"/>
    <n v="0"/>
    <n v="0"/>
    <n v="0"/>
    <n v="0"/>
    <n v="0"/>
    <n v="257.70862268518249"/>
    <n v="257.70862268518249"/>
    <n v="17"/>
    <n v="0"/>
  </r>
  <r>
    <s v="Cases &amp; Composites"/>
    <s v="CAS-243405-P9F6R8"/>
    <s v="Francisco Astiasaran"/>
    <s v="Complete"/>
    <s v="Resolved"/>
    <x v="0"/>
    <m/>
    <s v="25CC430"/>
    <s v="Repair-EA"/>
    <x v="0"/>
    <x v="0"/>
    <x v="11"/>
    <s v="75%"/>
    <d v="2025-02-17T20:59:19"/>
    <d v="2025-02-28T05:00:00"/>
    <d v="2025-02-28T05:00:00"/>
    <x v="192"/>
    <d v="2025-02-27T13:28:25"/>
    <m/>
    <m/>
    <m/>
    <m/>
    <m/>
    <s v=""/>
    <s v=""/>
    <n v="0"/>
    <n v="9.333807870374585"/>
    <n v="9.333807870374585"/>
    <n v="0"/>
    <n v="0"/>
    <n v="0"/>
    <n v="0"/>
    <n v="0"/>
    <n v="0"/>
    <n v="0"/>
    <n v="0"/>
    <n v="0"/>
    <n v="9.333807870374585"/>
    <n v="9.333807870374585"/>
    <n v="-1"/>
    <n v="1"/>
  </r>
  <r>
    <s v="Cases &amp; Composites"/>
    <s v="CAS-244176-T4N4M8"/>
    <s v="Tyler Abusbah"/>
    <s v="Complete"/>
    <s v="Resolved"/>
    <x v="0"/>
    <m/>
    <s v="25KC145"/>
    <s v="Repair-EA"/>
    <x v="0"/>
    <x v="1"/>
    <x v="3"/>
    <s v="75%"/>
    <d v="2025-02-24T19:05:17"/>
    <d v="2025-08-07T04:00:00"/>
    <d v="2025-06-11T04:00:00"/>
    <x v="302"/>
    <d v="2025-06-03T18:26:22"/>
    <s v="Jun2025 STAGE 9 HPC CASE ASSEMBLY - W-SEAL GROOVE WEAR - BLEND REPAIR 06 LIMIT EXTENSION Jun2025"/>
    <d v="2025-04-30T04:00:00"/>
    <d v="2025-04-30T04:00:00"/>
    <d v="2025-04-30T04:00:00"/>
    <d v="2025-04-30T04:00:00"/>
    <n v="0"/>
    <n v="0"/>
    <n v="0"/>
    <n v="98.371331018519413"/>
    <n v="98.371331018519413"/>
    <n v="0"/>
    <n v="9"/>
    <n v="0"/>
    <n v="0"/>
    <n v="0"/>
    <n v="0"/>
    <n v="0"/>
    <n v="0"/>
    <n v="9"/>
    <n v="89.371331018519413"/>
    <n v="89.371331018519413"/>
    <n v="-65"/>
    <n v="1"/>
  </r>
  <r>
    <s v="Cases &amp; Composites"/>
    <s v="CAS-237806-F6V3K2"/>
    <s v="Francisco Astiasaran"/>
    <s v="Complete"/>
    <s v="Resolved"/>
    <x v="0"/>
    <m/>
    <s v="24KC691A"/>
    <s v="Repair-EA"/>
    <x v="1"/>
    <x v="1"/>
    <x v="3"/>
    <s v="75%"/>
    <d v="2024-12-19T13:10:15"/>
    <d v="2025-03-21T04:00:00"/>
    <d v="2025-04-10T04:00:00"/>
    <x v="22"/>
    <d v="2025-04-08T19:31:36"/>
    <s v="Apr2025"/>
    <m/>
    <m/>
    <m/>
    <m/>
    <s v=""/>
    <s v=""/>
    <n v="0"/>
    <n v="109.61788194443943"/>
    <n v="109.61788194443943"/>
    <n v="0"/>
    <n v="0"/>
    <n v="0"/>
    <n v="0"/>
    <n v="0"/>
    <n v="0"/>
    <n v="0"/>
    <n v="0"/>
    <n v="0"/>
    <n v="109.61788194443943"/>
    <n v="109.61788194443943"/>
    <n v="18"/>
    <n v="0"/>
  </r>
  <r>
    <s v="Cases &amp; Composites"/>
    <s v="CAS-244142-Z6R7D4"/>
    <s v="Francisco Astiasaran"/>
    <s v="Complete"/>
    <s v="Resolved"/>
    <x v="0"/>
    <m/>
    <s v="13CC675H"/>
    <s v="Repair-EA"/>
    <x v="1"/>
    <x v="0"/>
    <x v="0"/>
    <s v="75%"/>
    <d v="2025-02-24T15:51:11"/>
    <d v="2025-03-31T04:00:00"/>
    <d v="2025-03-31T04:00:00"/>
    <x v="261"/>
    <d v="2025-03-19T19:48:45"/>
    <m/>
    <m/>
    <m/>
    <m/>
    <m/>
    <s v=""/>
    <s v=""/>
    <n v="0"/>
    <n v="16.506122685183072"/>
    <n v="16.506122685183072"/>
    <n v="0"/>
    <n v="0"/>
    <n v="0"/>
    <n v="0"/>
    <n v="0"/>
    <n v="0"/>
    <n v="0"/>
    <n v="0"/>
    <n v="0"/>
    <n v="16.506122685183072"/>
    <n v="16.506122685183072"/>
    <n v="-18"/>
    <n v="1"/>
  </r>
  <r>
    <s v="Cases &amp; Composites"/>
    <s v="MSG-250224-1DF277"/>
    <s v="Francisco Astiasaran"/>
    <s v="Complete"/>
    <s v="Complete"/>
    <x v="0"/>
    <m/>
    <s v="13CC671E"/>
    <s v="Repair-EA"/>
    <x v="1"/>
    <x v="0"/>
    <x v="0"/>
    <s v="75%"/>
    <d v="2025-02-24T05:00:00"/>
    <d v="2025-03-21T04:00:00"/>
    <d v="2025-03-21T04:00:00"/>
    <x v="26"/>
    <d v="2025-03-27T19:04:48"/>
    <s v="Add alternative cure for PWA 567-2 on 13CC671C"/>
    <m/>
    <m/>
    <m/>
    <m/>
    <s v=""/>
    <s v=""/>
    <n v="0"/>
    <n v="30.958333333328483"/>
    <n v="30.958333333328483"/>
    <n v="0"/>
    <n v="0"/>
    <n v="0"/>
    <n v="0"/>
    <n v="0"/>
    <n v="0"/>
    <n v="0"/>
    <n v="0"/>
    <n v="0"/>
    <n v="30.958333333328483"/>
    <n v="30.958333333328483"/>
    <n v="6"/>
    <n v="0"/>
  </r>
  <r>
    <s v="Cases &amp; Composites"/>
    <s v="CAS-241620-Q5W5L2"/>
    <s v="Tyler Abusbah"/>
    <s v="Complete"/>
    <s v="Resolved"/>
    <x v="0"/>
    <m/>
    <s v="25KC169"/>
    <s v="Repair-EA"/>
    <x v="0"/>
    <x v="1"/>
    <x v="3"/>
    <s v="75%"/>
    <d v="2025-01-30T19:23:48"/>
    <d v="2025-08-07T04:00:00"/>
    <d v="2025-07-17T04:00:00"/>
    <x v="302"/>
    <d v="2025-06-04T14:03:22"/>
    <s v="Jun2025"/>
    <d v="2025-05-28T04:00:00"/>
    <d v="2025-05-28T04:00:00"/>
    <d v="2025-05-28T04:00:00"/>
    <d v="2025-05-28T04:00:00"/>
    <n v="0"/>
    <n v="0"/>
    <n v="0"/>
    <n v="123.35847222222219"/>
    <n v="123.35847222222219"/>
    <n v="17"/>
    <n v="0"/>
    <n v="0"/>
    <n v="0"/>
    <n v="0"/>
    <n v="0"/>
    <n v="0"/>
    <n v="0"/>
    <n v="17"/>
    <n v="106.35847222222219"/>
    <n v="106.35847222222219"/>
    <n v="-65"/>
    <n v="1"/>
  </r>
  <r>
    <s v="Cases &amp; Composites"/>
    <s v="CAS-244906-Q7Q4R9"/>
    <s v="Francisco Astiasaran"/>
    <s v="Complete"/>
    <s v="Resolved"/>
    <x v="0"/>
    <m/>
    <s v="25CC570"/>
    <s v="Repair-EA"/>
    <x v="0"/>
    <x v="0"/>
    <x v="0"/>
    <s v="75%"/>
    <d v="2025-03-03T17:39:40"/>
    <d v="2025-04-11T04:00:00"/>
    <d v="2025-04-11T04:00:00"/>
    <x v="209"/>
    <d v="2025-04-10T10:57:24"/>
    <m/>
    <d v="2025-03-12T04:00:00"/>
    <d v="2025-03-12T04:00:00"/>
    <m/>
    <d v="2025-03-20T04:00:00"/>
    <n v="0"/>
    <s v=""/>
    <n v="0"/>
    <n v="36.430787037032133"/>
    <n v="36.430787037032133"/>
    <n v="0"/>
    <n v="0"/>
    <n v="0"/>
    <n v="0"/>
    <n v="0"/>
    <n v="0"/>
    <n v="0"/>
    <n v="0"/>
    <n v="0"/>
    <n v="36.430787037032133"/>
    <n v="36.430787037032133"/>
    <n v="-2"/>
    <n v="1"/>
  </r>
  <r>
    <s v="Cases &amp; Composites"/>
    <s v="CAS-245085-J3V6D6"/>
    <s v="Francisco Astiasaran"/>
    <s v="Complete"/>
    <s v="Resolved"/>
    <x v="0"/>
    <m/>
    <s v="25CC564"/>
    <s v="Repair-EA"/>
    <x v="0"/>
    <x v="0"/>
    <x v="8"/>
    <s v="75%"/>
    <d v="2025-03-04T19:44:22"/>
    <d v="2025-04-07T04:00:00"/>
    <d v="2025-04-07T04:00:00"/>
    <x v="300"/>
    <d v="2025-03-31T15:16:32"/>
    <m/>
    <d v="2025-03-21T04:00:00"/>
    <d v="2025-03-21T04:00:00"/>
    <m/>
    <d v="2025-03-21T04:00:00"/>
    <n v="0"/>
    <s v=""/>
    <n v="0"/>
    <n v="23.344189814815763"/>
    <n v="23.344189814815763"/>
    <n v="0"/>
    <n v="0"/>
    <n v="0"/>
    <n v="0"/>
    <n v="0"/>
    <n v="0"/>
    <n v="0"/>
    <n v="0"/>
    <n v="0"/>
    <n v="23.344189814815763"/>
    <n v="23.344189814815763"/>
    <n v="-10"/>
    <n v="1"/>
  </r>
  <r>
    <s v="Cases &amp; Composites"/>
    <s v="CAS-245700-G6R3V5"/>
    <s v="Francisco Astiasaran"/>
    <s v="Complete"/>
    <s v="Resolved"/>
    <x v="0"/>
    <m/>
    <s v="25CC639"/>
    <s v="Repair-EA"/>
    <x v="0"/>
    <x v="0"/>
    <x v="0"/>
    <s v="75%"/>
    <d v="2025-03-10T16:50:58"/>
    <d v="2025-04-04T04:00:00"/>
    <d v="2025-04-04T04:00:00"/>
    <x v="254"/>
    <d v="2025-04-08T12:40:13"/>
    <m/>
    <d v="2025-03-13T04:00:00"/>
    <d v="2025-03-13T04:00:00"/>
    <m/>
    <d v="2025-03-20T04:00:00"/>
    <n v="0"/>
    <s v=""/>
    <n v="0"/>
    <n v="27.464606481480587"/>
    <n v="27.464606481480587"/>
    <n v="0"/>
    <n v="0"/>
    <n v="0"/>
    <n v="0"/>
    <n v="0"/>
    <n v="0"/>
    <n v="0"/>
    <n v="0"/>
    <n v="0"/>
    <n v="27.464606481480587"/>
    <n v="27.464606481480587"/>
    <n v="3"/>
    <n v="0"/>
  </r>
  <r>
    <s v="Cases &amp; Composites"/>
    <s v="CAS-245702-W7M0Q3"/>
    <s v="Francisco Astiasaran"/>
    <s v="Complete"/>
    <s v="Resolved"/>
    <x v="0"/>
    <m/>
    <s v="24KC692A"/>
    <s v="Repair-EA"/>
    <x v="1"/>
    <x v="1"/>
    <x v="3"/>
    <s v="75%"/>
    <d v="2025-03-10T17:07:06"/>
    <d v="2025-04-09T04:00:00"/>
    <d v="2025-04-09T04:00:00"/>
    <x v="22"/>
    <d v="2025-04-08T18:23:21"/>
    <m/>
    <m/>
    <m/>
    <m/>
    <m/>
    <s v=""/>
    <s v=""/>
    <n v="0"/>
    <n v="28.453402777777228"/>
    <n v="28.453402777777228"/>
    <n v="0"/>
    <n v="0"/>
    <n v="0"/>
    <n v="0"/>
    <n v="0"/>
    <n v="0"/>
    <n v="0"/>
    <n v="0"/>
    <n v="0"/>
    <n v="28.453402777777228"/>
    <n v="28.453402777777228"/>
    <n v="-1"/>
    <n v="1"/>
  </r>
  <r>
    <s v="Cases &amp; Composites"/>
    <s v="CAS-241369-H8W2W0"/>
    <s v="Ferdin Mustafa"/>
    <s v="Complete"/>
    <s v="Resolved"/>
    <x v="0"/>
    <m/>
    <s v="25KC262"/>
    <s v="Repair-EA"/>
    <x v="0"/>
    <x v="1"/>
    <x v="3"/>
    <s v="50%"/>
    <d v="2025-01-28T11:59:28"/>
    <d v="2025-07-18T04:00:00"/>
    <d v="2025-07-18T04:00:00"/>
    <x v="24"/>
    <d v="2025-07-01T05:59:01"/>
    <s v="Jun2025 RSL"/>
    <d v="2025-05-05T04:00:00"/>
    <d v="2025-05-12T04:00:00"/>
    <d v="2025-05-12T04:00:00"/>
    <d v="2025-05-30T04:00:00"/>
    <n v="7"/>
    <n v="18"/>
    <n v="25"/>
    <n v="152.66703703703388"/>
    <n v="127.66703703703388"/>
    <n v="10"/>
    <n v="16"/>
    <n v="0"/>
    <n v="0"/>
    <n v="0"/>
    <n v="0"/>
    <n v="0"/>
    <n v="0"/>
    <n v="26"/>
    <n v="126.66703703703388"/>
    <n v="101.66703703703388"/>
    <n v="-18"/>
    <n v="1"/>
  </r>
  <r>
    <s v="Cases &amp; Composites"/>
    <s v="CAS-244700-C8J2K7"/>
    <s v="Ferdin Mustafa"/>
    <s v="Complete"/>
    <s v="Resolved"/>
    <x v="0"/>
    <m/>
    <s v="25KC241"/>
    <s v="Repair-EA"/>
    <x v="0"/>
    <x v="1"/>
    <x v="3"/>
    <s v="75%"/>
    <d v="2025-02-28T12:17:41"/>
    <d v="2025-07-18T04:00:00"/>
    <d v="2025-07-18T04:00:00"/>
    <x v="48"/>
    <d v="2025-06-10T02:12:17"/>
    <s v="Jun2025 RSL - Kitting date: April 10"/>
    <d v="2025-04-17T04:00:00"/>
    <d v="2025-04-17T04:00:00"/>
    <d v="2025-05-15T04:00:00"/>
    <d v="2025-05-19T04:00:00"/>
    <n v="0"/>
    <n v="4"/>
    <n v="4"/>
    <n v="100.65438657407503"/>
    <n v="96.654386574075033"/>
    <n v="0"/>
    <n v="9"/>
    <n v="0"/>
    <n v="0"/>
    <n v="0"/>
    <n v="0"/>
    <n v="0"/>
    <n v="0"/>
    <n v="9"/>
    <n v="91.654386574075033"/>
    <n v="87.654386574075033"/>
    <n v="-39"/>
    <n v="1"/>
  </r>
  <r>
    <s v="Cases &amp; Composites"/>
    <s v="CAS-245712-B7M3F3"/>
    <s v="Francisco Astiasaran"/>
    <s v="Complete"/>
    <s v="Resolved"/>
    <x v="0"/>
    <m/>
    <s v="25KC230"/>
    <s v="Repair-EA"/>
    <x v="0"/>
    <x v="1"/>
    <x v="3"/>
    <s v="50%"/>
    <d v="2025-03-10T19:03:51"/>
    <d v="2025-04-23T04:00:00"/>
    <d v="2025-05-30T04:00:00"/>
    <x v="25"/>
    <d v="2025-06-02T15:26:21"/>
    <s v="Jun2025"/>
    <d v="2025-05-28T04:00:00"/>
    <d v="2025-05-28T04:00:00"/>
    <d v="2025-05-28T04:00:00"/>
    <d v="2025-05-28T04:00:00"/>
    <n v="0"/>
    <n v="0"/>
    <n v="0"/>
    <n v="83.372326388889633"/>
    <n v="83.372326388889633"/>
    <n v="0"/>
    <n v="0"/>
    <n v="0"/>
    <n v="0"/>
    <n v="0"/>
    <n v="0"/>
    <n v="0"/>
    <n v="0"/>
    <n v="0"/>
    <n v="83.372326388889633"/>
    <n v="83.372326388889633"/>
    <n v="40"/>
    <n v="0"/>
  </r>
  <r>
    <s v="Cases &amp; Composites"/>
    <s v="CAS-245097-R6L5H8"/>
    <s v="Francisco Astiasaran"/>
    <s v="Complete"/>
    <s v="Resolved"/>
    <x v="0"/>
    <m/>
    <s v="25CC746"/>
    <s v="Repair-EA"/>
    <x v="0"/>
    <x v="0"/>
    <x v="0"/>
    <s v="75%"/>
    <d v="2025-03-04T20:59:21"/>
    <d v="2025-04-11T04:00:00"/>
    <d v="2025-04-11T04:00:00"/>
    <x v="214"/>
    <d v="2025-04-10T20:43:40"/>
    <m/>
    <d v="2025-03-24T04:00:00"/>
    <d v="2025-03-25T04:00:00"/>
    <d v="2025-03-26T04:00:00"/>
    <d v="2025-03-28T04:00:00"/>
    <n v="1"/>
    <n v="2"/>
    <n v="3"/>
    <n v="36.292118055549508"/>
    <n v="33.292118055549508"/>
    <n v="0"/>
    <n v="0"/>
    <n v="0"/>
    <n v="0"/>
    <n v="0"/>
    <n v="0"/>
    <n v="0"/>
    <n v="0"/>
    <n v="0"/>
    <n v="36.292118055549508"/>
    <n v="33.292118055549508"/>
    <n v="-1"/>
    <n v="1"/>
  </r>
  <r>
    <s v="Cases &amp; Composites"/>
    <s v="CAS-245228-F5F7F8"/>
    <s v="Francisco Astiasaran"/>
    <s v="Complete"/>
    <s v="Resolved"/>
    <x v="0"/>
    <m/>
    <s v="25CC751"/>
    <s v="Repair-EA"/>
    <x v="0"/>
    <x v="0"/>
    <x v="0"/>
    <s v="75%"/>
    <d v="2025-03-05T18:21:59"/>
    <d v="2025-04-17T04:00:00"/>
    <d v="2025-04-17T04:00:00"/>
    <x v="303"/>
    <d v="2025-04-21T14:53:52"/>
    <m/>
    <d v="2025-03-25T04:00:00"/>
    <d v="2025-03-25T04:00:00"/>
    <d v="2025-03-26T04:00:00"/>
    <d v="2025-03-28T04:00:00"/>
    <n v="0"/>
    <n v="2"/>
    <n v="2"/>
    <n v="42.401400462957099"/>
    <n v="40.401400462957099"/>
    <n v="0"/>
    <n v="0"/>
    <n v="0"/>
    <n v="0"/>
    <n v="0"/>
    <n v="0"/>
    <n v="0"/>
    <n v="0"/>
    <n v="0"/>
    <n v="42.401400462957099"/>
    <n v="40.401400462957099"/>
    <n v="0"/>
    <n v="1"/>
  </r>
  <r>
    <s v="Cases &amp; Composites"/>
    <n v="111804"/>
    <s v="Ferdin Mustafa"/>
    <s v="Complete"/>
    <s v="Closed"/>
    <x v="0"/>
    <m/>
    <s v="25FC068"/>
    <s v="Repair-EA"/>
    <x v="0"/>
    <x v="2"/>
    <x v="3"/>
    <s v="75%"/>
    <d v="2025-03-18T04:00:00"/>
    <d v="2025-07-18T04:00:00"/>
    <d v="2025-05-16T04:00:00"/>
    <x v="22"/>
    <d v="2025-04-08T15:59:39"/>
    <m/>
    <d v="2025-04-03T04:00:00"/>
    <d v="2025-04-03T04:00:00"/>
    <d v="2025-04-03T04:00:00"/>
    <d v="2025-04-03T04:00:00"/>
    <n v="0"/>
    <n v="0"/>
    <n v="0"/>
    <n v="21"/>
    <n v="21"/>
    <n v="0"/>
    <n v="0"/>
    <n v="0"/>
    <n v="0"/>
    <n v="0"/>
    <n v="0"/>
    <n v="0"/>
    <n v="0"/>
    <n v="0"/>
    <n v="21"/>
    <n v="21"/>
    <n v="-101"/>
    <n v="1"/>
  </r>
  <r>
    <s v="Cases &amp; Composites"/>
    <s v="CAS-237959-Y4V7W9"/>
    <s v="Alexander Page"/>
    <s v="Complete"/>
    <s v="Resolved"/>
    <x v="0"/>
    <m/>
    <s v="25KC232"/>
    <s v="Repair-EA"/>
    <x v="0"/>
    <x v="1"/>
    <x v="3"/>
    <s v="75%"/>
    <d v="2024-12-20T15:40:13"/>
    <d v="2025-07-04T04:00:00"/>
    <d v="2025-06-20T04:00:00"/>
    <x v="48"/>
    <d v="2025-06-09T20:05:59"/>
    <s v="JUN2025"/>
    <d v="2025-04-16T04:00:00"/>
    <d v="2025-04-21T04:00:00"/>
    <d v="2025-04-25T04:00:00"/>
    <d v="2025-05-09T04:00:00"/>
    <n v="5"/>
    <n v="14"/>
    <n v="19"/>
    <n v="170.51373842592147"/>
    <n v="151.51373842592147"/>
    <n v="49"/>
    <n v="0"/>
    <n v="0"/>
    <n v="0"/>
    <n v="0"/>
    <n v="0"/>
    <n v="0"/>
    <n v="0"/>
    <n v="49"/>
    <n v="121.51373842592147"/>
    <n v="102.51373842592147"/>
    <n v="-25"/>
    <n v="1"/>
  </r>
  <r>
    <s v="Cases &amp; Composites"/>
    <s v="CAS-244418-M0H3V9"/>
    <s v="Nathan Winger"/>
    <s v="Complete"/>
    <s v="Resolved"/>
    <x v="0"/>
    <m/>
    <s v="25VG077"/>
    <s v="Repair-EA"/>
    <x v="0"/>
    <x v="3"/>
    <x v="5"/>
    <s v="75%"/>
    <d v="2025-02-26T10:56:37"/>
    <d v="2025-08-15T04:00:00"/>
    <d v="2025-07-29T04:00:00"/>
    <x v="304"/>
    <d v="2025-07-23T19:53:14"/>
    <s v="JUL2025"/>
    <d v="2025-05-05T04:00:00"/>
    <d v="2025-05-05T04:00:00"/>
    <d v="2025-05-05T04:00:00"/>
    <d v="2025-05-05T04:00:00"/>
    <n v="0"/>
    <n v="0"/>
    <n v="0"/>
    <n v="144.71068287036906"/>
    <n v="144.71068287036906"/>
    <n v="0"/>
    <n v="0"/>
    <n v="0"/>
    <n v="0"/>
    <n v="0"/>
    <n v="0"/>
    <n v="0"/>
    <n v="0"/>
    <n v="0"/>
    <n v="144.71068287036906"/>
    <n v="144.71068287036906"/>
    <n v="-25"/>
    <n v="1"/>
  </r>
  <r>
    <s v="Cases &amp; Composites"/>
    <n v="111932"/>
    <s v="Francisco Astiasaran"/>
    <s v="Complete"/>
    <s v="Closed"/>
    <x v="0"/>
    <m/>
    <s v="24FC342A"/>
    <s v="Repair-EA"/>
    <x v="0"/>
    <x v="2"/>
    <x v="3"/>
    <s v="75%"/>
    <d v="2025-03-24T04:00:00"/>
    <d v="2025-04-22T04:00:00"/>
    <d v="2025-04-22T04:00:00"/>
    <x v="250"/>
    <d v="2025-04-22T19:49:56"/>
    <m/>
    <m/>
    <m/>
    <m/>
    <m/>
    <s v=""/>
    <s v=""/>
    <n v="0"/>
    <n v="29"/>
    <n v="29"/>
    <n v="0"/>
    <n v="0"/>
    <n v="0"/>
    <n v="0"/>
    <n v="0"/>
    <n v="0"/>
    <n v="0"/>
    <n v="0"/>
    <n v="0"/>
    <n v="29"/>
    <n v="29"/>
    <n v="0"/>
    <n v="1"/>
  </r>
  <r>
    <s v="Cases &amp; Composites"/>
    <s v="CAS-245986-Z2X8Z9"/>
    <s v="Orlando Melendez Colon"/>
    <s v="Complete"/>
    <s v="Resolved"/>
    <x v="0"/>
    <m/>
    <s v="25VG089"/>
    <s v="Repair-EA"/>
    <x v="0"/>
    <x v="3"/>
    <x v="5"/>
    <s v="75%"/>
    <d v="2025-03-12T16:40:20"/>
    <d v="2025-06-20T04:00:00"/>
    <d v="2025-06-20T04:00:00"/>
    <x v="305"/>
    <d v="2025-06-16T18:14:23"/>
    <s v="Jun2025"/>
    <d v="2025-05-14T04:00:00"/>
    <d v="2025-05-14T04:00:00"/>
    <d v="2025-05-14T04:00:00"/>
    <d v="2025-05-22T04:00:00"/>
    <n v="0"/>
    <n v="8"/>
    <n v="8"/>
    <n v="92.471990740741603"/>
    <n v="84.471990740741603"/>
    <n v="0"/>
    <n v="0"/>
    <n v="0"/>
    <n v="0"/>
    <n v="0"/>
    <n v="0"/>
    <n v="0"/>
    <n v="0"/>
    <n v="0"/>
    <n v="92.471990740741603"/>
    <n v="84.471990740741603"/>
    <n v="-7"/>
    <n v="1"/>
  </r>
  <r>
    <s v="Cases &amp; Composites"/>
    <s v="CAS-232238-D4N3Q0"/>
    <s v="Alexander Page"/>
    <s v="Complete"/>
    <s v="Resolved"/>
    <x v="0"/>
    <m/>
    <s v="25AC075"/>
    <s v="Repair-EA"/>
    <x v="1"/>
    <x v="4"/>
    <x v="6"/>
    <s v="75%"/>
    <d v="2024-10-28T11:17:10"/>
    <d v="2025-08-01T04:00:00"/>
    <d v="2025-08-22T04:00:00"/>
    <x v="264"/>
    <d v="2025-07-29T13:58:39"/>
    <s v="Aug2025"/>
    <d v="2025-04-24T04:00:00"/>
    <d v="2025-04-24T04:00:00"/>
    <d v="2025-04-28T04:00:00"/>
    <d v="2025-05-20T04:00:00"/>
    <n v="0"/>
    <n v="22"/>
    <n v="22"/>
    <n v="272.69641203703213"/>
    <n v="250.69641203703213"/>
    <n v="0"/>
    <n v="0"/>
    <n v="0"/>
    <n v="0"/>
    <n v="0"/>
    <n v="0"/>
    <n v="0"/>
    <n v="0"/>
    <n v="0"/>
    <n v="272.69641203703213"/>
    <n v="250.69641203703213"/>
    <n v="-4"/>
    <n v="1"/>
  </r>
  <r>
    <s v="Cases &amp; Composites"/>
    <s v="MSG-250410-AAAE8B"/>
    <s v="Francisco Astiasaran"/>
    <s v="Complete"/>
    <s v="Complete"/>
    <x v="0"/>
    <m/>
    <s v="25KC231"/>
    <s v="Repair-EA"/>
    <x v="0"/>
    <x v="1"/>
    <x v="3"/>
    <s v="75%"/>
    <d v="2025-04-09T04:00:00"/>
    <d v="2025-04-23T04:00:00"/>
    <d v="2025-05-30T04:00:00"/>
    <x v="25"/>
    <d v="2025-06-02T19:04:34"/>
    <s v="Jun2025"/>
    <d v="2025-05-28T04:00:00"/>
    <d v="2025-05-28T04:00:00"/>
    <d v="2025-05-28T04:00:00"/>
    <d v="2025-05-28T04:00:00"/>
    <n v="0"/>
    <n v="0"/>
    <n v="0"/>
    <n v="54"/>
    <n v="54"/>
    <n v="0"/>
    <n v="0"/>
    <n v="0"/>
    <n v="0"/>
    <n v="0"/>
    <n v="0"/>
    <n v="0"/>
    <n v="0"/>
    <n v="0"/>
    <n v="54"/>
    <n v="54"/>
    <n v="40"/>
    <n v="0"/>
  </r>
  <r>
    <s v="Cases &amp; Composites"/>
    <s v="CAS-248935-C8L7Q1"/>
    <s v="Alexander Page"/>
    <s v="Complete"/>
    <s v="Resolved"/>
    <x v="0"/>
    <m/>
    <s v="25CC955"/>
    <s v="Repair-EA"/>
    <x v="0"/>
    <x v="0"/>
    <x v="0"/>
    <s v="75%"/>
    <d v="2025-04-10T11:26:11"/>
    <d v="2025-06-16T04:00:00"/>
    <d v="2025-07-18T04:00:00"/>
    <x v="158"/>
    <d v="2025-07-03T16:01:09"/>
    <s v="jul2025"/>
    <m/>
    <m/>
    <m/>
    <m/>
    <s v=""/>
    <s v=""/>
    <n v="0"/>
    <n v="83.690150462964084"/>
    <n v="83.690150462964084"/>
    <n v="0"/>
    <n v="4.7220414814801188"/>
    <n v="0"/>
    <n v="0"/>
    <n v="10.564514456018514"/>
    <n v="0"/>
    <n v="0"/>
    <n v="23.758786585654889"/>
    <n v="39.045342523153522"/>
    <n v="44.644807939810562"/>
    <n v="44.644807939810562"/>
    <n v="17"/>
    <n v="0"/>
  </r>
  <r>
    <s v="Cases &amp; Composites"/>
    <s v="CAS-249976-M5W9D6"/>
    <s v="Francisco Astiasaran"/>
    <s v="Complete"/>
    <s v="Resolved"/>
    <x v="0"/>
    <m/>
    <s v="25KC265"/>
    <s v="Repair-EA"/>
    <x v="0"/>
    <x v="1"/>
    <x v="3"/>
    <s v="75%"/>
    <d v="2025-04-21T18:20:22"/>
    <d v="2025-05-14T04:00:00"/>
    <d v="2025-05-28T04:00:00"/>
    <x v="259"/>
    <d v="2025-05-23T18:13:50"/>
    <s v="May2025"/>
    <m/>
    <m/>
    <m/>
    <m/>
    <s v=""/>
    <s v=""/>
    <n v="0"/>
    <n v="31.402523148142791"/>
    <n v="31.402523148142791"/>
    <n v="0"/>
    <n v="0"/>
    <n v="0"/>
    <n v="0"/>
    <n v="0"/>
    <n v="0"/>
    <n v="0"/>
    <n v="0"/>
    <n v="0"/>
    <n v="31.402523148142791"/>
    <n v="31.402523148142791"/>
    <n v="9"/>
    <n v="0"/>
  </r>
  <r>
    <s v="Cases &amp; Composites"/>
    <s v="CAS-250130-M9C7C3"/>
    <s v="Francisco Astiasaran"/>
    <s v="Complete"/>
    <s v="Resolved"/>
    <x v="0"/>
    <m/>
    <s v="25CC957"/>
    <s v="Repair-EA"/>
    <x v="0"/>
    <x v="0"/>
    <x v="10"/>
    <s v="75%"/>
    <d v="2025-04-22T16:23:03"/>
    <d v="2025-05-09T04:00:00"/>
    <d v="2025-05-09T04:00:00"/>
    <x v="201"/>
    <d v="2025-04-30T18:55:04"/>
    <m/>
    <d v="2025-04-28T04:00:00"/>
    <d v="2025-04-28T04:00:00"/>
    <m/>
    <d v="2025-04-28T04:00:00"/>
    <n v="0"/>
    <s v=""/>
    <n v="0"/>
    <n v="7.483993055553583"/>
    <n v="7.483993055553583"/>
    <n v="0"/>
    <n v="0"/>
    <n v="0"/>
    <n v="0"/>
    <n v="0"/>
    <n v="0"/>
    <n v="0"/>
    <n v="0"/>
    <n v="0"/>
    <n v="7.483993055553583"/>
    <n v="7.483993055553583"/>
    <n v="-9"/>
    <n v="1"/>
  </r>
  <r>
    <s v="Cases &amp; Composites"/>
    <n v="112272"/>
    <s v="Ferdin Mustafa"/>
    <s v="Complete"/>
    <s v="Closed"/>
    <x v="0"/>
    <m/>
    <s v="25FC105"/>
    <s v="Repair-EA"/>
    <x v="0"/>
    <x v="2"/>
    <x v="3"/>
    <s v="75%"/>
    <d v="2025-04-07T04:00:00"/>
    <d v="2025-07-11T04:00:00"/>
    <d v="2025-07-11T04:00:00"/>
    <x v="238"/>
    <d v="2025-06-05T18:17:50"/>
    <s v="Jun2025"/>
    <d v="2025-05-14T04:00:00"/>
    <d v="2025-05-14T04:00:00"/>
    <d v="2025-05-14T04:00:00"/>
    <d v="2025-05-22T04:00:00"/>
    <n v="0"/>
    <n v="8"/>
    <n v="8"/>
    <n v="59"/>
    <n v="51"/>
    <n v="0"/>
    <n v="0"/>
    <n v="0"/>
    <n v="0"/>
    <n v="0"/>
    <n v="0"/>
    <n v="0"/>
    <n v="0"/>
    <n v="0"/>
    <n v="59"/>
    <n v="51"/>
    <n v="-36"/>
    <n v="1"/>
  </r>
  <r>
    <s v="Cases &amp; Composites"/>
    <s v="CAS-250667-C5R6N6"/>
    <s v="Tyler Abusbah"/>
    <s v="Complete"/>
    <s v="Resolved"/>
    <x v="0"/>
    <m/>
    <s v="24CCG87A"/>
    <s v="Repair-EA"/>
    <x v="0"/>
    <x v="0"/>
    <x v="0"/>
    <s v="75%"/>
    <d v="2025-04-28T16:38:06"/>
    <d v="2025-06-04T04:00:00"/>
    <d v="2025-06-18T04:00:00"/>
    <x v="238"/>
    <d v="2025-06-05T19:06:00"/>
    <s v="Jun2025 LPC 2ND STAGE STATOR CASE ASSEMBLY - REAR FLANGE BOLT HOLE, BLEND REPAIR Jun2025"/>
    <m/>
    <m/>
    <m/>
    <m/>
    <s v=""/>
    <s v=""/>
    <n v="0"/>
    <n v="37.473541666666279"/>
    <n v="37.473541666666279"/>
    <n v="0"/>
    <n v="0"/>
    <n v="0"/>
    <n v="0"/>
    <n v="0"/>
    <n v="0"/>
    <n v="0"/>
    <n v="0"/>
    <n v="0"/>
    <n v="37.473541666666279"/>
    <n v="37.473541666666279"/>
    <n v="1"/>
    <n v="0"/>
  </r>
  <r>
    <s v="Cases &amp; Composites"/>
    <s v="CAS-250346-T0F3Z8"/>
    <s v="Francisco Astiasaran"/>
    <s v="Complete"/>
    <s v="Resolved"/>
    <x v="0"/>
    <m/>
    <s v="25KC284"/>
    <s v="Repair-EA"/>
    <x v="0"/>
    <x v="1"/>
    <x v="3"/>
    <s v="75%"/>
    <d v="2025-04-24T10:10:35"/>
    <d v="2025-05-14T04:00:00"/>
    <d v="2025-05-14T04:00:00"/>
    <x v="194"/>
    <d v="2025-05-08T13:27:21"/>
    <s v="May2025"/>
    <m/>
    <m/>
    <m/>
    <m/>
    <s v=""/>
    <s v=""/>
    <n v="0"/>
    <n v="12.742650462962047"/>
    <n v="12.742650462962047"/>
    <n v="0"/>
    <n v="0"/>
    <n v="0"/>
    <n v="0"/>
    <n v="0"/>
    <n v="0"/>
    <n v="0"/>
    <n v="0"/>
    <n v="0"/>
    <n v="12.742650462962047"/>
    <n v="12.742650462962047"/>
    <n v="-7"/>
    <n v="1"/>
  </r>
  <r>
    <s v="Cases &amp; Composites"/>
    <s v="CAS-250349-B0V2P6"/>
    <s v="Francisco Astiasaran"/>
    <s v="Complete"/>
    <s v="Resolved"/>
    <x v="0"/>
    <m/>
    <s v="25FC111"/>
    <s v="Repair-EA"/>
    <x v="0"/>
    <x v="2"/>
    <x v="3"/>
    <s v="75%"/>
    <d v="2025-04-24T10:28:09"/>
    <d v="2025-05-14T04:00:00"/>
    <d v="2025-05-14T04:00:00"/>
    <x v="263"/>
    <d v="2025-05-13T20:37:53"/>
    <s v="May2025"/>
    <m/>
    <m/>
    <m/>
    <m/>
    <s v=""/>
    <s v=""/>
    <n v="0"/>
    <n v="18.730451388888469"/>
    <n v="18.730451388888469"/>
    <n v="0"/>
    <n v="0"/>
    <n v="0"/>
    <n v="0"/>
    <n v="0"/>
    <n v="0"/>
    <n v="0"/>
    <n v="0"/>
    <n v="0"/>
    <n v="18.730451388888469"/>
    <n v="18.730451388888469"/>
    <n v="-1"/>
    <n v="1"/>
  </r>
  <r>
    <s v="Cases &amp; Composites"/>
    <s v="CAS-250351-J0H3B1"/>
    <s v="Francisco Astiasaran"/>
    <s v="Complete"/>
    <s v="Resolved"/>
    <x v="0"/>
    <m/>
    <s v="25CCA53"/>
    <s v="Repair-EA"/>
    <x v="0"/>
    <x v="0"/>
    <x v="3"/>
    <s v="75%"/>
    <d v="2025-04-24T10:28:36"/>
    <d v="2025-05-15T04:00:00"/>
    <d v="2025-05-15T04:00:00"/>
    <x v="206"/>
    <d v="2025-05-19T17:52:57"/>
    <s v="May2025"/>
    <m/>
    <m/>
    <m/>
    <m/>
    <s v=""/>
    <s v=""/>
    <n v="0"/>
    <n v="24.730138888888177"/>
    <n v="24.730138888888177"/>
    <n v="0"/>
    <n v="0"/>
    <n v="0"/>
    <n v="0"/>
    <n v="0"/>
    <n v="0"/>
    <n v="0"/>
    <n v="0"/>
    <n v="0"/>
    <n v="24.730138888888177"/>
    <n v="24.730138888888177"/>
    <n v="4"/>
    <n v="0"/>
  </r>
  <r>
    <s v="Cases &amp; Composites"/>
    <s v="CAS-250960-J5P0D3"/>
    <s v="Francisco Astiasaran"/>
    <s v="Complete"/>
    <s v="Resolved"/>
    <x v="0"/>
    <m/>
    <s v="25KC291"/>
    <s v="Repair-EA"/>
    <x v="0"/>
    <x v="1"/>
    <x v="3"/>
    <s v="75%"/>
    <d v="2025-04-30T15:31:58"/>
    <d v="2025-05-16T04:00:00"/>
    <d v="2025-05-16T04:00:00"/>
    <x v="191"/>
    <d v="2025-05-08T20:14:53"/>
    <s v="May2025"/>
    <m/>
    <m/>
    <m/>
    <m/>
    <s v=""/>
    <s v=""/>
    <n v="0"/>
    <n v="7.5194675925886258"/>
    <n v="7.5194675925886258"/>
    <n v="0"/>
    <n v="0"/>
    <n v="0"/>
    <n v="0"/>
    <n v="0"/>
    <n v="0"/>
    <n v="0"/>
    <n v="0"/>
    <n v="0"/>
    <n v="7.5194675925886258"/>
    <n v="7.5194675925886258"/>
    <n v="-8"/>
    <n v="1"/>
  </r>
  <r>
    <s v="Cases &amp; Composites"/>
    <s v="CAS-251331-K3H7X9"/>
    <s v="Francisco Astiasaran"/>
    <s v="Complete"/>
    <s v="Resolved"/>
    <x v="0"/>
    <m/>
    <s v="25CCA59"/>
    <s v="Repair-EA"/>
    <x v="0"/>
    <x v="0"/>
    <x v="11"/>
    <s v="75%"/>
    <d v="2025-05-06T14:31:28"/>
    <d v="2025-05-21T04:00:00"/>
    <d v="2025-05-21T04:00:00"/>
    <x v="11"/>
    <d v="2025-06-02T12:21:57"/>
    <s v="FASM: AF2.0 need priority"/>
    <m/>
    <m/>
    <m/>
    <m/>
    <s v=""/>
    <s v=""/>
    <n v="0"/>
    <n v="23.561481481476221"/>
    <n v="23.561481481476221"/>
    <n v="0"/>
    <n v="0"/>
    <n v="0"/>
    <n v="0"/>
    <n v="0"/>
    <n v="0"/>
    <n v="0"/>
    <n v="0"/>
    <n v="0"/>
    <n v="23.561481481476221"/>
    <n v="23.561481481476221"/>
    <n v="9"/>
    <n v="0"/>
  </r>
  <r>
    <s v="Cases &amp; Composites"/>
    <s v="CAS-250133-F2M6S1"/>
    <s v="Alexander Page"/>
    <s v="Complete"/>
    <s v="Resolved"/>
    <x v="0"/>
    <m/>
    <s v="25CCB41"/>
    <s v="Repair-EA"/>
    <x v="0"/>
    <x v="0"/>
    <x v="0"/>
    <s v="75%"/>
    <d v="2025-04-22T16:45:38"/>
    <d v="2025-07-25T04:00:00"/>
    <d v="2025-07-11T04:00:00"/>
    <x v="158"/>
    <d v="2025-07-07T15:46:26"/>
    <s v="JUL2025"/>
    <d v="2025-06-04T04:00:00"/>
    <d v="2025-06-04T04:00:00"/>
    <d v="2025-06-04T04:00:00"/>
    <d v="2025-06-09T04:00:00"/>
    <n v="0"/>
    <n v="5"/>
    <n v="5"/>
    <n v="71.468310185184237"/>
    <n v="66.468310185184237"/>
    <n v="12.938011053236551"/>
    <n v="0"/>
    <n v="0"/>
    <n v="0"/>
    <n v="0"/>
    <n v="0"/>
    <n v="0"/>
    <n v="0"/>
    <n v="12.938011053236551"/>
    <n v="58.530299131947686"/>
    <n v="53.530299131947686"/>
    <n v="-22"/>
    <n v="1"/>
  </r>
  <r>
    <s v="Cases &amp; Composites"/>
    <s v="CAS-252780-S8J3T9"/>
    <s v="Francisco Astiasaran"/>
    <s v="Complete"/>
    <s v="Resolved"/>
    <x v="0"/>
    <m/>
    <s v="25CCB97"/>
    <s v="Repair-EA"/>
    <x v="0"/>
    <x v="0"/>
    <x v="11"/>
    <s v="75%"/>
    <d v="2025-05-19T20:23:05"/>
    <d v="2025-05-30T04:00:00"/>
    <d v="2025-05-30T04:00:00"/>
    <x v="16"/>
    <d v="2025-05-27T16:05:16"/>
    <s v="May2025. AF2.0"/>
    <m/>
    <m/>
    <m/>
    <m/>
    <s v=""/>
    <s v=""/>
    <n v="0"/>
    <n v="7.3173032407357823"/>
    <n v="7.3173032407357823"/>
    <n v="0"/>
    <n v="0"/>
    <n v="0"/>
    <n v="0"/>
    <n v="0"/>
    <n v="0"/>
    <n v="0"/>
    <n v="0"/>
    <n v="0"/>
    <n v="7.3173032407357823"/>
    <n v="7.3173032407357823"/>
    <n v="-3"/>
    <n v="1"/>
  </r>
  <r>
    <s v="Cases &amp; Composites"/>
    <s v="CAS-253681-Y8N3Q5"/>
    <s v="Francisco Astiasaran"/>
    <s v="Complete"/>
    <s v="Resolved"/>
    <x v="0"/>
    <m/>
    <s v="25CCB97"/>
    <s v="Repair-EA"/>
    <x v="0"/>
    <x v="0"/>
    <x v="11"/>
    <s v="75%"/>
    <d v="2025-05-27T16:02:24"/>
    <d v="2025-05-30T04:00:00"/>
    <d v="2025-05-30T04:00:00"/>
    <x v="11"/>
    <d v="2025-06-02T12:16:55"/>
    <s v="FASM Prioritize. May2025. AF2.0"/>
    <m/>
    <m/>
    <m/>
    <m/>
    <s v=""/>
    <s v=""/>
    <n v="0"/>
    <n v="2.4983333333293558"/>
    <n v="2.4983333333293558"/>
    <n v="0"/>
    <n v="0"/>
    <n v="0"/>
    <n v="0"/>
    <n v="0"/>
    <n v="0"/>
    <n v="0"/>
    <n v="0"/>
    <n v="0"/>
    <n v="2.4983333333293558"/>
    <n v="2.4983333333293558"/>
    <n v="0"/>
    <n v="1"/>
  </r>
  <r>
    <s v="Cases &amp; Composites"/>
    <n v="109710"/>
    <s v="Francisco Astiasaran"/>
    <s v="Complete"/>
    <s v="Closed"/>
    <x v="0"/>
    <m/>
    <s v="24KC492C"/>
    <s v="Repair-EA"/>
    <x v="0"/>
    <x v="1"/>
    <x v="2"/>
    <s v="75%"/>
    <d v="2024-11-20T05:00:00"/>
    <d v="2025-05-23T04:00:00"/>
    <d v="2025-05-23T04:00:00"/>
    <x v="306"/>
    <d v="2025-05-23T11:47:15"/>
    <s v="Reference MSG-240814-317DA9, MSG-241121-0491BB &amp; MSG-250324-8F569F."/>
    <m/>
    <m/>
    <m/>
    <m/>
    <s v=""/>
    <s v=""/>
    <n v="0"/>
    <n v="182.95833333332848"/>
    <n v="182.95833333332848"/>
    <n v="0"/>
    <n v="0"/>
    <n v="0"/>
    <n v="0"/>
    <n v="0"/>
    <n v="0"/>
    <n v="0"/>
    <n v="0"/>
    <n v="0"/>
    <n v="182.95833333332848"/>
    <n v="182.95833333332848"/>
    <n v="-1"/>
    <n v="1"/>
  </r>
  <r>
    <s v="Cases &amp; Composites"/>
    <s v="CAS-250645-M5X7X8"/>
    <s v="Alexander Page"/>
    <s v="Complete"/>
    <s v="Resolved"/>
    <x v="0"/>
    <m/>
    <s v="25AC086"/>
    <s v="Repair-EA"/>
    <x v="0"/>
    <x v="4"/>
    <x v="6"/>
    <s v="50%"/>
    <d v="2025-04-28T12:39:39"/>
    <d v="2025-07-25T04:00:00"/>
    <d v="2025-07-25T04:00:00"/>
    <x v="27"/>
    <d v="2025-07-09T20:36:18"/>
    <s v="JUL2025 - DR# 02210156 "/>
    <d v="2025-06-05T04:00:00"/>
    <d v="2025-06-11T04:00:00"/>
    <d v="2025-06-16T04:00:00"/>
    <d v="2025-06-30T04:00:00"/>
    <n v="6"/>
    <n v="14"/>
    <n v="20"/>
    <n v="71.639131944444671"/>
    <n v="51.639131944444671"/>
    <n v="2"/>
    <n v="0"/>
    <n v="0"/>
    <n v="0"/>
    <n v="0"/>
    <n v="0"/>
    <n v="0"/>
    <n v="0"/>
    <n v="2"/>
    <n v="69.639131944444671"/>
    <n v="49.639131944444671"/>
    <n v="-16"/>
    <n v="1"/>
  </r>
  <r>
    <s v="Cases &amp; Composites"/>
    <s v="CAS-251099-P3H0J4"/>
    <s v="Francisco Astiasaran"/>
    <s v="Complete"/>
    <s v="Resolved"/>
    <x v="0"/>
    <m/>
    <s v="25KC337"/>
    <s v="Repair-EA"/>
    <x v="0"/>
    <x v="1"/>
    <x v="3"/>
    <s v="75%"/>
    <d v="2025-05-05T11:29:31"/>
    <d v="2025-06-13T04:00:00"/>
    <d v="2025-06-13T04:00:00"/>
    <x v="48"/>
    <d v="2025-06-11T15:12:46"/>
    <s v="Jun2025"/>
    <m/>
    <m/>
    <m/>
    <m/>
    <s v=""/>
    <s v=""/>
    <n v="0"/>
    <n v="34.687835648146574"/>
    <n v="34.687835648146574"/>
    <n v="10"/>
    <n v="0"/>
    <n v="0"/>
    <n v="0"/>
    <n v="0"/>
    <n v="0"/>
    <n v="0"/>
    <n v="0"/>
    <n v="10"/>
    <n v="24.687835648146574"/>
    <n v="24.687835648146574"/>
    <n v="-4"/>
    <n v="1"/>
  </r>
  <r>
    <s v="Cases &amp; Composites"/>
    <s v="CAS-253819-G8W4M7"/>
    <s v="Alexander Page"/>
    <s v="Complete"/>
    <s v="Resolved"/>
    <x v="0"/>
    <m/>
    <s v="25KC351"/>
    <s v="Repair-EA"/>
    <x v="0"/>
    <x v="1"/>
    <x v="3"/>
    <s v="75%"/>
    <d v="2025-05-28T13:06:10"/>
    <d v="2025-07-31T04:00:00"/>
    <d v="2025-08-22T04:00:00"/>
    <x v="307"/>
    <d v="2025-07-11T19:00:09"/>
    <m/>
    <d v="2025-07-09T04:00:00"/>
    <d v="2025-07-09T04:00:00"/>
    <d v="2025-07-09T04:00:00"/>
    <d v="2025-07-09T04:00:00"/>
    <n v="0"/>
    <n v="0"/>
    <n v="0"/>
    <n v="43.620717592588335"/>
    <n v="43.620717592588335"/>
    <n v="0"/>
    <n v="0"/>
    <n v="0"/>
    <n v="0"/>
    <n v="0"/>
    <n v="0"/>
    <n v="0"/>
    <n v="0"/>
    <n v="0"/>
    <n v="43.620717592588335"/>
    <n v="43.620717592588335"/>
    <n v="-20"/>
    <n v="1"/>
  </r>
  <r>
    <s v="Cases &amp; Composites"/>
    <s v="CAS-254582-L2R8V9"/>
    <s v="Alexander Page"/>
    <s v="Complete"/>
    <s v="Resolved"/>
    <x v="0"/>
    <m/>
    <s v="25KC372"/>
    <s v="Repair-EA"/>
    <x v="0"/>
    <x v="1"/>
    <x v="3"/>
    <s v="75%"/>
    <d v="2025-06-04T21:35:44"/>
    <d v="2025-06-30T04:00:00"/>
    <d v="2025-06-30T04:00:00"/>
    <x v="295"/>
    <d v="2025-06-24T14:50:06"/>
    <s v="Jun2025"/>
    <d v="2025-06-17T04:00:00"/>
    <d v="2025-06-17T04:00:00"/>
    <d v="2025-06-17T04:00:00"/>
    <d v="2025-06-17T04:00:00"/>
    <n v="0"/>
    <n v="0"/>
    <n v="0"/>
    <n v="19.266851851847605"/>
    <n v="19.266851851847605"/>
    <n v="0"/>
    <n v="0"/>
    <n v="0"/>
    <n v="0"/>
    <n v="0"/>
    <n v="0"/>
    <n v="0"/>
    <n v="0"/>
    <n v="0"/>
    <n v="19.266851851847605"/>
    <n v="19.266851851847605"/>
    <n v="-6"/>
    <n v="1"/>
  </r>
  <r>
    <s v="Cases &amp; Composites"/>
    <s v="CAS-253955-D8X2N1"/>
    <s v="Jia Chen"/>
    <s v="Complete"/>
    <s v="Resolved"/>
    <x v="0"/>
    <m/>
    <s v="25KC388"/>
    <s v="Repair-EA"/>
    <x v="0"/>
    <x v="1"/>
    <x v="3"/>
    <s v="75%"/>
    <d v="2025-05-29T13:50:58"/>
    <d v="2025-08-19T04:00:00"/>
    <d v="2025-08-19T04:00:00"/>
    <x v="52"/>
    <d v="2025-07-14T14:51:19"/>
    <s v="Jul2025"/>
    <d v="2025-07-09T04:00:00"/>
    <d v="2025-07-09T04:00:00"/>
    <d v="2025-07-09T04:00:00"/>
    <d v="2025-07-09T04:00:00"/>
    <n v="0"/>
    <n v="0"/>
    <n v="0"/>
    <n v="45.589606481480587"/>
    <n v="45.589606481480587"/>
    <n v="11"/>
    <n v="12"/>
    <n v="0"/>
    <n v="0"/>
    <n v="0"/>
    <n v="0"/>
    <n v="0"/>
    <n v="0"/>
    <n v="23"/>
    <n v="22.589606481480587"/>
    <n v="22.589606481480587"/>
    <n v="-36"/>
    <n v="1"/>
  </r>
  <r>
    <s v="Cases &amp; Composites"/>
    <s v="CAS-255125-D0C5Q3"/>
    <s v="Francisco Astiasaran"/>
    <s v="Complete"/>
    <s v="Resolved"/>
    <x v="0"/>
    <m/>
    <s v="25KC381"/>
    <s v="Repair-EA"/>
    <x v="0"/>
    <x v="1"/>
    <x v="3"/>
    <s v="75%"/>
    <d v="2025-06-10T13:18:51"/>
    <d v="2025-07-09T04:00:00"/>
    <d v="2025-07-09T04:00:00"/>
    <x v="308"/>
    <d v="2025-07-23T17:12:47"/>
    <m/>
    <m/>
    <m/>
    <m/>
    <m/>
    <s v=""/>
    <s v=""/>
    <n v="0"/>
    <n v="41.611909722218115"/>
    <n v="41.611909722218115"/>
    <n v="0"/>
    <n v="0"/>
    <n v="0"/>
    <n v="0"/>
    <n v="0"/>
    <n v="0"/>
    <n v="0"/>
    <n v="0"/>
    <n v="0"/>
    <n v="41.611909722218115"/>
    <n v="41.611909722218115"/>
    <n v="13"/>
    <n v="0"/>
  </r>
  <r>
    <s v="Cases &amp; Composites"/>
    <s v="CAS-255127-S4L5X8"/>
    <s v="Francisco Astiasaran"/>
    <s v="Complete"/>
    <s v="Resolved"/>
    <x v="0"/>
    <m/>
    <s v="25KC382"/>
    <s v="Repair-EA"/>
    <x v="0"/>
    <x v="1"/>
    <x v="3"/>
    <s v="75%"/>
    <d v="2025-06-10T13:19:14"/>
    <d v="2025-07-09T04:00:00"/>
    <d v="2025-07-09T04:00:00"/>
    <x v="308"/>
    <d v="2025-07-23T17:12:43"/>
    <m/>
    <m/>
    <m/>
    <m/>
    <m/>
    <s v=""/>
    <s v=""/>
    <n v="0"/>
    <n v="41.611643518517667"/>
    <n v="41.611643518517667"/>
    <n v="0"/>
    <n v="0"/>
    <n v="0"/>
    <n v="0"/>
    <n v="0"/>
    <n v="0"/>
    <n v="0"/>
    <n v="0"/>
    <n v="0"/>
    <n v="41.611643518517667"/>
    <n v="41.611643518517667"/>
    <n v="13"/>
    <n v="0"/>
  </r>
  <r>
    <s v="Cases &amp; Composites"/>
    <s v="CAS-255270-H7C7M1"/>
    <s v="Alexander Page"/>
    <s v="Complete"/>
    <s v="Resolved"/>
    <x v="0"/>
    <m/>
    <s v="25CCE82"/>
    <s v="Repair-EA"/>
    <x v="0"/>
    <x v="0"/>
    <x v="8"/>
    <s v="75%"/>
    <d v="2025-06-11T12:55:50"/>
    <d v="2025-08-22T04:00:00"/>
    <d v="2025-08-22T04:00:00"/>
    <x v="58"/>
    <d v="2025-07-31T19:43:54"/>
    <m/>
    <m/>
    <m/>
    <m/>
    <m/>
    <s v=""/>
    <s v=""/>
    <n v="0"/>
    <n v="49.627893518518249"/>
    <n v="49.627893518518249"/>
    <n v="2.9074952777737053"/>
    <n v="0"/>
    <n v="0"/>
    <n v="0"/>
    <n v="0"/>
    <n v="0"/>
    <n v="0"/>
    <n v="0"/>
    <n v="2.9074952777737053"/>
    <n v="46.720398240744544"/>
    <n v="46.720398240744544"/>
    <n v="-22"/>
    <n v="1"/>
  </r>
  <r>
    <s v="Cases &amp; Composites"/>
    <n v="113644"/>
    <s v="Jia Chen"/>
    <s v="Complete"/>
    <s v="Closed"/>
    <x v="0"/>
    <m/>
    <s v="25FC178"/>
    <s v="Repair-EA"/>
    <x v="0"/>
    <x v="2"/>
    <x v="3"/>
    <s v="75%"/>
    <d v="2025-06-16T04:00:00"/>
    <d v="2025-09-03T04:00:00"/>
    <d v="2025-09-03T04:00:00"/>
    <x v="58"/>
    <d v="2025-07-31T20:08:25"/>
    <s v="Aug2025"/>
    <d v="2025-07-23T04:00:00"/>
    <d v="2025-07-23T04:00:00"/>
    <d v="2025-07-23T04:00:00"/>
    <d v="2025-07-24T04:00:00"/>
    <n v="0"/>
    <n v="1"/>
    <n v="1"/>
    <n v="45"/>
    <n v="44"/>
    <n v="6"/>
    <n v="0"/>
    <n v="0"/>
    <n v="0"/>
    <n v="0"/>
    <n v="0"/>
    <n v="0"/>
    <n v="0"/>
    <n v="6"/>
    <n v="39"/>
    <n v="38"/>
    <n v="-34"/>
    <n v="1"/>
  </r>
  <r>
    <s v="Cases &amp; Composites"/>
    <s v="CAS-255773-G2Q6L0"/>
    <s v="Jia Chen"/>
    <s v="Complete"/>
    <s v="Resolved"/>
    <x v="0"/>
    <m/>
    <s v="25KC447"/>
    <s v="Repair-EA"/>
    <x v="0"/>
    <x v="1"/>
    <x v="3"/>
    <s v="75%"/>
    <d v="2025-06-16T19:46:23"/>
    <d v="2025-10-22T04:00:00"/>
    <d v="2025-09-09T04:00:00"/>
    <x v="0"/>
    <d v="2025-08-01T17:46:18"/>
    <s v="Aug2025"/>
    <d v="2025-07-31T04:00:00"/>
    <d v="2025-07-31T04:00:00"/>
    <d v="2025-07-31T04:00:00"/>
    <d v="2025-07-31T04:00:00"/>
    <n v="0"/>
    <n v="0"/>
    <n v="0"/>
    <n v="45.342789351852844"/>
    <n v="45.342789351852844"/>
    <n v="4"/>
    <n v="0"/>
    <n v="0"/>
    <n v="0"/>
    <n v="0"/>
    <n v="0"/>
    <n v="0"/>
    <n v="0"/>
    <n v="4"/>
    <n v="41.342789351852844"/>
    <n v="41.342789351852844"/>
    <n v="-82"/>
    <n v="1"/>
  </r>
  <r>
    <s v="Cases &amp; Composites"/>
    <s v="CAS-172127-G9L4F4"/>
    <s v="Robert Thompson"/>
    <s v="Complete"/>
    <s v="Resolved"/>
    <x v="2"/>
    <n v="1"/>
    <s v="21CCL34A"/>
    <s v="Repair-EA"/>
    <x v="1"/>
    <x v="0"/>
    <x v="0"/>
    <m/>
    <d v="2023-02-20T15:50:55"/>
    <d v="2023-10-27T04:00:00"/>
    <d v="2024-02-23T05:00:00"/>
    <x v="142"/>
    <d v="2024-02-22T14:00:03"/>
    <m/>
    <d v="2023-04-24T04:00:00"/>
    <d v="2023-04-24T04:00:00"/>
    <d v="2023-04-24T04:00:00"/>
    <d v="2023-04-27T04:00:00"/>
    <n v="0"/>
    <n v="3"/>
    <n v="3"/>
    <n v="365.54797453703941"/>
    <n v="362.54797453703941"/>
    <n v="0"/>
    <n v="0"/>
    <n v="0"/>
    <n v="0"/>
    <n v="0"/>
    <n v="0"/>
    <n v="0"/>
    <n v="0"/>
    <n v="0"/>
    <n v="365.54797453703941"/>
    <n v="362.54797453703941"/>
    <n v="117.04166666667152"/>
    <n v="0"/>
  </r>
  <r>
    <s v="Cases &amp; Composites"/>
    <s v="CAS-179279-H5P1Q4"/>
    <s v="Pedro Iturrino"/>
    <s v="Complete"/>
    <s v="Resolved"/>
    <x v="2"/>
    <n v="1"/>
    <s v="23KC502"/>
    <s v="Repair-EA"/>
    <x v="0"/>
    <x v="1"/>
    <x v="3"/>
    <m/>
    <d v="2023-05-04T18:27:49"/>
    <d v="2023-11-30T05:00:00"/>
    <d v="2024-01-26T05:00:00"/>
    <x v="309"/>
    <d v="2024-01-19T19:47:23"/>
    <s v="JAN"/>
    <d v="2023-09-19T04:00:00"/>
    <d v="2023-09-25T04:00:00"/>
    <d v="2023-09-25T04:00:00"/>
    <d v="2023-09-26T04:00:00"/>
    <n v="6"/>
    <n v="1"/>
    <n v="7"/>
    <n v="259.43901620370889"/>
    <n v="252.43901620370889"/>
    <n v="0"/>
    <n v="0"/>
    <n v="0"/>
    <n v="0"/>
    <n v="0"/>
    <n v="0"/>
    <n v="0"/>
    <n v="0"/>
    <n v="0"/>
    <n v="259.43901620370889"/>
    <n v="252.43901620370889"/>
    <n v="50"/>
    <n v="0"/>
  </r>
  <r>
    <s v="Cases &amp; Composites"/>
    <s v="CAS-187068-V6Z7F6"/>
    <s v="Jia Chen"/>
    <s v="Complete"/>
    <s v="Resolved"/>
    <x v="2"/>
    <n v="1"/>
    <s v="23CCK33"/>
    <s v="Repair-EA"/>
    <x v="0"/>
    <x v="0"/>
    <x v="8"/>
    <m/>
    <d v="2023-07-25T12:58:37"/>
    <d v="2024-02-29T05:00:00"/>
    <d v="2024-04-18T04:00:00"/>
    <x v="165"/>
    <d v="2024-04-03T20:39:07"/>
    <s v="TIC Inner. Apr"/>
    <d v="2023-07-25T04:00:00"/>
    <d v="2023-07-27T04:00:00"/>
    <d v="2023-07-27T04:00:00"/>
    <d v="2024-01-18T05:00:00"/>
    <n v="2"/>
    <n v="175.04166666667152"/>
    <n v="177.04166666667152"/>
    <n v="252.62596064814716"/>
    <n v="75.584293981475639"/>
    <n v="0"/>
    <n v="0"/>
    <n v="0"/>
    <n v="0"/>
    <n v="0"/>
    <n v="0"/>
    <n v="0"/>
    <n v="0"/>
    <n v="0"/>
    <n v="252.62596064814716"/>
    <n v="75.584293981475639"/>
    <n v="33.958333333328483"/>
    <n v="0"/>
  </r>
  <r>
    <s v="Cases &amp; Composites"/>
    <s v="CAS-194229-G8V7Y6"/>
    <s v="Jia Chen"/>
    <s v="Complete"/>
    <s v="Resolved"/>
    <x v="2"/>
    <n v="1"/>
    <s v="23VC473"/>
    <s v="Repair-EA"/>
    <x v="0"/>
    <x v="3"/>
    <x v="5"/>
    <m/>
    <d v="2023-10-05T17:45:37"/>
    <d v="2023-12-08T05:00:00"/>
    <d v="2024-01-31T05:00:00"/>
    <x v="61"/>
    <d v="2024-01-31T18:43:15"/>
    <s v="JAN"/>
    <d v="2023-10-20T04:00:00"/>
    <d v="2023-12-13T05:00:00"/>
    <d v="2023-12-13T05:00:00"/>
    <d v="2024-01-04T05:00:00"/>
    <n v="54.041666666671517"/>
    <n v="22"/>
    <n v="76.041666666671517"/>
    <n v="117.46832175926102"/>
    <n v="41.426655092589499"/>
    <n v="0"/>
    <n v="0"/>
    <n v="0"/>
    <n v="0"/>
    <n v="0"/>
    <n v="0"/>
    <n v="0"/>
    <n v="0"/>
    <n v="0"/>
    <n v="117.46832175926102"/>
    <n v="41.426655092589499"/>
    <n v="54"/>
    <n v="0"/>
  </r>
  <r>
    <s v="Cases &amp; Composites"/>
    <s v="CAS-201228-P6L9F1"/>
    <s v="Alexander Page"/>
    <s v="Complete"/>
    <s v="Resolved"/>
    <x v="2"/>
    <n v="1"/>
    <s v="24VC174"/>
    <s v="Repair-EA"/>
    <x v="0"/>
    <x v="3"/>
    <x v="5"/>
    <m/>
    <d v="2023-12-14T09:27:45"/>
    <d v="2024-05-10T04:00:00"/>
    <d v="2024-07-31T04:00:00"/>
    <x v="286"/>
    <d v="2024-07-31T18:16:32"/>
    <s v="July"/>
    <d v="2024-04-05T04:00:00"/>
    <d v="2024-04-29T04:00:00"/>
    <d v="2024-04-29T04:00:00"/>
    <d v="2024-04-30T04:00:00"/>
    <n v="24"/>
    <n v="1"/>
    <n v="25"/>
    <n v="227.77239583332994"/>
    <n v="202.77239583332994"/>
    <n v="0"/>
    <n v="0"/>
    <n v="0"/>
    <n v="0"/>
    <n v="0"/>
    <n v="0"/>
    <n v="0"/>
    <n v="0"/>
    <n v="0"/>
    <n v="227.77239583332994"/>
    <n v="202.77239583332994"/>
    <n v="80"/>
    <n v="0"/>
  </r>
  <r>
    <s v="Cases &amp; Composites"/>
    <n v="103192"/>
    <s v="Robert Thompson"/>
    <s v="Complete"/>
    <s v="Closed"/>
    <x v="2"/>
    <n v="1"/>
    <s v="24FC007"/>
    <s v="Repair-EA"/>
    <x v="0"/>
    <x v="2"/>
    <x v="3"/>
    <m/>
    <d v="2024-01-03T05:00:00"/>
    <d v="2024-02-02T05:00:00"/>
    <d v="2024-02-19T05:00:00"/>
    <x v="162"/>
    <d v="2024-02-20T17:41:33"/>
    <s v="Feb."/>
    <d v="2024-01-18T05:00:00"/>
    <d v="2024-01-26T05:00:00"/>
    <d v="2024-01-26T05:00:00"/>
    <d v="2024-02-12T05:00:00"/>
    <n v="8"/>
    <n v="17"/>
    <n v="25"/>
    <n v="43"/>
    <n v="18"/>
    <n v="0"/>
    <n v="0"/>
    <n v="0"/>
    <n v="0"/>
    <n v="0"/>
    <n v="0"/>
    <n v="0"/>
    <n v="0"/>
    <n v="0"/>
    <n v="43"/>
    <n v="18"/>
    <n v="13"/>
    <n v="0"/>
  </r>
  <r>
    <s v="Cases &amp; Composites"/>
    <s v="CAS-204029-B9X4Z1"/>
    <s v="Robert Thompson"/>
    <s v="Complete"/>
    <s v="Resolved"/>
    <x v="2"/>
    <n v="1"/>
    <s v="24AC013"/>
    <s v="Repair-EA"/>
    <x v="1"/>
    <x v="4"/>
    <x v="6"/>
    <m/>
    <d v="2024-01-17T20:27:25"/>
    <d v="2024-02-22T05:00:00"/>
    <d v="2024-05-09T04:00:00"/>
    <x v="310"/>
    <d v="2024-05-13T11:47:58"/>
    <s v="May"/>
    <d v="2024-02-14T05:00:00"/>
    <d v="2024-02-27T05:00:00"/>
    <d v="2024-02-27T05:00:00"/>
    <d v="2024-02-28T05:00:00"/>
    <n v="13"/>
    <n v="1"/>
    <n v="14"/>
    <n v="111.31429398147884"/>
    <n v="97.314293981478841"/>
    <n v="0"/>
    <n v="0"/>
    <n v="0"/>
    <n v="0"/>
    <n v="0"/>
    <n v="0"/>
    <n v="0"/>
    <n v="0"/>
    <n v="0"/>
    <n v="111.31429398147884"/>
    <n v="97.314293981478841"/>
    <n v="75.958333333328483"/>
    <n v="0"/>
  </r>
  <r>
    <s v="Cases &amp; Composites"/>
    <s v="CAS-204884-Y7L5Y9"/>
    <s v="Robert Thompson"/>
    <s v="Complete"/>
    <s v="Resolved"/>
    <x v="2"/>
    <n v="1"/>
    <s v="24CC316"/>
    <s v="Repair-EA"/>
    <x v="0"/>
    <x v="0"/>
    <x v="8"/>
    <m/>
    <d v="2024-01-25T19:32:22"/>
    <d v="2024-02-23T05:00:00"/>
    <d v="2024-04-30T04:00:00"/>
    <x v="2"/>
    <d v="2024-04-30T17:10:27"/>
    <s v="Apr FanR-Blade"/>
    <d v="2024-02-06T05:00:00"/>
    <d v="2024-03-05T05:00:00"/>
    <d v="2024-03-05T05:00:00"/>
    <d v="2024-03-22T04:00:00"/>
    <n v="28"/>
    <n v="16.958333333328483"/>
    <n v="44.958333333328483"/>
    <n v="95.352523148147156"/>
    <n v="50.394189814818674"/>
    <n v="0"/>
    <n v="0"/>
    <n v="0"/>
    <n v="0"/>
    <n v="0"/>
    <n v="12.2229516319494"/>
    <n v="0"/>
    <n v="0"/>
    <n v="12.2229516319494"/>
    <n v="83.129571516197757"/>
    <n v="38.171238182869274"/>
    <n v="66.958333333328483"/>
    <n v="0"/>
  </r>
  <r>
    <s v="Cases &amp; Composites"/>
    <s v="CAS-209535-P6J0Y9"/>
    <s v="Pedro Iturrino"/>
    <s v="Complete"/>
    <s v="Resolved"/>
    <x v="2"/>
    <n v="1"/>
    <s v="24CCB14"/>
    <s v="Repair-EA"/>
    <x v="0"/>
    <x v="0"/>
    <x v="8"/>
    <m/>
    <d v="2024-03-14T19:07:01"/>
    <d v="2024-06-28T04:00:00"/>
    <d v="2024-08-30T04:00:00"/>
    <x v="285"/>
    <d v="2024-08-30T18:14:25"/>
    <s v="AUG / TIC Inner"/>
    <d v="2024-06-10T04:00:00"/>
    <d v="2024-06-14T04:00:00"/>
    <d v="2024-06-14T04:00:00"/>
    <d v="2024-08-08T04:00:00"/>
    <n v="4"/>
    <n v="55"/>
    <n v="59"/>
    <n v="168.37012731481082"/>
    <n v="109.37012731481082"/>
    <n v="0"/>
    <n v="0"/>
    <n v="0"/>
    <n v="0"/>
    <n v="32.878345972218085"/>
    <n v="0"/>
    <n v="0"/>
    <n v="0"/>
    <n v="32.878345972218085"/>
    <n v="135.49178134259273"/>
    <n v="76.491781342592731"/>
    <n v="63"/>
    <n v="0"/>
  </r>
  <r>
    <s v="Cases &amp; Composites"/>
    <s v="CAS-193348-V8Z9T6"/>
    <s v="Robert Thompson"/>
    <s v="Complete"/>
    <s v="Resolved"/>
    <x v="2"/>
    <n v="1"/>
    <s v="23KC535"/>
    <s v="Repair-EA"/>
    <x v="3"/>
    <x v="1"/>
    <x v="3"/>
    <s v="75%"/>
    <d v="2023-09-26T15:03:05"/>
    <d v="2023-12-22T05:00:00"/>
    <d v="2024-06-26T04:00:00"/>
    <x v="311"/>
    <d v="2024-06-20T17:32:48"/>
    <m/>
    <m/>
    <m/>
    <m/>
    <m/>
    <s v=""/>
    <s v=""/>
    <n v="0"/>
    <n v="267.53952546296205"/>
    <n v="267.53952546296205"/>
    <n v="0"/>
    <n v="0"/>
    <n v="0"/>
    <n v="0"/>
    <n v="0"/>
    <n v="0"/>
    <n v="0"/>
    <n v="0"/>
    <n v="0"/>
    <n v="267.53952546296205"/>
    <n v="267.53952546296205"/>
    <n v="180.95833333332848"/>
    <n v="0"/>
  </r>
  <r>
    <s v="Cases &amp; Composites"/>
    <n v="105786"/>
    <s v="Jia Chen"/>
    <s v="Complete"/>
    <s v="Closed"/>
    <x v="2"/>
    <n v="1"/>
    <s v="24FC179"/>
    <s v="Repair-EA"/>
    <x v="0"/>
    <x v="2"/>
    <x v="3"/>
    <s v="75%"/>
    <d v="2024-05-08T04:00:00"/>
    <d v="2024-08-08T04:00:00"/>
    <d v="2024-08-08T04:00:00"/>
    <x v="286"/>
    <d v="2024-07-29T21:54:17"/>
    <m/>
    <d v="2024-05-31T04:00:00"/>
    <d v="2024-06-19T04:00:00"/>
    <d v="2024-06-19T04:00:00"/>
    <d v="2024-06-19T04:00:00"/>
    <n v="19"/>
    <n v="0"/>
    <n v="19"/>
    <n v="82"/>
    <n v="63"/>
    <n v="0"/>
    <n v="0"/>
    <n v="0"/>
    <n v="0"/>
    <n v="0"/>
    <n v="0"/>
    <n v="0"/>
    <n v="0"/>
    <n v="0"/>
    <n v="82"/>
    <n v="63"/>
    <n v="-10"/>
    <n v="1"/>
  </r>
  <r>
    <s v="Cases &amp; Composites"/>
    <s v="CAS-217957-H2K6R6"/>
    <s v="Robert Thompson"/>
    <s v="Complete"/>
    <s v="Resolved"/>
    <x v="2"/>
    <n v="1"/>
    <s v="24KC348"/>
    <s v="Repair-EA"/>
    <x v="3"/>
    <x v="1"/>
    <x v="3"/>
    <s v="50%"/>
    <d v="2024-06-13T12:10:38"/>
    <d v="2024-10-25T04:00:00"/>
    <d v="2024-09-05T04:00:00"/>
    <x v="312"/>
    <d v="2024-09-05T19:11:02"/>
    <s v="Sept"/>
    <m/>
    <m/>
    <m/>
    <m/>
    <s v=""/>
    <s v=""/>
    <n v="0"/>
    <n v="83.659282407403225"/>
    <n v="83.659282407403225"/>
    <n v="0"/>
    <n v="0"/>
    <n v="0"/>
    <n v="0"/>
    <n v="0"/>
    <n v="0"/>
    <n v="0"/>
    <n v="0"/>
    <n v="0"/>
    <n v="83.659282407403225"/>
    <n v="83.659282407403225"/>
    <n v="-50"/>
    <n v="1"/>
  </r>
  <r>
    <s v="Cases &amp; Composites"/>
    <n v="108585"/>
    <s v="Robert Thompson"/>
    <s v="Complete"/>
    <s v="Closed"/>
    <x v="2"/>
    <n v="1"/>
    <s v="24FC323"/>
    <s v="Repair-EA"/>
    <x v="1"/>
    <x v="2"/>
    <x v="2"/>
    <s v="75%"/>
    <d v="2024-09-25T04:00:00"/>
    <d v="2024-11-22T05:00:00"/>
    <d v="2024-11-22T05:00:00"/>
    <x v="313"/>
    <d v="2024-11-08T13:58:06"/>
    <m/>
    <m/>
    <m/>
    <m/>
    <m/>
    <s v=""/>
    <s v=""/>
    <n v="0"/>
    <n v="43.041666666671517"/>
    <n v="43.041666666671517"/>
    <n v="0"/>
    <n v="0"/>
    <n v="0"/>
    <n v="0"/>
    <n v="0"/>
    <n v="0"/>
    <n v="0"/>
    <n v="0"/>
    <n v="0"/>
    <n v="43.041666666671517"/>
    <n v="43.041666666671517"/>
    <n v="-15"/>
    <n v="1"/>
  </r>
  <r>
    <s v="Cases &amp; Composites"/>
    <s v="CAS-195505-H3L5N2"/>
    <s v="Jia Chen"/>
    <s v="Complete"/>
    <s v="Resolved"/>
    <x v="2"/>
    <n v="2"/>
    <s v="23FC333"/>
    <s v="Repair-EA"/>
    <x v="3"/>
    <x v="2"/>
    <x v="3"/>
    <m/>
    <d v="2023-10-18T14:31:52"/>
    <d v="2024-04-25T04:00:00"/>
    <d v="2024-06-13T04:00:00"/>
    <x v="314"/>
    <d v="2024-05-31T14:25:00"/>
    <s v="May"/>
    <d v="2024-05-09T04:00:00"/>
    <d v="2024-05-16T04:00:00"/>
    <d v="2024-05-16T04:00:00"/>
    <d v="2024-05-16T04:00:00"/>
    <n v="7"/>
    <n v="0"/>
    <n v="7"/>
    <n v="224.56120370369899"/>
    <n v="217.56120370369899"/>
    <n v="0"/>
    <n v="0"/>
    <n v="0"/>
    <n v="0"/>
    <n v="0"/>
    <n v="0"/>
    <n v="0"/>
    <n v="0"/>
    <n v="0"/>
    <n v="224.56120370369899"/>
    <n v="217.56120370369899"/>
    <n v="35"/>
    <n v="0"/>
  </r>
  <r>
    <s v="Cases &amp; Composites"/>
    <s v="CAS-194652-S7Y1L5"/>
    <s v="Jia Chen"/>
    <s v="Complete"/>
    <s v="Resolved"/>
    <x v="2"/>
    <n v="2"/>
    <s v="24CC221"/>
    <s v="Repair-EA"/>
    <x v="0"/>
    <x v="0"/>
    <x v="8"/>
    <m/>
    <d v="2023-10-10T20:08:47"/>
    <d v="2024-03-14T04:00:00"/>
    <d v="2024-05-09T04:00:00"/>
    <x v="2"/>
    <d v="2024-04-30T16:09:04"/>
    <s v="IDC"/>
    <d v="2024-01-25T05:00:00"/>
    <d v="2024-02-22T05:00:00"/>
    <d v="2024-02-22T05:00:00"/>
    <d v="2024-04-22T04:00:00"/>
    <n v="28"/>
    <n v="59.958333333328483"/>
    <n v="87.958333333328483"/>
    <n v="202.32723379629169"/>
    <n v="114.36890046296321"/>
    <n v="0"/>
    <n v="0"/>
    <n v="0"/>
    <n v="0"/>
    <n v="0"/>
    <n v="0"/>
    <n v="5.9445427777754958"/>
    <n v="0"/>
    <n v="5.9445427777754958"/>
    <n v="196.3826910185162"/>
    <n v="108.42435768518772"/>
    <n v="47"/>
    <n v="0"/>
  </r>
  <r>
    <s v="Cases &amp; Composites"/>
    <s v="CAS-205386-Y3B6M7"/>
    <s v="Robert Thompson"/>
    <s v="Complete"/>
    <s v="Resolved"/>
    <x v="2"/>
    <n v="2"/>
    <s v="24CC318"/>
    <s v="Repair-EA"/>
    <x v="0"/>
    <x v="0"/>
    <x v="10"/>
    <m/>
    <d v="2024-01-31T15:53:18"/>
    <d v="2024-02-23T05:00:00"/>
    <d v="2024-02-23T05:00:00"/>
    <x v="120"/>
    <d v="2024-02-13T14:29:14"/>
    <s v="Feb."/>
    <d v="2024-02-06T05:00:00"/>
    <d v="2024-02-07T05:00:00"/>
    <d v="2024-02-07T05:00:00"/>
    <d v="2024-02-07T05:00:00"/>
    <n v="1"/>
    <n v="0"/>
    <n v="1"/>
    <n v="11.546319444445544"/>
    <n v="10.546319444445544"/>
    <n v="0"/>
    <n v="0"/>
    <n v="0"/>
    <n v="0"/>
    <n v="0"/>
    <n v="0"/>
    <n v="0"/>
    <n v="0"/>
    <n v="0"/>
    <n v="11.546319444445544"/>
    <n v="10.546319444445544"/>
    <n v="-11"/>
    <n v="1"/>
  </r>
  <r>
    <s v="Cases &amp; Composites"/>
    <s v="CAS-206119-D9Y3P2"/>
    <s v="Robert Thompson"/>
    <s v="Complete"/>
    <s v="Resolved"/>
    <x v="2"/>
    <n v="2"/>
    <s v="24CC532"/>
    <s v="Repair-EA"/>
    <x v="0"/>
    <x v="0"/>
    <x v="0"/>
    <m/>
    <d v="2024-02-08T14:38:16"/>
    <d v="2024-03-22T04:00:00"/>
    <d v="2024-03-28T04:00:00"/>
    <x v="154"/>
    <d v="2024-03-28T14:16:56"/>
    <s v="Mar2"/>
    <d v="2024-03-04T05:00:00"/>
    <d v="2024-03-06T05:00:00"/>
    <d v="2024-03-06T05:00:00"/>
    <d v="2024-03-06T05:00:00"/>
    <n v="2"/>
    <n v="0"/>
    <n v="2"/>
    <n v="47.556759259256069"/>
    <n v="45.556759259256069"/>
    <n v="0"/>
    <n v="0"/>
    <n v="0"/>
    <n v="0"/>
    <n v="0"/>
    <n v="0"/>
    <n v="0"/>
    <n v="0"/>
    <n v="0"/>
    <n v="47.556759259256069"/>
    <n v="45.556759259256069"/>
    <n v="5"/>
    <n v="0"/>
  </r>
  <r>
    <s v="Cases &amp; Composites"/>
    <s v="MSG-240126-085933"/>
    <s v="Dean Catlett"/>
    <s v="Complete"/>
    <s v="Complete"/>
    <x v="2"/>
    <n v="2"/>
    <s v="24CC760"/>
    <s v="Repair-EA"/>
    <x v="1"/>
    <x v="0"/>
    <x v="7"/>
    <m/>
    <d v="2024-01-26T05:00:00"/>
    <d v="2024-10-02T04:00:00"/>
    <d v="2024-10-02T04:00:00"/>
    <x v="314"/>
    <d v="2024-05-30T17:31:33"/>
    <s v="Evaluate and substantiate continued viability of subject DMCs for applicability to GTFA model and parameters. Ensure stack up allowances with GTFA config as well as repairable limits meet requirements. Evaluate options for limit expansion.  "/>
    <m/>
    <m/>
    <m/>
    <m/>
    <s v=""/>
    <s v=""/>
    <n v="0"/>
    <n v="124.95833333332848"/>
    <n v="124.95833333332848"/>
    <n v="0"/>
    <n v="0"/>
    <n v="0"/>
    <n v="0"/>
    <n v="0"/>
    <n v="0"/>
    <n v="0"/>
    <n v="0"/>
    <n v="0"/>
    <n v="124.95833333332848"/>
    <n v="124.95833333332848"/>
    <n v="-125"/>
    <n v="1"/>
  </r>
  <r>
    <s v="Cases &amp; Composites"/>
    <n v="106501"/>
    <s v="Robert Thompson"/>
    <s v="Complete"/>
    <s v="Closed"/>
    <x v="2"/>
    <n v="2"/>
    <s v="24FC248"/>
    <s v="Repair-EA"/>
    <x v="0"/>
    <x v="2"/>
    <x v="2"/>
    <s v="75%"/>
    <d v="2024-06-13T04:00:00"/>
    <d v="2024-10-31T04:00:00"/>
    <d v="2024-08-16T04:00:00"/>
    <x v="315"/>
    <d v="2024-08-20T17:49:07"/>
    <m/>
    <d v="2024-07-23T04:00:00"/>
    <d v="2024-07-23T04:00:00"/>
    <d v="2024-07-23T04:00:00"/>
    <d v="2024-08-09T04:00:00"/>
    <n v="0"/>
    <n v="17"/>
    <n v="17"/>
    <n v="68"/>
    <n v="51"/>
    <n v="0"/>
    <n v="0"/>
    <n v="0"/>
    <n v="0"/>
    <n v="4"/>
    <n v="0"/>
    <n v="0"/>
    <n v="0"/>
    <n v="4"/>
    <n v="64"/>
    <n v="47"/>
    <n v="-72"/>
    <n v="1"/>
  </r>
  <r>
    <s v="Cases &amp; Composites"/>
    <s v="CAS-235579-N5G0S8"/>
    <s v="Brian K Holland"/>
    <s v="Complete"/>
    <s v="Resolved"/>
    <x v="2"/>
    <n v="2"/>
    <s v="24CCX47"/>
    <s v="Repair-EA"/>
    <x v="0"/>
    <x v="0"/>
    <x v="3"/>
    <s v="75%"/>
    <d v="2024-11-27T18:27:36"/>
    <d v="2024-12-16T05:00:00"/>
    <d v="2024-12-16T05:00:00"/>
    <x v="44"/>
    <d v="2024-12-16T21:06:59"/>
    <m/>
    <m/>
    <m/>
    <m/>
    <m/>
    <s v=""/>
    <s v=""/>
    <n v="0"/>
    <n v="18.439166666670644"/>
    <n v="18.439166666670644"/>
    <n v="0"/>
    <n v="0"/>
    <n v="0"/>
    <n v="0"/>
    <n v="0"/>
    <n v="0"/>
    <n v="0"/>
    <n v="0"/>
    <n v="0"/>
    <n v="18.439166666670644"/>
    <n v="18.439166666670644"/>
    <n v="0"/>
    <n v="1"/>
  </r>
  <r>
    <s v="Cases &amp; Composites"/>
    <s v="CAS-187920-C2T7Y8"/>
    <s v="Orlando Melendez Colon"/>
    <s v="Complete"/>
    <s v="Active"/>
    <x v="2"/>
    <n v="3"/>
    <s v="23VC419"/>
    <s v="Repair-EA"/>
    <x v="0"/>
    <x v="3"/>
    <x v="5"/>
    <m/>
    <d v="2023-08-03T06:56:14"/>
    <d v="2023-11-30T05:00:00"/>
    <d v="2024-05-22T04:00:00"/>
    <x v="72"/>
    <d v="2024-05-22T16:10:33"/>
    <s v="May"/>
    <d v="2023-09-26T04:00:00"/>
    <d v="2023-09-28T04:00:00"/>
    <d v="2023-09-28T04:00:00"/>
    <d v="2023-10-09T04:00:00"/>
    <n v="2"/>
    <n v="11"/>
    <n v="13"/>
    <n v="290.87761574074102"/>
    <n v="277.87761574074102"/>
    <n v="0"/>
    <n v="0"/>
    <n v="0"/>
    <n v="0"/>
    <n v="0"/>
    <n v="0"/>
    <n v="0"/>
    <n v="13"/>
    <n v="13"/>
    <n v="277.87761574074102"/>
    <n v="264.87761574074102"/>
    <n v="171.95833333332848"/>
    <n v="0"/>
  </r>
  <r>
    <s v="Cases &amp; Composites"/>
    <n v="101380"/>
    <s v="Pedro Iturrino"/>
    <s v="Complete"/>
    <s v="Closed"/>
    <x v="2"/>
    <n v="3"/>
    <s v="23FC321"/>
    <s v="Repair-EA"/>
    <x v="0"/>
    <x v="2"/>
    <x v="3"/>
    <m/>
    <d v="2023-09-27T04:00:00"/>
    <d v="2024-01-30T05:00:00"/>
    <d v="2024-04-16T04:00:00"/>
    <x v="316"/>
    <d v="2024-04-17T14:27:47"/>
    <s v="APR"/>
    <d v="2023-10-30T04:00:00"/>
    <d v="2023-12-20T05:00:00"/>
    <d v="2023-12-20T05:00:00"/>
    <d v="2024-02-08T05:00:00"/>
    <n v="51.041666666671517"/>
    <n v="50"/>
    <n v="101.04166666667152"/>
    <n v="196"/>
    <n v="94.958333333328483"/>
    <n v="0"/>
    <n v="0"/>
    <n v="0"/>
    <n v="0"/>
    <n v="0"/>
    <n v="0"/>
    <n v="8"/>
    <n v="0"/>
    <n v="8"/>
    <n v="188"/>
    <n v="86.958333333328483"/>
    <n v="70.958333333328483"/>
    <n v="0"/>
  </r>
  <r>
    <s v="Cases &amp; Composites"/>
    <s v="CAS-194237-W6C3C8"/>
    <s v="Jia Chen"/>
    <s v="Complete"/>
    <s v="Resolved"/>
    <x v="2"/>
    <n v="3"/>
    <s v="23KC536"/>
    <s v="Repair-EA"/>
    <x v="0"/>
    <x v="1"/>
    <x v="3"/>
    <m/>
    <d v="2023-10-06T12:55:48"/>
    <d v="2024-01-26T05:00:00"/>
    <d v="2024-03-28T04:00:00"/>
    <x v="173"/>
    <d v="2024-03-20T20:33:27"/>
    <s v="mar2"/>
    <d v="2023-10-20T04:00:00"/>
    <d v="2023-10-31T04:00:00"/>
    <d v="2023-10-31T04:00:00"/>
    <d v="2023-12-22T05:00:00"/>
    <n v="11"/>
    <n v="52.041666666671517"/>
    <n v="63.041666666671517"/>
    <n v="163.62791666666453"/>
    <n v="100.58624999999302"/>
    <n v="0"/>
    <n v="0"/>
    <n v="0"/>
    <n v="0"/>
    <n v="0"/>
    <n v="0"/>
    <n v="0"/>
    <n v="0"/>
    <n v="0"/>
    <n v="163.62791666666453"/>
    <n v="100.58624999999302"/>
    <n v="51.958333333328483"/>
    <n v="0"/>
  </r>
  <r>
    <s v="Cases &amp; Composites"/>
    <s v="CAS-200286-L6L1T3"/>
    <s v="Robert Thompson"/>
    <s v="Complete"/>
    <s v="Resolved"/>
    <x v="2"/>
    <n v="3"/>
    <s v="15CC044B"/>
    <s v="Repair-EA"/>
    <x v="1"/>
    <x v="0"/>
    <x v="0"/>
    <m/>
    <d v="2023-12-06T13:21:56"/>
    <d v="2024-02-23T05:00:00"/>
    <d v="2024-02-23T05:00:00"/>
    <x v="142"/>
    <d v="2024-02-22T14:15:52"/>
    <m/>
    <m/>
    <m/>
    <m/>
    <m/>
    <s v=""/>
    <s v=""/>
    <n v="0"/>
    <n v="76.651435185187438"/>
    <n v="76.651435185187438"/>
    <n v="0"/>
    <n v="0"/>
    <n v="0"/>
    <n v="0"/>
    <n v="0"/>
    <n v="0"/>
    <n v="0"/>
    <n v="0"/>
    <n v="0"/>
    <n v="76.651435185187438"/>
    <n v="76.651435185187438"/>
    <n v="-2"/>
    <n v="1"/>
  </r>
  <r>
    <s v="Cases &amp; Composites"/>
    <s v="CAS-203441-P6B2Y1"/>
    <s v="Robert Thompson"/>
    <s v="Complete"/>
    <s v="Resolved"/>
    <x v="2"/>
    <n v="3"/>
    <s v="22AC041C"/>
    <s v="Repair-EA"/>
    <x v="1"/>
    <x v="4"/>
    <x v="6"/>
    <m/>
    <d v="2024-01-11T18:53:23"/>
    <d v="2024-03-29T04:00:00"/>
    <d v="2024-03-05T05:00:00"/>
    <x v="172"/>
    <d v="2024-03-05T15:21:55"/>
    <s v="Mar1"/>
    <m/>
    <m/>
    <m/>
    <m/>
    <s v=""/>
    <s v=""/>
    <n v="0"/>
    <n v="52.421261574076198"/>
    <n v="52.421261574076198"/>
    <n v="0"/>
    <n v="0"/>
    <n v="0"/>
    <n v="0"/>
    <n v="0"/>
    <n v="0"/>
    <n v="0"/>
    <n v="0"/>
    <n v="0"/>
    <n v="52.421261574076198"/>
    <n v="52.421261574076198"/>
    <n v="-24.958333333328483"/>
    <n v="1"/>
  </r>
  <r>
    <s v="Cases &amp; Composites"/>
    <s v="CAS-212227-M3Y0X1"/>
    <s v="Robert Thompson"/>
    <s v="Complete"/>
    <s v="Resolved"/>
    <x v="2"/>
    <n v="3"/>
    <s v="24KC236"/>
    <s v="Repair-EA"/>
    <x v="3"/>
    <x v="1"/>
    <x v="3"/>
    <m/>
    <d v="2024-04-12T17:27:23"/>
    <d v="2024-06-06T04:00:00"/>
    <d v="2024-09-13T04:00:00"/>
    <x v="317"/>
    <d v="2024-09-10T14:48:06"/>
    <s v="Sept"/>
    <d v="2024-04-24T04:00:00"/>
    <d v="2024-05-24T04:00:00"/>
    <d v="2024-05-24T04:00:00"/>
    <d v="2024-06-21T04:00:00"/>
    <n v="30"/>
    <n v="28"/>
    <n v="58"/>
    <n v="149.43931712962512"/>
    <n v="91.439317129625124"/>
    <n v="0"/>
    <n v="0"/>
    <n v="0"/>
    <n v="0"/>
    <n v="0"/>
    <n v="0"/>
    <n v="0"/>
    <n v="0"/>
    <n v="0"/>
    <n v="149.43931712962512"/>
    <n v="91.439317129625124"/>
    <n v="95"/>
    <n v="0"/>
  </r>
  <r>
    <s v="Cases &amp; Composites"/>
    <s v="CAS-225453-W6D3M8"/>
    <s v="Jia Chen"/>
    <s v="Complete"/>
    <s v="Resolved"/>
    <x v="2"/>
    <n v="3"/>
    <s v="24VC293"/>
    <s v="Repair-EA"/>
    <x v="0"/>
    <x v="3"/>
    <x v="5"/>
    <s v="75%"/>
    <d v="2024-08-26T18:09:30"/>
    <d v="2024-11-20T05:00:00"/>
    <d v="2024-10-24T04:00:00"/>
    <x v="294"/>
    <d v="2024-10-21T17:28:29"/>
    <s v="Oct"/>
    <d v="2024-09-16T04:00:00"/>
    <d v="2024-09-20T04:00:00"/>
    <d v="2024-09-20T04:00:00"/>
    <d v="2024-09-23T04:00:00"/>
    <n v="4"/>
    <n v="3"/>
    <n v="7"/>
    <n v="55.410069444442343"/>
    <n v="48.410069444442343"/>
    <n v="0"/>
    <n v="0"/>
    <n v="0"/>
    <n v="0"/>
    <n v="0"/>
    <n v="0"/>
    <n v="0"/>
    <n v="0"/>
    <n v="0"/>
    <n v="55.410069444442343"/>
    <n v="48.410069444442343"/>
    <n v="-30.041666666671517"/>
    <n v="1"/>
  </r>
  <r>
    <s v="Cases &amp; Composites"/>
    <s v="CAS-148407-P1G5G2"/>
    <s v="Ferdin Mustafa"/>
    <s v="Complete"/>
    <s v="Resolved"/>
    <x v="2"/>
    <n v="4"/>
    <s v="22CCH24"/>
    <s v="Repair-EA"/>
    <x v="1"/>
    <x v="5"/>
    <x v="9"/>
    <m/>
    <d v="2022-05-11T21:12:16"/>
    <d v="2022-12-20T05:00:00"/>
    <d v="2024-07-11T04:00:00"/>
    <x v="6"/>
    <d v="2024-08-26T19:12:19"/>
    <s v="August - "/>
    <d v="2022-10-18T04:00:00"/>
    <d v="2023-03-23T04:00:00"/>
    <d v="2023-03-23T04:00:00"/>
    <d v="2024-04-27T04:00:00"/>
    <n v="156"/>
    <n v="401"/>
    <n v="557"/>
    <n v="837.28314814814803"/>
    <n v="280.28314814814803"/>
    <n v="0"/>
    <n v="0"/>
    <n v="0"/>
    <n v="0"/>
    <n v="0"/>
    <n v="0"/>
    <n v="0"/>
    <n v="13.985286840274057"/>
    <n v="13.985286840274057"/>
    <n v="823.29786130787397"/>
    <n v="266.29786130787397"/>
    <n v="614.95833333332848"/>
    <n v="0"/>
  </r>
  <r>
    <s v="Cases &amp; Composites"/>
    <s v="CAS-177004-Q0Q7L8"/>
    <s v="Jia Chen"/>
    <s v="Complete"/>
    <s v="Resolved"/>
    <x v="2"/>
    <n v="4"/>
    <s v="23VC294"/>
    <s v="Repair-EA"/>
    <x v="0"/>
    <x v="3"/>
    <x v="3"/>
    <m/>
    <d v="2023-04-10T22:35:41"/>
    <d v="2023-09-28T04:00:00"/>
    <d v="2024-07-18T04:00:00"/>
    <x v="148"/>
    <d v="2024-07-17T16:06:33"/>
    <s v="July"/>
    <d v="2023-10-25T04:00:00"/>
    <d v="2023-12-22T05:00:00"/>
    <d v="2023-12-22T05:00:00"/>
    <d v="2024-02-22T05:00:00"/>
    <n v="58.041666666671517"/>
    <n v="62"/>
    <n v="120.04166666667152"/>
    <n v="463.22521990740643"/>
    <n v="343.18355324073491"/>
    <n v="0"/>
    <n v="0"/>
    <n v="0"/>
    <n v="0"/>
    <n v="0"/>
    <n v="0"/>
    <n v="0"/>
    <n v="0"/>
    <n v="0"/>
    <n v="463.22521990740643"/>
    <n v="343.18355324073491"/>
    <n v="293"/>
    <n v="0"/>
  </r>
  <r>
    <s v="Cases &amp; Composites"/>
    <s v="CAS-187831-X7G5J9"/>
    <s v="Jia Chen"/>
    <s v="Complete"/>
    <s v="Resolved"/>
    <x v="2"/>
    <n v="4"/>
    <s v="23CCL23"/>
    <s v="Repair-EA"/>
    <x v="0"/>
    <x v="0"/>
    <x v="0"/>
    <m/>
    <d v="2023-08-02T12:03:03"/>
    <d v="2023-11-16T05:00:00"/>
    <d v="2024-01-11T05:00:00"/>
    <x v="318"/>
    <d v="2024-01-04T20:59:53"/>
    <m/>
    <d v="2023-09-06T04:00:00"/>
    <d v="2023-10-13T04:00:00"/>
    <d v="2023-10-13T04:00:00"/>
    <d v="2023-11-21T05:00:00"/>
    <n v="37"/>
    <n v="39.041666666671517"/>
    <n v="76.041666666671517"/>
    <n v="154.70621527777985"/>
    <n v="78.66454861110833"/>
    <n v="0"/>
    <n v="0"/>
    <n v="0"/>
    <n v="0"/>
    <n v="0"/>
    <n v="0"/>
    <n v="0"/>
    <n v="0"/>
    <n v="0"/>
    <n v="154.70621527777985"/>
    <n v="78.66454861110833"/>
    <n v="49"/>
    <n v="0"/>
  </r>
  <r>
    <s v="Cases &amp; Composites"/>
    <s v="CAS-190430-B8D7R0"/>
    <s v="Orlando Melendez Colon"/>
    <s v="Complete"/>
    <s v="Resolved"/>
    <x v="2"/>
    <n v="4"/>
    <s v="23VG285"/>
    <s v="Repair-EA"/>
    <x v="0"/>
    <x v="3"/>
    <x v="5"/>
    <m/>
    <d v="2023-08-29T17:17:55"/>
    <d v="2023-12-08T05:00:00"/>
    <d v="2024-04-12T04:00:00"/>
    <x v="159"/>
    <d v="2024-04-08T18:07:39"/>
    <s v="Apr"/>
    <d v="2023-09-28T04:00:00"/>
    <d v="2023-10-06T04:00:00"/>
    <d v="2023-10-06T04:00:00"/>
    <d v="2024-01-31T05:00:00"/>
    <n v="8"/>
    <n v="117.04166666667152"/>
    <n v="125.04166666667152"/>
    <n v="218.44589120370074"/>
    <n v="93.404224537029222"/>
    <n v="0"/>
    <n v="0"/>
    <n v="0"/>
    <n v="0"/>
    <n v="0"/>
    <n v="0"/>
    <n v="0"/>
    <n v="0"/>
    <n v="0"/>
    <n v="218.44589120370074"/>
    <n v="93.404224537029222"/>
    <n v="117.95833333332848"/>
    <n v="0"/>
  </r>
  <r>
    <s v="Cases &amp; Composites"/>
    <s v="CAS-198103-P8B1G1"/>
    <s v="Tyler Abusbah"/>
    <s v="Complete"/>
    <s v="Resolved"/>
    <x v="2"/>
    <n v="4"/>
    <s v="24CC309"/>
    <s v="Repair-EA"/>
    <x v="0"/>
    <x v="0"/>
    <x v="3"/>
    <m/>
    <d v="2023-11-13T13:36:28"/>
    <d v="2024-04-10T04:00:00"/>
    <d v="2024-10-03T04:00:00"/>
    <x v="168"/>
    <d v="2024-09-17T19:16:46"/>
    <s v="TIC Inner Oct"/>
    <d v="2024-08-29T04:00:00"/>
    <d v="2024-08-29T04:00:00"/>
    <d v="2024-08-29T04:00:00"/>
    <d v="2024-09-12T04:00:00"/>
    <n v="0"/>
    <n v="14"/>
    <n v="14"/>
    <n v="308.59967592592147"/>
    <n v="294.59967592592147"/>
    <n v="0"/>
    <n v="0"/>
    <n v="0"/>
    <n v="0"/>
    <n v="0"/>
    <n v="90.972815821762197"/>
    <n v="0"/>
    <n v="0"/>
    <n v="90.972815821762197"/>
    <n v="217.62686010415928"/>
    <n v="203.62686010415928"/>
    <n v="160"/>
    <n v="0"/>
  </r>
  <r>
    <s v="Cases &amp; Composites"/>
    <s v="CAS-178536-C4R6D7"/>
    <s v="Tyler Abusbah"/>
    <s v="Complete"/>
    <s v="Resolved"/>
    <x v="2"/>
    <n v="4"/>
    <s v="24KC052"/>
    <s v="Repair-EA"/>
    <x v="0"/>
    <x v="1"/>
    <x v="3"/>
    <m/>
    <d v="2023-04-26T10:54:17"/>
    <d v="2024-08-15T04:00:00"/>
    <d v="2024-10-24T04:00:00"/>
    <x v="257"/>
    <d v="2024-10-15T23:18:21"/>
    <s v="Oct"/>
    <d v="2024-01-05T05:00:00"/>
    <d v="2024-01-19T05:00:00"/>
    <d v="2024-01-19T05:00:00"/>
    <d v="2024-07-31T04:00:00"/>
    <n v="14"/>
    <n v="193.95833333332848"/>
    <n v="207.95833333332848"/>
    <n v="537.71230324073986"/>
    <n v="329.75396990741137"/>
    <n v="0"/>
    <n v="0"/>
    <n v="0"/>
    <n v="0"/>
    <n v="83"/>
    <n v="43"/>
    <n v="45"/>
    <n v="2"/>
    <n v="173"/>
    <n v="364.71230324073986"/>
    <n v="156.75396990741137"/>
    <n v="61"/>
    <n v="0"/>
  </r>
  <r>
    <s v="Cases &amp; Composites"/>
    <s v="CAS-211269-P7N1V8"/>
    <s v="Robert Thompson"/>
    <s v="Complete"/>
    <s v="Resolved"/>
    <x v="2"/>
    <n v="4"/>
    <s v="24CC887"/>
    <s v="Repair-EA"/>
    <x v="0"/>
    <x v="0"/>
    <x v="8"/>
    <m/>
    <d v="2024-04-03T14:30:01"/>
    <d v="2024-05-01T04:00:00"/>
    <d v="2024-04-29T04:00:00"/>
    <x v="2"/>
    <d v="2024-04-30T18:39:02"/>
    <s v="FanR-Blade"/>
    <d v="2024-04-04T04:00:00"/>
    <d v="2024-04-08T04:00:00"/>
    <d v="2024-04-08T04:00:00"/>
    <d v="2024-04-15T04:00:00"/>
    <n v="4"/>
    <n v="7"/>
    <n v="11"/>
    <n v="26.56248842592322"/>
    <n v="15.56248842592322"/>
    <n v="0"/>
    <n v="0"/>
    <n v="0"/>
    <n v="0"/>
    <n v="0"/>
    <n v="0"/>
    <n v="0"/>
    <n v="0"/>
    <n v="0"/>
    <n v="26.56248842592322"/>
    <n v="15.56248842592322"/>
    <n v="-1"/>
    <n v="1"/>
  </r>
  <r>
    <s v="Cases &amp; Composites"/>
    <s v="CAS-209903-G9F6B0"/>
    <s v="Dean Catlett"/>
    <s v="Complete"/>
    <s v="Resolved"/>
    <x v="2"/>
    <n v="4"/>
    <s v="24KC260"/>
    <s v="Repair-EA"/>
    <x v="0"/>
    <x v="1"/>
    <x v="1"/>
    <m/>
    <d v="2024-03-19T18:03:30"/>
    <d v="2024-06-28T04:00:00"/>
    <d v="2024-06-28T04:00:00"/>
    <x v="65"/>
    <d v="2024-06-14T02:25:54"/>
    <s v="June 2024 Commitment"/>
    <d v="2024-04-29T04:00:00"/>
    <d v="2024-04-29T04:00:00"/>
    <d v="2024-04-29T04:00:00"/>
    <d v="2024-05-30T04:00:00"/>
    <n v="0"/>
    <n v="31"/>
    <n v="31"/>
    <n v="86.414236111108039"/>
    <n v="55.414236111108039"/>
    <n v="0"/>
    <n v="0"/>
    <n v="0"/>
    <n v="0"/>
    <n v="13"/>
    <n v="0"/>
    <n v="0"/>
    <n v="0"/>
    <n v="13"/>
    <n v="73.414236111108039"/>
    <n v="42.414236111108039"/>
    <n v="-14"/>
    <n v="1"/>
  </r>
  <r>
    <s v="Cases &amp; Composites"/>
    <s v="CAS-215084-K2G4L4"/>
    <s v="Robert Thompson"/>
    <s v="Complete"/>
    <s v="Resolved"/>
    <x v="2"/>
    <n v="4"/>
    <s v="24KC352"/>
    <s v="Repair-EA"/>
    <x v="0"/>
    <x v="1"/>
    <x v="3"/>
    <s v="75%"/>
    <d v="2024-05-16T11:53:28"/>
    <d v="2024-08-23T04:00:00"/>
    <d v="2024-09-16T04:00:00"/>
    <x v="319"/>
    <d v="2024-09-10T19:58:49"/>
    <m/>
    <d v="2024-06-20T04:00:00"/>
    <d v="2024-08-23T04:00:00"/>
    <d v="2024-08-23T04:00:00"/>
    <d v="2024-09-06T04:00:00"/>
    <n v="64"/>
    <n v="14"/>
    <n v="78"/>
    <n v="116.67120370369958"/>
    <n v="38.671203703699575"/>
    <n v="0"/>
    <n v="13"/>
    <n v="0"/>
    <n v="0"/>
    <n v="0"/>
    <n v="0"/>
    <n v="0"/>
    <n v="0"/>
    <n v="13"/>
    <n v="103.67120370369958"/>
    <n v="25.671203703699575"/>
    <n v="18"/>
    <n v="0"/>
  </r>
  <r>
    <s v="Cases &amp; Composites"/>
    <s v="CAS-182240-L0K8H7"/>
    <s v="Jia Chen"/>
    <s v="Complete"/>
    <s v="Active"/>
    <x v="2"/>
    <n v="5"/>
    <s v="23CCH59"/>
    <s v="Repair-EA"/>
    <x v="0"/>
    <x v="0"/>
    <x v="0"/>
    <m/>
    <d v="2023-06-06T16:15:58"/>
    <d v="2023-09-21T04:00:00"/>
    <d v="2024-01-11T05:00:00"/>
    <x v="320"/>
    <d v="2024-01-09T16:37:52"/>
    <s v="JAN"/>
    <d v="2023-08-18T04:00:00"/>
    <d v="2023-08-23T04:00:00"/>
    <d v="2023-08-23T04:00:00"/>
    <d v="2023-11-21T05:00:00"/>
    <n v="5"/>
    <n v="90.041666666671517"/>
    <n v="95.041666666671517"/>
    <n v="216.53057870370685"/>
    <n v="121.48891203703533"/>
    <n v="0"/>
    <n v="0"/>
    <n v="0"/>
    <n v="0"/>
    <n v="0"/>
    <n v="0"/>
    <n v="0"/>
    <n v="0"/>
    <n v="0"/>
    <n v="216.53057870370685"/>
    <n v="121.48891203703533"/>
    <n v="110.04166666667152"/>
    <n v="0"/>
  </r>
  <r>
    <s v="Cases &amp; Composites"/>
    <s v="CAS-189770-Z1K2H2"/>
    <s v="Ferdin Mustafa"/>
    <s v="Complete"/>
    <s v="Resolved"/>
    <x v="2"/>
    <n v="5"/>
    <s v="23KC493"/>
    <s v="Repair-EA"/>
    <x v="0"/>
    <x v="1"/>
    <x v="1"/>
    <m/>
    <d v="2023-08-23T06:28:20"/>
    <d v="2024-03-01T05:00:00"/>
    <d v="2024-03-01T05:00:00"/>
    <x v="33"/>
    <d v="2024-02-23T04:52:52"/>
    <s v="KAL ESN P729196"/>
    <d v="2023-09-11T04:00:00"/>
    <d v="2023-09-29T04:00:00"/>
    <d v="2023-09-29T04:00:00"/>
    <d v="2024-01-16T05:00:00"/>
    <n v="18"/>
    <n v="109.04166666667152"/>
    <n v="127.04166666667152"/>
    <n v="182.93865740740875"/>
    <n v="55.896990740737238"/>
    <n v="0"/>
    <n v="0"/>
    <n v="0"/>
    <n v="0"/>
    <n v="0"/>
    <n v="0"/>
    <n v="0"/>
    <n v="0"/>
    <n v="0"/>
    <n v="182.93865740740875"/>
    <n v="55.896990740737238"/>
    <n v="-8"/>
    <n v="1"/>
  </r>
  <r>
    <s v="Cases &amp; Composites"/>
    <s v="CAS-190423-P6S3R8"/>
    <s v="Tyler Abusbah"/>
    <s v="Complete"/>
    <s v="Resolved"/>
    <x v="2"/>
    <n v="5"/>
    <s v="23CCY08"/>
    <s v="Repair-EA"/>
    <x v="0"/>
    <x v="0"/>
    <x v="8"/>
    <m/>
    <d v="2023-08-29T17:07:42"/>
    <d v="2024-01-18T05:00:00"/>
    <d v="2024-05-30T04:00:00"/>
    <x v="321"/>
    <d v="2024-05-29T16:32:00"/>
    <s v="TIC Inner - Dents"/>
    <d v="2023-12-15T05:00:00"/>
    <d v="2024-01-16T05:00:00"/>
    <d v="2024-01-16T05:00:00"/>
    <d v="2024-04-22T04:00:00"/>
    <n v="32"/>
    <n v="96.958333333328483"/>
    <n v="128.95833333332848"/>
    <n v="273.45298611110775"/>
    <n v="144.49465277777927"/>
    <n v="0"/>
    <n v="0"/>
    <n v="0"/>
    <n v="0"/>
    <n v="0"/>
    <n v="0"/>
    <n v="0"/>
    <n v="0"/>
    <n v="0"/>
    <n v="273.45298611110775"/>
    <n v="144.49465277777927"/>
    <n v="131.95833333332848"/>
    <n v="0"/>
  </r>
  <r>
    <s v="Cases &amp; Composites"/>
    <s v="CAS-196710-P7R1Z3"/>
    <s v="Pedro Iturrino"/>
    <s v="Complete"/>
    <s v="Resolved"/>
    <x v="2"/>
    <n v="5"/>
    <s v="24KC003"/>
    <s v="Repair-EA"/>
    <x v="0"/>
    <x v="1"/>
    <x v="3"/>
    <m/>
    <d v="2023-10-30T15:11:45"/>
    <d v="2024-03-15T04:00:00"/>
    <d v="2024-06-14T04:00:00"/>
    <x v="321"/>
    <d v="2024-05-29T19:04:07"/>
    <m/>
    <d v="2024-04-25T04:00:00"/>
    <d v="2024-05-13T04:00:00"/>
    <d v="2024-05-13T04:00:00"/>
    <d v="2024-05-16T04:00:00"/>
    <n v="18"/>
    <n v="3"/>
    <n v="21"/>
    <n v="211.53350694444089"/>
    <n v="190.53350694444089"/>
    <n v="0"/>
    <n v="0"/>
    <n v="0"/>
    <n v="0"/>
    <n v="0"/>
    <n v="0"/>
    <n v="0"/>
    <n v="0"/>
    <n v="0"/>
    <n v="211.53350694444089"/>
    <n v="190.53350694444089"/>
    <n v="75"/>
    <n v="0"/>
  </r>
  <r>
    <s v="Cases &amp; Composites"/>
    <s v="CAS-184493-M5D2B6"/>
    <s v="Robert Thompson"/>
    <s v="Complete"/>
    <s v="Resolved"/>
    <x v="2"/>
    <n v="6"/>
    <s v="23CCJ88"/>
    <s v="Repair-EA"/>
    <x v="1"/>
    <x v="0"/>
    <x v="0"/>
    <m/>
    <d v="2023-06-28T15:21:50"/>
    <d v="2024-03-29T04:00:00"/>
    <d v="2024-05-17T04:00:00"/>
    <x v="138"/>
    <d v="2024-05-16T19:50:37"/>
    <m/>
    <m/>
    <m/>
    <m/>
    <m/>
    <s v=""/>
    <s v=""/>
    <n v="0"/>
    <n v="322.52650462962629"/>
    <n v="322.52650462962629"/>
    <n v="0"/>
    <n v="0"/>
    <n v="0"/>
    <n v="0"/>
    <n v="0"/>
    <n v="0"/>
    <n v="0"/>
    <n v="0"/>
    <n v="0"/>
    <n v="322.52650462962629"/>
    <n v="322.52650462962629"/>
    <n v="48"/>
    <n v="0"/>
  </r>
  <r>
    <s v="Cases &amp; Composites"/>
    <s v="CAS-200376-T3W8V8"/>
    <s v="Robert Thompson"/>
    <s v="Complete"/>
    <s v="Resolved"/>
    <x v="2"/>
    <n v="6"/>
    <s v="17CC450A"/>
    <s v="Repair-EA"/>
    <x v="1"/>
    <x v="0"/>
    <x v="0"/>
    <m/>
    <d v="2023-12-06T15:36:37"/>
    <d v="2024-02-23T05:00:00"/>
    <d v="2024-03-22T04:00:00"/>
    <x v="173"/>
    <d v="2024-03-18T12:18:48"/>
    <s v="Mar2"/>
    <m/>
    <m/>
    <m/>
    <m/>
    <s v=""/>
    <s v=""/>
    <n v="0"/>
    <n v="102.5162384259238"/>
    <n v="102.5162384259238"/>
    <n v="0"/>
    <n v="0"/>
    <n v="0"/>
    <n v="0"/>
    <n v="0"/>
    <n v="0"/>
    <n v="0"/>
    <n v="0"/>
    <n v="0"/>
    <n v="102.5162384259238"/>
    <n v="102.5162384259238"/>
    <n v="23.958333333328483"/>
    <n v="0"/>
  </r>
  <r>
    <s v="Cases &amp; Composites"/>
    <s v="CAS-206203-T9C9K7"/>
    <s v="Jia Chen"/>
    <s v="Complete"/>
    <s v="Resolved"/>
    <x v="2"/>
    <n v="6"/>
    <s v="24KC085"/>
    <s v="Repair-EA"/>
    <x v="0"/>
    <x v="1"/>
    <x v="3"/>
    <m/>
    <d v="2024-02-08T20:19:46"/>
    <d v="2024-04-12T04:00:00"/>
    <d v="2024-05-20T04:00:00"/>
    <x v="322"/>
    <d v="2024-05-03T15:05:57"/>
    <s v="May"/>
    <d v="2024-02-22T05:00:00"/>
    <d v="2024-02-29T05:00:00"/>
    <d v="2024-02-29T05:00:00"/>
    <d v="2024-04-04T04:00:00"/>
    <n v="7"/>
    <n v="34.958333333328483"/>
    <n v="41.958333333328483"/>
    <n v="84.319606481476512"/>
    <n v="42.36127314814803"/>
    <n v="0"/>
    <n v="0"/>
    <n v="0"/>
    <n v="0"/>
    <n v="0"/>
    <n v="2"/>
    <n v="0"/>
    <n v="0"/>
    <n v="2"/>
    <n v="82.319606481476512"/>
    <n v="40.36127314814803"/>
    <n v="21"/>
    <n v="0"/>
  </r>
  <r>
    <s v="Cases &amp; Composites"/>
    <s v="CAS-209519-H6S3P4"/>
    <s v="Pedro Iturrino"/>
    <s v="Complete"/>
    <s v="Resolved"/>
    <x v="2"/>
    <n v="6"/>
    <s v="24VC111"/>
    <s v="Repair-EA"/>
    <x v="0"/>
    <x v="3"/>
    <x v="5"/>
    <m/>
    <d v="2024-03-14T16:29:02"/>
    <d v="2024-05-17T04:00:00"/>
    <d v="2024-05-17T04:00:00"/>
    <x v="85"/>
    <d v="2024-05-09T11:44:40"/>
    <s v="MAY"/>
    <d v="2024-03-28T04:00:00"/>
    <d v="2024-04-03T04:00:00"/>
    <d v="2024-04-03T04:00:00"/>
    <d v="2024-04-15T04:00:00"/>
    <n v="6"/>
    <n v="12"/>
    <n v="18"/>
    <n v="53.47983796295739"/>
    <n v="35.47983796295739"/>
    <n v="0"/>
    <n v="0"/>
    <n v="0"/>
    <n v="0"/>
    <n v="0"/>
    <n v="0"/>
    <n v="0"/>
    <n v="0"/>
    <n v="0"/>
    <n v="53.47983796295739"/>
    <n v="35.47983796295739"/>
    <n v="-10"/>
    <n v="1"/>
  </r>
  <r>
    <s v="Cases &amp; Composites"/>
    <s v="CAS-225449-F6K8S2"/>
    <s v="Jia Chen"/>
    <s v="Complete"/>
    <s v="Resolved"/>
    <x v="2"/>
    <n v="6"/>
    <s v="24VC343"/>
    <s v="Repair-EA"/>
    <x v="0"/>
    <x v="3"/>
    <x v="3"/>
    <s v="75%"/>
    <d v="2024-08-26T16:46:30"/>
    <d v="2025-01-30T05:00:00"/>
    <d v="2025-01-30T05:00:00"/>
    <x v="97"/>
    <d v="2025-01-10T15:03:33"/>
    <s v="Jan"/>
    <d v="2024-10-24T04:00:00"/>
    <d v="2024-11-05T05:00:00"/>
    <d v="2024-11-05T05:00:00"/>
    <d v="2024-11-26T05:00:00"/>
    <n v="12.041666666671517"/>
    <n v="21"/>
    <n v="33.041666666671517"/>
    <n v="135.50937500000146"/>
    <n v="102.46770833332994"/>
    <n v="13"/>
    <n v="1"/>
    <n v="0"/>
    <n v="0"/>
    <n v="0"/>
    <n v="0"/>
    <n v="0"/>
    <n v="0"/>
    <n v="14"/>
    <n v="121.50937500000146"/>
    <n v="88.467708333329938"/>
    <n v="-21"/>
    <n v="1"/>
  </r>
  <r>
    <s v="Cases &amp; Composites"/>
    <s v="CAS-150161-P2T8F7"/>
    <s v="Orlando Melendez Colon"/>
    <s v="Complete"/>
    <s v="Resolved"/>
    <x v="2"/>
    <n v="7"/>
    <s v="23VG045"/>
    <s v="Repair-EA"/>
    <x v="1"/>
    <x v="3"/>
    <x v="5"/>
    <m/>
    <d v="2022-06-03T15:26:22"/>
    <d v="2023-06-29T04:00:00"/>
    <d v="2024-06-28T04:00:00"/>
    <x v="323"/>
    <d v="2024-06-18T19:06:55"/>
    <s v="Jun"/>
    <m/>
    <m/>
    <m/>
    <m/>
    <s v=""/>
    <s v=""/>
    <n v="0"/>
    <n v="744.52335648147709"/>
    <n v="744.52335648147709"/>
    <n v="0"/>
    <n v="0"/>
    <n v="0"/>
    <n v="0"/>
    <n v="0"/>
    <n v="0"/>
    <n v="0"/>
    <n v="0"/>
    <n v="0"/>
    <n v="744.52335648147709"/>
    <n v="744.52335648147709"/>
    <n v="354"/>
    <n v="0"/>
  </r>
  <r>
    <s v="Cases &amp; Composites"/>
    <s v="CAS-207647-N1B8M8"/>
    <s v="Robert Thompson"/>
    <s v="Complete"/>
    <s v="Resolved"/>
    <x v="2"/>
    <n v="7"/>
    <s v="24KC123"/>
    <s v="Repair-EA"/>
    <x v="1"/>
    <x v="1"/>
    <x v="3"/>
    <m/>
    <d v="2024-02-23T17:29:56"/>
    <d v="2024-04-30T04:00:00"/>
    <d v="2024-04-12T04:00:00"/>
    <x v="324"/>
    <d v="2024-04-12T19:17:18"/>
    <s v="Apr"/>
    <d v="2024-03-05T05:00:00"/>
    <d v="2024-04-02T04:00:00"/>
    <d v="2024-04-02T04:00:00"/>
    <d v="2024-04-04T04:00:00"/>
    <n v="27.958333333328483"/>
    <n v="2"/>
    <n v="29.958333333328483"/>
    <n v="48.437546296292567"/>
    <n v="18.479212962964084"/>
    <n v="0"/>
    <n v="0"/>
    <n v="0"/>
    <n v="0"/>
    <n v="0"/>
    <n v="0"/>
    <n v="0"/>
    <n v="0"/>
    <n v="0"/>
    <n v="48.437546296292567"/>
    <n v="18.479212962964084"/>
    <n v="-18"/>
    <n v="1"/>
  </r>
  <r>
    <s v="Cases &amp; Composites"/>
    <s v="CAS-221006-B7X0Q2"/>
    <s v="Jia Chen"/>
    <s v="Complete"/>
    <s v="Resolved"/>
    <x v="2"/>
    <n v="7"/>
    <s v="24KC520"/>
    <s v="Repair-EA"/>
    <x v="0"/>
    <x v="1"/>
    <x v="3"/>
    <s v="50%"/>
    <d v="2024-07-12T20:26:55"/>
    <d v="2024-11-06T05:00:00"/>
    <d v="2024-11-06T05:00:00"/>
    <x v="281"/>
    <d v="2024-10-18T12:13:15"/>
    <s v="Oct"/>
    <d v="2024-09-16T04:00:00"/>
    <d v="2024-09-24T04:00:00"/>
    <d v="2024-09-24T04:00:00"/>
    <d v="2024-10-02T04:00:00"/>
    <n v="8"/>
    <n v="8"/>
    <n v="16"/>
    <n v="95.314641203702195"/>
    <n v="79.314641203702195"/>
    <n v="0"/>
    <n v="0"/>
    <n v="1"/>
    <n v="0"/>
    <n v="0"/>
    <n v="0"/>
    <n v="0"/>
    <n v="0"/>
    <n v="1"/>
    <n v="94.314641203702195"/>
    <n v="78.314641203702195"/>
    <n v="-21.041666666671517"/>
    <n v="1"/>
  </r>
  <r>
    <s v="Cases &amp; Composites"/>
    <s v="CAS-224557-W2Q3G6"/>
    <s v="Brian K Holland"/>
    <s v="Complete"/>
    <s v="Resolved"/>
    <x v="2"/>
    <n v="7"/>
    <s v="24CCT07"/>
    <s v="Repair-EA"/>
    <x v="0"/>
    <x v="0"/>
    <x v="3"/>
    <m/>
    <d v="2024-08-19T12:39:43"/>
    <d v="2024-10-30T04:00:00"/>
    <d v="2024-10-30T04:00:00"/>
    <x v="247"/>
    <d v="2024-11-12T21:14:45"/>
    <s v="FanR-Cone"/>
    <m/>
    <m/>
    <m/>
    <m/>
    <s v=""/>
    <s v=""/>
    <n v="0"/>
    <n v="84.680752314816345"/>
    <n v="84.680752314816345"/>
    <n v="0"/>
    <n v="0"/>
    <n v="0"/>
    <n v="0"/>
    <n v="0"/>
    <n v="0"/>
    <n v="0"/>
    <n v="0"/>
    <n v="0"/>
    <n v="84.680752314816345"/>
    <n v="84.680752314816345"/>
    <n v="13.041666666671517"/>
    <n v="0"/>
  </r>
  <r>
    <s v="Cases &amp; Composites"/>
    <s v="CAS-148402-Q9J3K8"/>
    <s v="Ferdin Mustafa"/>
    <s v="Complete"/>
    <s v="Resolved"/>
    <x v="2"/>
    <n v="8"/>
    <s v="23CCF86"/>
    <s v="Repair-EA"/>
    <x v="1"/>
    <x v="5"/>
    <x v="9"/>
    <m/>
    <d v="2022-05-11T20:33:57"/>
    <d v="2023-10-06T04:00:00"/>
    <d v="2024-04-22T04:00:00"/>
    <x v="75"/>
    <d v="2024-04-19T13:23:45"/>
    <s v="Apr - Add PW800 to EA14CC218 helicoil insert replacement OTC -"/>
    <m/>
    <m/>
    <m/>
    <m/>
    <s v=""/>
    <s v=""/>
    <n v="0"/>
    <n v="708.30975694444351"/>
    <n v="708.30975694444351"/>
    <n v="0"/>
    <n v="0"/>
    <n v="0"/>
    <n v="0"/>
    <n v="0"/>
    <n v="0"/>
    <n v="0"/>
    <n v="13.984562395839021"/>
    <n v="13.984562395839021"/>
    <n v="694.32519454860449"/>
    <n v="694.32519454860449"/>
    <n v="196"/>
    <n v="0"/>
  </r>
  <r>
    <s v="Cases &amp; Composites"/>
    <s v="CAS-202950-T4J8X6"/>
    <s v="Pedro Iturrino"/>
    <s v="Complete"/>
    <s v="Resolved"/>
    <x v="2"/>
    <n v="8"/>
    <s v="24KC033"/>
    <s v="Repair-EA"/>
    <x v="0"/>
    <x v="1"/>
    <x v="3"/>
    <m/>
    <d v="2024-01-05T19:16:35"/>
    <d v="2024-04-16T04:00:00"/>
    <d v="2024-05-24T04:00:00"/>
    <x v="325"/>
    <d v="2024-05-15T19:33:52"/>
    <s v="MAY"/>
    <d v="2024-02-27T05:00:00"/>
    <d v="2024-02-29T05:00:00"/>
    <d v="2024-02-29T05:00:00"/>
    <d v="2024-02-29T05:00:00"/>
    <n v="2"/>
    <n v="0"/>
    <n v="2"/>
    <n v="129.36348379629635"/>
    <n v="127.36348379629635"/>
    <n v="0"/>
    <n v="0"/>
    <n v="0"/>
    <n v="0"/>
    <n v="0"/>
    <n v="0"/>
    <n v="0"/>
    <n v="0"/>
    <n v="0"/>
    <n v="129.36348379629635"/>
    <n v="127.36348379629635"/>
    <n v="28"/>
    <n v="0"/>
  </r>
  <r>
    <s v="Cases &amp; Composites"/>
    <n v="104660"/>
    <s v="Pedro Iturrino"/>
    <s v="Complete"/>
    <s v="Closed"/>
    <x v="2"/>
    <n v="8"/>
    <s v="24FC098"/>
    <s v="Repair-EA"/>
    <x v="0"/>
    <x v="2"/>
    <x v="3"/>
    <m/>
    <d v="2024-03-12T04:00:00"/>
    <d v="2024-07-30T04:00:00"/>
    <d v="2024-06-07T04:00:00"/>
    <x v="110"/>
    <d v="2024-06-04T16:20:32"/>
    <s v="June"/>
    <d v="2024-04-03T04:00:00"/>
    <d v="2024-04-15T04:00:00"/>
    <d v="2024-04-15T04:00:00"/>
    <d v="2024-04-24T04:00:00"/>
    <n v="12"/>
    <n v="9"/>
    <n v="21"/>
    <n v="84"/>
    <n v="63"/>
    <n v="0"/>
    <n v="0"/>
    <n v="0"/>
    <n v="0"/>
    <n v="0"/>
    <n v="0"/>
    <n v="0"/>
    <n v="0"/>
    <n v="0"/>
    <n v="84"/>
    <n v="63"/>
    <n v="-56"/>
    <n v="1"/>
  </r>
  <r>
    <s v="Cases &amp; Composites"/>
    <s v="CAS-221395-Y2J4L0"/>
    <s v="Ferdin Mustafa"/>
    <s v="Complete"/>
    <s v="Resolved"/>
    <x v="2"/>
    <n v="8"/>
    <s v="24KC484"/>
    <s v="Repair-EA"/>
    <x v="0"/>
    <x v="1"/>
    <x v="3"/>
    <s v="75%"/>
    <d v="2024-07-17T11:49:32"/>
    <d v="2025-01-07T05:00:00"/>
    <d v="2024-09-18T04:00:00"/>
    <x v="168"/>
    <d v="2024-09-18T01:14:04"/>
    <s v="September"/>
    <d v="2024-08-12T04:00:00"/>
    <d v="2024-08-12T04:00:00"/>
    <d v="2024-08-12T04:00:00"/>
    <d v="2024-08-29T04:00:00"/>
    <n v="0"/>
    <n v="17"/>
    <n v="17"/>
    <n v="61.673935185179289"/>
    <n v="44.673935185179289"/>
    <n v="0"/>
    <n v="0"/>
    <n v="0"/>
    <n v="0"/>
    <n v="0"/>
    <n v="0"/>
    <n v="0"/>
    <n v="0"/>
    <n v="0"/>
    <n v="61.673935185179289"/>
    <n v="44.673935185179289"/>
    <n v="-112.04166666667152"/>
    <n v="1"/>
  </r>
  <r>
    <s v="Cases &amp; Composites"/>
    <n v="107185"/>
    <s v="Jia Chen"/>
    <s v="Complete"/>
    <s v="Closed"/>
    <x v="2"/>
    <n v="8"/>
    <s v="24FC304"/>
    <s v="Repair-EA"/>
    <x v="0"/>
    <x v="2"/>
    <x v="3"/>
    <s v="50%"/>
    <d v="2024-07-24T04:00:00"/>
    <d v="2024-11-05T05:00:00"/>
    <d v="2024-11-05T05:00:00"/>
    <x v="326"/>
    <d v="2024-10-07T21:03:39"/>
    <s v="Oct"/>
    <d v="2024-09-19T04:00:00"/>
    <d v="2024-09-25T04:00:00"/>
    <d v="2024-09-25T04:00:00"/>
    <d v="2024-09-27T04:00:00"/>
    <n v="6"/>
    <n v="2"/>
    <n v="8"/>
    <n v="75"/>
    <n v="67"/>
    <n v="4"/>
    <n v="0"/>
    <n v="0"/>
    <n v="0"/>
    <n v="4"/>
    <n v="0"/>
    <n v="0"/>
    <n v="0"/>
    <n v="8"/>
    <n v="67"/>
    <n v="59"/>
    <n v="-29.041666666671517"/>
    <n v="1"/>
  </r>
  <r>
    <s v="Cases &amp; Composites"/>
    <s v="CAS-188654-J5F6P8"/>
    <s v="Robert Thompson"/>
    <s v="Complete"/>
    <s v="Resolved"/>
    <x v="2"/>
    <n v="9"/>
    <s v="20KC162A"/>
    <s v="Repair-EA"/>
    <x v="1"/>
    <x v="1"/>
    <x v="3"/>
    <m/>
    <d v="2023-08-10T17:21:15"/>
    <d v="2023-09-27T04:00:00"/>
    <d v="2023-12-22T05:00:00"/>
    <x v="139"/>
    <d v="2024-01-03T21:36:30"/>
    <m/>
    <m/>
    <m/>
    <m/>
    <m/>
    <s v=""/>
    <s v=""/>
    <n v="0"/>
    <n v="145.48524305555475"/>
    <n v="145.48524305555475"/>
    <n v="0"/>
    <n v="0"/>
    <n v="0"/>
    <n v="0"/>
    <n v="0"/>
    <n v="0"/>
    <n v="0"/>
    <n v="0"/>
    <n v="0"/>
    <n v="145.48524305555475"/>
    <n v="145.48524305555475"/>
    <n v="98.041666666671517"/>
    <n v="0"/>
  </r>
  <r>
    <s v="Cases &amp; Composites"/>
    <n v="102680"/>
    <s v="Pedro Iturrino"/>
    <s v="Complete"/>
    <s v="Closed"/>
    <x v="2"/>
    <n v="9"/>
    <s v="24FC016"/>
    <s v="Repair-EA"/>
    <x v="0"/>
    <x v="2"/>
    <x v="3"/>
    <m/>
    <d v="2023-11-30T05:00:00"/>
    <d v="2024-05-14T04:00:00"/>
    <d v="2024-07-31T04:00:00"/>
    <x v="92"/>
    <d v="2024-07-31T15:02:53"/>
    <s v="July"/>
    <d v="2024-01-26T05:00:00"/>
    <d v="2024-02-07T05:00:00"/>
    <d v="2024-02-07T05:00:00"/>
    <d v="2024-05-24T04:00:00"/>
    <n v="12"/>
    <n v="106.95833333332848"/>
    <n v="118.95833333332848"/>
    <n v="243.95833333332848"/>
    <n v="125"/>
    <n v="0"/>
    <n v="0"/>
    <n v="0"/>
    <n v="0"/>
    <n v="0"/>
    <n v="0"/>
    <n v="0"/>
    <n v="0"/>
    <n v="0"/>
    <n v="243.95833333332848"/>
    <n v="125"/>
    <n v="78"/>
    <n v="0"/>
  </r>
  <r>
    <s v="Cases &amp; Composites"/>
    <s v="CAS-190328-J7B7P5"/>
    <s v="Ferdin Mustafa"/>
    <s v="Complete"/>
    <s v="Resolved"/>
    <x v="2"/>
    <n v="9"/>
    <s v="24KC285"/>
    <s v="Repair-EA"/>
    <x v="0"/>
    <x v="1"/>
    <x v="3"/>
    <m/>
    <d v="2023-09-06T14:30:00"/>
    <d v="2024-07-02T04:00:00"/>
    <d v="2024-09-10T04:00:00"/>
    <x v="312"/>
    <d v="2024-09-05T18:44:41"/>
    <s v="September"/>
    <d v="2024-01-11T05:00:00"/>
    <d v="2024-05-03T04:00:00"/>
    <d v="2024-05-03T04:00:00"/>
    <d v="2024-06-24T04:00:00"/>
    <n v="112.95833333332848"/>
    <n v="52"/>
    <n v="164.95833333332848"/>
    <n v="364.5625"/>
    <n v="199.60416666667152"/>
    <n v="0"/>
    <n v="0"/>
    <n v="0"/>
    <n v="0"/>
    <n v="0"/>
    <n v="55"/>
    <n v="0"/>
    <n v="0"/>
    <n v="55"/>
    <n v="309.5625"/>
    <n v="144.60416666667152"/>
    <n v="65"/>
    <n v="0"/>
  </r>
  <r>
    <s v="Cases &amp; Composites"/>
    <s v="CAS-197927-M7N5J8"/>
    <s v="Ferdin Mustafa"/>
    <s v="Complete"/>
    <s v="Resolved"/>
    <x v="2"/>
    <n v="9"/>
    <s v="24KC048"/>
    <s v="Repair-EA"/>
    <x v="0"/>
    <x v="1"/>
    <x v="3"/>
    <m/>
    <d v="2023-11-10T13:59:44"/>
    <d v="2024-04-11T04:00:00"/>
    <d v="2024-04-11T04:00:00"/>
    <x v="117"/>
    <d v="2024-03-21T01:32:51"/>
    <m/>
    <d v="2024-01-11T05:00:00"/>
    <d v="2024-01-17T05:00:00"/>
    <d v="2024-01-17T05:00:00"/>
    <d v="2024-02-27T05:00:00"/>
    <n v="6"/>
    <n v="41"/>
    <n v="47"/>
    <n v="130.5835185185133"/>
    <n v="83.583518518513301"/>
    <n v="0"/>
    <n v="0"/>
    <n v="0"/>
    <n v="0"/>
    <n v="0"/>
    <n v="0"/>
    <n v="0"/>
    <n v="0"/>
    <n v="0"/>
    <n v="130.5835185185133"/>
    <n v="83.583518518513301"/>
    <n v="-22"/>
    <n v="1"/>
  </r>
  <r>
    <s v="Cases &amp; Composites"/>
    <s v="CAS-231518-B0W3L1"/>
    <s v="Brian K Holland"/>
    <s v="Complete"/>
    <s v="Resolved"/>
    <x v="2"/>
    <n v="9"/>
    <s v="24KC692"/>
    <s v="Repair-EA"/>
    <x v="1"/>
    <x v="1"/>
    <x v="3"/>
    <s v="75%"/>
    <d v="2024-10-21T15:20:36"/>
    <d v="2024-11-29T05:00:00"/>
    <d v="2024-11-29T05:00:00"/>
    <x v="184"/>
    <d v="2024-12-03T12:40:09"/>
    <m/>
    <m/>
    <m/>
    <m/>
    <m/>
    <s v=""/>
    <s v=""/>
    <n v="0"/>
    <n v="41.569027777783049"/>
    <n v="41.569027777783049"/>
    <n v="0"/>
    <n v="0"/>
    <n v="0"/>
    <n v="0"/>
    <n v="0"/>
    <n v="0"/>
    <n v="0"/>
    <n v="0"/>
    <n v="0"/>
    <n v="41.569027777783049"/>
    <n v="41.569027777783049"/>
    <n v="3"/>
    <n v="0"/>
  </r>
  <r>
    <s v="Cases &amp; Composites"/>
    <s v="MSG-231025-8D1C23"/>
    <s v="Ferdin Mustafa"/>
    <s v="Complete"/>
    <s v="Complete"/>
    <x v="2"/>
    <n v="10"/>
    <s v="23CCT88"/>
    <s v="Repair-EA"/>
    <x v="1"/>
    <x v="5"/>
    <x v="9"/>
    <m/>
    <d v="2023-10-25T04:00:00"/>
    <d v="2024-05-16T04:00:00"/>
    <d v="2024-07-08T04:00:00"/>
    <x v="6"/>
    <d v="2024-08-26T19:12:51"/>
    <s v="August - Create a companion EA to remove and replace the locking inserts on the PW812 ODC. "/>
    <m/>
    <m/>
    <m/>
    <m/>
    <s v=""/>
    <s v=""/>
    <n v="0"/>
    <n v="306"/>
    <n v="306"/>
    <n v="0"/>
    <n v="0"/>
    <n v="0"/>
    <n v="0"/>
    <n v="0"/>
    <n v="0"/>
    <n v="0"/>
    <n v="0"/>
    <n v="0"/>
    <n v="306"/>
    <n v="306"/>
    <n v="102"/>
    <n v="0"/>
  </r>
  <r>
    <s v="Cases &amp; Composites"/>
    <s v="CAS-212750-T3V4R5"/>
    <s v="Robert Thompson"/>
    <s v="Complete"/>
    <s v="Resolved"/>
    <x v="2"/>
    <n v="10"/>
    <s v="24KC265"/>
    <s v="Repair-EA"/>
    <x v="3"/>
    <x v="1"/>
    <x v="3"/>
    <s v="75%"/>
    <d v="2024-04-18T12:49:43"/>
    <d v="2024-05-29T04:00:00"/>
    <d v="2024-08-14T04:00:00"/>
    <x v="289"/>
    <d v="2024-08-12T14:26:57"/>
    <s v="August"/>
    <d v="2024-05-07T04:00:00"/>
    <d v="2024-05-07T04:00:00"/>
    <d v="2024-05-07T04:00:00"/>
    <d v="2024-06-19T04:00:00"/>
    <n v="0"/>
    <n v="43"/>
    <n v="43"/>
    <n v="111.63214120369958"/>
    <n v="68.632141203699575"/>
    <n v="0"/>
    <n v="0"/>
    <n v="0"/>
    <n v="0"/>
    <n v="0"/>
    <n v="23"/>
    <n v="0"/>
    <n v="0"/>
    <n v="23"/>
    <n v="88.632141203699575"/>
    <n v="45.632141203699575"/>
    <n v="71"/>
    <n v="0"/>
  </r>
  <r>
    <s v="Cases &amp; Composites"/>
    <s v="CAS-203327-X3F3Z7"/>
    <s v="Jia Chen"/>
    <s v="Complete"/>
    <s v="Resolved"/>
    <x v="2"/>
    <n v="11"/>
    <s v="19KC208A"/>
    <s v="Repair-EA"/>
    <x v="0"/>
    <x v="1"/>
    <x v="3"/>
    <m/>
    <d v="2024-01-10T20:51:19"/>
    <d v="2024-02-15T05:00:00"/>
    <d v="2024-01-31T05:00:00"/>
    <x v="104"/>
    <d v="2024-01-23T20:52:06"/>
    <s v="ref. EA19KC208"/>
    <m/>
    <m/>
    <m/>
    <m/>
    <s v=""/>
    <s v=""/>
    <n v="0"/>
    <n v="12.339363425926422"/>
    <n v="12.339363425926422"/>
    <n v="0"/>
    <n v="0"/>
    <n v="0"/>
    <n v="0"/>
    <n v="0"/>
    <n v="0"/>
    <n v="0"/>
    <n v="0"/>
    <n v="0"/>
    <n v="12.339363425926422"/>
    <n v="12.339363425926422"/>
    <n v="-23"/>
    <n v="1"/>
  </r>
  <r>
    <s v="Cases &amp; Composites"/>
    <s v="MSG-240425-917379"/>
    <s v="Robert Thompson"/>
    <s v="Complete"/>
    <s v="Complete"/>
    <x v="2"/>
    <n v="11"/>
    <s v="24CCB60"/>
    <s v="Repair-EA"/>
    <x v="1"/>
    <x v="0"/>
    <x v="0"/>
    <s v="75%"/>
    <d v="2024-04-25T04:00:00"/>
    <d v="2024-07-19T04:00:00"/>
    <d v="2024-08-21T04:00:00"/>
    <x v="315"/>
    <d v="2024-08-20T20:08:23"/>
    <s v="create a CIR repair similar to 24CCA00, 24CC837, and RTN17CC494A"/>
    <m/>
    <m/>
    <m/>
    <m/>
    <s v=""/>
    <s v=""/>
    <n v="0"/>
    <n v="117"/>
    <n v="117"/>
    <n v="0"/>
    <n v="0"/>
    <n v="0"/>
    <n v="0"/>
    <n v="0"/>
    <n v="0"/>
    <n v="0"/>
    <n v="0"/>
    <n v="0"/>
    <n v="117"/>
    <n v="117"/>
    <n v="32"/>
    <n v="0"/>
  </r>
  <r>
    <s v="Cases &amp; Composites"/>
    <s v="MSG-231018-74799E"/>
    <s v="Robert Thompson"/>
    <s v="Complete"/>
    <s v="Complete"/>
    <x v="2"/>
    <n v="12"/>
    <s v="21CCG57B"/>
    <s v="Repair-EA"/>
    <x v="1"/>
    <x v="0"/>
    <x v="0"/>
    <m/>
    <d v="2023-10-18T04:00:00"/>
    <d v="2024-02-16T05:00:00"/>
    <d v="2024-02-29T05:00:00"/>
    <x v="327"/>
    <d v="2024-03-04T15:30:23"/>
    <s v="(Mar1.)Develop a Scrape repair on the Leading Edge KOZ for Fan blade"/>
    <d v="2023-11-13T05:00:00"/>
    <d v="2023-11-13T05:00:00"/>
    <d v="2023-11-13T05:00:00"/>
    <d v="2023-11-15T05:00:00"/>
    <n v="0"/>
    <n v="2"/>
    <n v="2"/>
    <n v="135.04166666667152"/>
    <n v="133.04166666667152"/>
    <n v="0"/>
    <n v="0"/>
    <n v="0"/>
    <n v="0"/>
    <n v="0"/>
    <n v="0"/>
    <n v="0"/>
    <n v="0"/>
    <n v="0"/>
    <n v="135.04166666667152"/>
    <n v="133.04166666667152"/>
    <n v="14"/>
    <n v="0"/>
  </r>
  <r>
    <s v="Cases &amp; Composites"/>
    <s v="CAS-194101-H0Q1P8"/>
    <s v="Pedro Iturrino"/>
    <s v="Complete"/>
    <s v="Resolved"/>
    <x v="2"/>
    <n v="13"/>
    <s v="23KC216A"/>
    <s v="Repair-EA"/>
    <x v="0"/>
    <x v="1"/>
    <x v="3"/>
    <m/>
    <d v="2023-10-04T15:54:21"/>
    <d v="2023-12-22T05:00:00"/>
    <d v="2024-01-24T05:00:00"/>
    <x v="309"/>
    <d v="2024-01-19T17:01:33"/>
    <s v="JAN"/>
    <d v="2023-11-08T05:00:00"/>
    <d v="2023-12-01T05:00:00"/>
    <d v="2023-12-01T05:00:00"/>
    <d v="2023-12-12T05:00:00"/>
    <n v="23"/>
    <n v="11"/>
    <n v="34"/>
    <n v="106.54559027778305"/>
    <n v="72.545590277783049"/>
    <n v="0"/>
    <n v="0"/>
    <n v="0"/>
    <n v="0"/>
    <n v="0"/>
    <n v="0"/>
    <n v="0"/>
    <n v="0"/>
    <n v="0"/>
    <n v="106.54559027778305"/>
    <n v="72.545590277783049"/>
    <n v="28"/>
    <n v="0"/>
  </r>
  <r>
    <s v="Cases &amp; Composites"/>
    <s v="CAS-208467-F4R0B7"/>
    <s v="Robert Thompson"/>
    <s v="Complete"/>
    <s v="Resolved"/>
    <x v="2"/>
    <n v="13"/>
    <s v="13CC672B"/>
    <s v="Repair-EA"/>
    <x v="1"/>
    <x v="0"/>
    <x v="0"/>
    <m/>
    <d v="2024-03-04T14:50:59"/>
    <d v="2024-03-29T04:00:00"/>
    <d v="2024-04-11T04:00:00"/>
    <x v="324"/>
    <d v="2024-04-15T12:36:48"/>
    <s v="Apr"/>
    <m/>
    <m/>
    <m/>
    <m/>
    <s v=""/>
    <s v=""/>
    <n v="0"/>
    <n v="38.547928240739566"/>
    <n v="38.547928240739566"/>
    <n v="0"/>
    <n v="0"/>
    <n v="0"/>
    <n v="0"/>
    <n v="0"/>
    <n v="0"/>
    <n v="0"/>
    <n v="0"/>
    <n v="0"/>
    <n v="38.547928240739566"/>
    <n v="38.547928240739566"/>
    <n v="14"/>
    <n v="0"/>
  </r>
  <r>
    <s v="Cases &amp; Composites"/>
    <n v="95804"/>
    <s v="Jia Chen"/>
    <s v="Complete"/>
    <s v="Open"/>
    <x v="2"/>
    <n v="14"/>
    <s v="23FC379"/>
    <s v="Repair-EA"/>
    <x v="0"/>
    <x v="2"/>
    <x v="3"/>
    <m/>
    <d v="2022-12-19T05:00:00"/>
    <d v="2024-01-15T05:00:00"/>
    <d v="2024-01-25T05:00:00"/>
    <x v="104"/>
    <d v="2024-01-23T18:56:44"/>
    <s v="JAN. Equivalent Eaglenet CAS-168582-W2W5G6"/>
    <m/>
    <m/>
    <m/>
    <m/>
    <s v=""/>
    <s v=""/>
    <n v="0"/>
    <n v="400"/>
    <n v="400"/>
    <n v="0"/>
    <n v="0"/>
    <n v="0"/>
    <n v="0"/>
    <n v="0"/>
    <n v="0"/>
    <n v="0"/>
    <n v="0"/>
    <n v="0"/>
    <n v="400"/>
    <n v="400"/>
    <n v="8"/>
    <n v="0"/>
  </r>
  <r>
    <s v="Cases &amp; Composites"/>
    <s v="CAS-147632-G2F3W5"/>
    <s v="Ferdin Mustafa"/>
    <s v="Complete"/>
    <s v="Resolved"/>
    <x v="2"/>
    <m/>
    <s v="22FC129"/>
    <s v="Repair-EA"/>
    <x v="1"/>
    <x v="2"/>
    <x v="1"/>
    <m/>
    <d v="2022-05-04T14:13:12"/>
    <d v="2024-07-10T04:00:00"/>
    <d v="2024-07-10T04:00:00"/>
    <x v="328"/>
    <d v="2024-06-28T18:28:10"/>
    <s v="June"/>
    <d v="2022-05-09T04:00:00"/>
    <d v="2022-06-09T04:00:00"/>
    <d v="2022-06-09T04:00:00"/>
    <d v="2022-11-30T05:00:00"/>
    <n v="31"/>
    <n v="174.04166666667152"/>
    <n v="205.04166666667152"/>
    <n v="784.57416666666541"/>
    <n v="579.53249999999389"/>
    <n v="0"/>
    <n v="0"/>
    <n v="0"/>
    <n v="0"/>
    <n v="0"/>
    <n v="0"/>
    <n v="0"/>
    <n v="0"/>
    <n v="0"/>
    <n v="784.57416666666541"/>
    <n v="579.53249999999389"/>
    <n v="-13"/>
    <n v="1"/>
  </r>
  <r>
    <s v="Cases &amp; Composites"/>
    <s v="CAS-171328-L1N6V2"/>
    <s v="Robert Thompson"/>
    <s v="Complete"/>
    <s v="Resolved"/>
    <x v="2"/>
    <m/>
    <s v="17CC823B"/>
    <s v="Repair-EA"/>
    <x v="1"/>
    <x v="0"/>
    <x v="0"/>
    <m/>
    <d v="2023-02-13T02:03:44"/>
    <d v="2024-08-30T04:00:00"/>
    <d v="2024-10-31T04:00:00"/>
    <x v="187"/>
    <d v="2024-11-21T14:42:00"/>
    <m/>
    <m/>
    <m/>
    <m/>
    <m/>
    <s v=""/>
    <s v=""/>
    <n v="0"/>
    <n v="640.12240740741254"/>
    <n v="640.12240740741254"/>
    <n v="0"/>
    <n v="0"/>
    <n v="0"/>
    <n v="0"/>
    <n v="0"/>
    <n v="0"/>
    <n v="0"/>
    <n v="0"/>
    <n v="0"/>
    <n v="640.12240740741254"/>
    <n v="640.12240740741254"/>
    <n v="76.041666666671517"/>
    <n v="0"/>
  </r>
  <r>
    <s v="Cases &amp; Composites"/>
    <s v="MSG-231003-EC44B9"/>
    <s v="Ferdin Mustafa"/>
    <s v="Complete"/>
    <s v="Complete"/>
    <x v="2"/>
    <m/>
    <s v="23CCX41"/>
    <s v="Repair-EA"/>
    <x v="1"/>
    <x v="0"/>
    <x v="7"/>
    <m/>
    <d v="2023-10-03T04:00:00"/>
    <d v="2024-05-28T04:00:00"/>
    <d v="2024-10-23T04:00:00"/>
    <x v="294"/>
    <d v="2024-10-21T20:17:13"/>
    <s v="October - Evaluate and substantiate continued viability of subject Cat3a DMCs in EM manual PN 5316992 for applicability GTFA models and run parameters. Ensure 310A and 361A repairable limits are within requirements and evaluate options for limit expa"/>
    <m/>
    <m/>
    <m/>
    <m/>
    <s v=""/>
    <s v=""/>
    <n v="0"/>
    <n v="384"/>
    <n v="384"/>
    <n v="0"/>
    <n v="0"/>
    <n v="0"/>
    <n v="0"/>
    <n v="0"/>
    <n v="0"/>
    <n v="0"/>
    <n v="0"/>
    <n v="0"/>
    <n v="384"/>
    <n v="384"/>
    <n v="146"/>
    <n v="0"/>
  </r>
  <r>
    <s v="Cases &amp; Composites"/>
    <s v="CAS-188278-C5C9R1"/>
    <s v="Orlando Melendez Colon"/>
    <s v="Complete"/>
    <s v="Resolved"/>
    <x v="2"/>
    <m/>
    <s v="23VG336"/>
    <s v="Repair-EA"/>
    <x v="0"/>
    <x v="3"/>
    <x v="5"/>
    <m/>
    <d v="2023-08-07T13:28:19"/>
    <d v="2024-01-19T05:00:00"/>
    <d v="2024-04-26T04:00:00"/>
    <x v="35"/>
    <d v="2024-04-25T03:07:01"/>
    <s v="April"/>
    <d v="2023-12-13T05:00:00"/>
    <d v="2024-01-17T05:00:00"/>
    <d v="2024-01-17T05:00:00"/>
    <d v="2024-01-17T05:00:00"/>
    <n v="35"/>
    <n v="0"/>
    <n v="35"/>
    <n v="260.6053356481425"/>
    <n v="225.6053356481425"/>
    <n v="0"/>
    <n v="0"/>
    <n v="0"/>
    <n v="0"/>
    <n v="0"/>
    <n v="26"/>
    <n v="0"/>
    <n v="0"/>
    <n v="26"/>
    <n v="234.6053356481425"/>
    <n v="199.6053356481425"/>
    <n v="95.958333333328483"/>
    <n v="0"/>
  </r>
  <r>
    <s v="Cases &amp; Composites"/>
    <s v="MSG-231005-F3894C"/>
    <s v="Orlando Melendez Colon"/>
    <s v="Complete"/>
    <s v="Complete"/>
    <x v="2"/>
    <m/>
    <s v="23VC481"/>
    <s v="Repair-EA"/>
    <x v="1"/>
    <x v="3"/>
    <x v="5"/>
    <m/>
    <d v="2023-10-05T04:00:00"/>
    <d v="2024-01-19T05:00:00"/>
    <d v="2024-05-03T04:00:00"/>
    <x v="2"/>
    <d v="2024-05-03T15:22:26"/>
    <m/>
    <m/>
    <m/>
    <m/>
    <m/>
    <s v=""/>
    <s v=""/>
    <n v="0"/>
    <n v="208"/>
    <n v="208"/>
    <n v="0"/>
    <n v="0"/>
    <n v="0"/>
    <n v="0"/>
    <n v="0"/>
    <n v="0"/>
    <n v="0"/>
    <n v="0"/>
    <n v="0"/>
    <n v="208"/>
    <n v="208"/>
    <n v="101.95833333332848"/>
    <n v="0"/>
  </r>
  <r>
    <s v="Cases &amp; Composites"/>
    <s v="CAS-196553-R6F6Z1"/>
    <s v="Robert Thompson"/>
    <s v="Complete"/>
    <s v="Resolved"/>
    <x v="2"/>
    <m/>
    <s v="15CCF90H"/>
    <s v="Repair-EA"/>
    <x v="1"/>
    <x v="0"/>
    <x v="8"/>
    <m/>
    <d v="2023-10-27T19:48:13"/>
    <d v="2024-03-15T04:00:00"/>
    <d v="2024-03-28T04:00:00"/>
    <x v="81"/>
    <d v="2024-03-25T18:56:50"/>
    <s v="Mar2FanR-Blade"/>
    <m/>
    <m/>
    <m/>
    <m/>
    <s v=""/>
    <s v=""/>
    <n v="0"/>
    <n v="149.34151620369812"/>
    <n v="149.34151620369812"/>
    <n v="0"/>
    <n v="0"/>
    <n v="0"/>
    <n v="0"/>
    <n v="0"/>
    <n v="0"/>
    <n v="0"/>
    <n v="0"/>
    <n v="0"/>
    <n v="149.34151620369812"/>
    <n v="149.34151620369812"/>
    <n v="10"/>
    <n v="0"/>
  </r>
  <r>
    <s v="Cases &amp; Composites"/>
    <s v="CAS-201595-K8H8V1"/>
    <s v="Robert Thompson"/>
    <s v="Complete"/>
    <s v="Resolved"/>
    <x v="2"/>
    <m/>
    <s v="23CCN72A"/>
    <s v="Repair-EA"/>
    <x v="1"/>
    <x v="0"/>
    <x v="8"/>
    <m/>
    <d v="2023-12-19T08:03:35"/>
    <d v="2024-05-28T04:00:00"/>
    <d v="2024-05-31T04:00:00"/>
    <x v="89"/>
    <d v="2024-05-31T18:47:11"/>
    <s v="Fan Exit Fairing"/>
    <d v="2024-02-12T05:00:00"/>
    <d v="2024-02-12T05:00:00"/>
    <d v="2024-02-12T05:00:00"/>
    <d v="2024-02-13T05:00:00"/>
    <n v="0"/>
    <n v="1"/>
    <n v="1"/>
    <n v="163.83084490740293"/>
    <n v="162.83084490740293"/>
    <n v="0"/>
    <n v="0"/>
    <n v="0"/>
    <n v="0"/>
    <n v="0"/>
    <n v="0"/>
    <n v="0"/>
    <n v="0"/>
    <n v="0"/>
    <n v="163.83084490740293"/>
    <n v="162.83084490740293"/>
    <n v="3"/>
    <n v="0"/>
  </r>
  <r>
    <s v="Cases &amp; Composites"/>
    <s v="MSG-231220-D8267F"/>
    <s v="Robert Thompson"/>
    <s v="Complete"/>
    <s v="Complete"/>
    <x v="2"/>
    <m/>
    <s v="23CCN24A"/>
    <s v="Repair-EA"/>
    <x v="1"/>
    <x v="0"/>
    <x v="8"/>
    <m/>
    <d v="2023-12-20T05:00:00"/>
    <d v="2024-05-28T04:00:00"/>
    <d v="2024-06-12T04:00:00"/>
    <x v="121"/>
    <d v="2024-06-11T18:04:43"/>
    <s v="JuneFan Exit Fairing Left"/>
    <d v="2024-02-12T05:00:00"/>
    <d v="2024-02-12T05:00:00"/>
    <d v="2024-02-12T05:00:00"/>
    <d v="2024-02-13T05:00:00"/>
    <n v="0"/>
    <n v="1"/>
    <n v="1"/>
    <n v="172.95833333332848"/>
    <n v="171.95833333332848"/>
    <n v="0"/>
    <n v="0"/>
    <n v="0"/>
    <n v="0"/>
    <n v="0"/>
    <n v="0"/>
    <n v="0"/>
    <n v="0"/>
    <n v="0"/>
    <n v="172.95833333332848"/>
    <n v="171.95833333332848"/>
    <n v="13"/>
    <n v="0"/>
  </r>
  <r>
    <s v="Cases &amp; Composites"/>
    <s v="CAS-203204-V4V8L7"/>
    <s v="Tyler Abusbah"/>
    <s v="Complete"/>
    <s v="Resolved"/>
    <x v="2"/>
    <m/>
    <s v="24CC077"/>
    <s v="Repair-EA"/>
    <x v="0"/>
    <x v="0"/>
    <x v="8"/>
    <m/>
    <d v="2024-01-09T17:36:27"/>
    <d v="2024-03-07T05:00:00"/>
    <d v="2024-09-12T04:00:00"/>
    <x v="285"/>
    <d v="2024-08-30T17:46:19"/>
    <s v="TIC Inner. Sept"/>
    <d v="2024-01-11T05:00:00"/>
    <d v="2024-05-07T04:00:00"/>
    <d v="2024-05-07T04:00:00"/>
    <d v="2024-05-17T04:00:00"/>
    <n v="116.95833333332848"/>
    <n v="10"/>
    <n v="126.95833333332848"/>
    <n v="233.43302083333401"/>
    <n v="106.47468750000553"/>
    <n v="0"/>
    <n v="0"/>
    <n v="0"/>
    <n v="0"/>
    <n v="0"/>
    <n v="0"/>
    <n v="0"/>
    <n v="0"/>
    <n v="0"/>
    <n v="233.43302083333401"/>
    <n v="106.47468750000553"/>
    <n v="175.95833333332848"/>
    <n v="0"/>
  </r>
  <r>
    <s v="Cases &amp; Composites"/>
    <s v="MSG-240222-99D6CC"/>
    <s v="Robert Thompson"/>
    <s v="Complete"/>
    <s v="Complete"/>
    <x v="2"/>
    <m/>
    <s v="24CC604"/>
    <s v="Repair-EA"/>
    <x v="1"/>
    <x v="0"/>
    <x v="7"/>
    <m/>
    <d v="2024-02-22T05:00:00"/>
    <d v="2024-06-28T04:00:00"/>
    <d v="2024-05-23T04:00:00"/>
    <x v="329"/>
    <d v="2024-05-28T13:58:12"/>
    <s v="Evaluate and substantiate continued viability of subject DMCs in CIR manual PN 5315653 for applicability GTFA models and run parameters.  Make updates to repair encompassing latest best practices. See comments for task details."/>
    <d v="2024-03-11T04:00:00"/>
    <d v="2024-03-26T04:00:00"/>
    <d v="2024-03-26T04:00:00"/>
    <d v="2024-04-22T04:00:00"/>
    <n v="15"/>
    <n v="27"/>
    <n v="42"/>
    <n v="95.958333333328483"/>
    <n v="53.958333333328483"/>
    <n v="0"/>
    <n v="0"/>
    <n v="0"/>
    <n v="0"/>
    <n v="0"/>
    <n v="0"/>
    <n v="0"/>
    <n v="0"/>
    <n v="0"/>
    <n v="95.958333333328483"/>
    <n v="53.958333333328483"/>
    <n v="-31"/>
    <n v="1"/>
  </r>
  <r>
    <s v="Cases &amp; Composites"/>
    <s v="MSG-240222-FC795D"/>
    <s v="Robert Thompson"/>
    <s v="Complete"/>
    <s v="Complete"/>
    <x v="2"/>
    <m/>
    <s v="24CC663"/>
    <s v="Repair-EA"/>
    <x v="1"/>
    <x v="0"/>
    <x v="7"/>
    <m/>
    <d v="2024-02-22T05:00:00"/>
    <d v="2024-07-12T04:00:00"/>
    <d v="2024-05-31T04:00:00"/>
    <x v="321"/>
    <d v="2024-05-29T13:50:47"/>
    <s v="MayEvaluate and substantiate continued viability of subject DMCs in CIR manual PN 5315653 for applicability GTFA models and run parameters.  Make updates to repair encompassing latest best practices. See comments for task details."/>
    <d v="2024-03-19T04:00:00"/>
    <d v="2024-03-26T04:00:00"/>
    <d v="2024-03-26T04:00:00"/>
    <d v="2024-04-22T04:00:00"/>
    <n v="7"/>
    <n v="27"/>
    <n v="34"/>
    <n v="96.958333333328483"/>
    <n v="62.958333333328483"/>
    <n v="0"/>
    <n v="0"/>
    <n v="0"/>
    <n v="0"/>
    <n v="0"/>
    <n v="0"/>
    <n v="0"/>
    <n v="0"/>
    <n v="0"/>
    <n v="96.958333333328483"/>
    <n v="62.958333333328483"/>
    <n v="-44"/>
    <n v="1"/>
  </r>
  <r>
    <s v="Cases &amp; Composites"/>
    <s v="CAS-200450-M1N6H5"/>
    <s v="Tyler Abusbah"/>
    <s v="Complete"/>
    <s v="Resolved"/>
    <x v="2"/>
    <m/>
    <s v="24KC330"/>
    <s v="Repair-EA"/>
    <x v="0"/>
    <x v="1"/>
    <x v="3"/>
    <m/>
    <d v="2023-12-07T03:17:07"/>
    <d v="2024-08-15T04:00:00"/>
    <d v="2024-09-30T04:00:00"/>
    <x v="95"/>
    <d v="2024-10-01T01:28:28"/>
    <s v="Sept"/>
    <d v="2024-06-03T04:00:00"/>
    <d v="2024-06-10T04:00:00"/>
    <d v="2024-06-10T04:00:00"/>
    <d v="2024-07-11T04:00:00"/>
    <n v="7"/>
    <n v="31"/>
    <n v="38"/>
    <n v="298.02978009259095"/>
    <n v="260.02978009259095"/>
    <n v="0"/>
    <n v="0"/>
    <n v="0"/>
    <n v="114"/>
    <n v="0"/>
    <n v="0"/>
    <n v="0"/>
    <n v="0"/>
    <n v="114"/>
    <n v="184.02978009259095"/>
    <n v="146.02978009259095"/>
    <n v="46"/>
    <n v="0"/>
  </r>
  <r>
    <s v="Cases &amp; Composites"/>
    <s v="CAS-214861-X3X8K1"/>
    <s v="Robert Thompson"/>
    <s v="Complete"/>
    <s v="Resolved"/>
    <x v="2"/>
    <m/>
    <s v="21CC001B"/>
    <s v="Repair-EA"/>
    <x v="1"/>
    <x v="0"/>
    <x v="8"/>
    <s v="75%"/>
    <d v="2024-05-13T16:24:51"/>
    <d v="2024-05-24T04:00:00"/>
    <d v="2024-05-24T04:00:00"/>
    <x v="72"/>
    <d v="2024-05-20T20:11:43"/>
    <s v="FanR-Cone"/>
    <m/>
    <m/>
    <m/>
    <m/>
    <s v=""/>
    <s v=""/>
    <n v="0"/>
    <n v="6.4827430555524188"/>
    <n v="6.4827430555524188"/>
    <n v="0"/>
    <n v="0"/>
    <n v="0"/>
    <n v="0"/>
    <n v="0"/>
    <n v="0"/>
    <n v="0"/>
    <n v="0"/>
    <n v="0"/>
    <n v="6.4827430555524188"/>
    <n v="6.4827430555524188"/>
    <n v="-4"/>
    <n v="1"/>
  </r>
  <r>
    <s v="Cases &amp; Composites"/>
    <s v="CAS-216697-H2L6H4"/>
    <s v="Robert Thompson"/>
    <s v="Complete"/>
    <s v="Resolved"/>
    <x v="2"/>
    <m/>
    <s v="24AC048"/>
    <s v="Repair-EA"/>
    <x v="0"/>
    <x v="4"/>
    <x v="6"/>
    <s v="75%"/>
    <d v="2024-05-31T18:29:31"/>
    <d v="2024-08-30T04:00:00"/>
    <d v="2024-06-28T04:00:00"/>
    <x v="330"/>
    <d v="2024-06-27T14:39:03"/>
    <m/>
    <d v="2024-06-12T04:00:00"/>
    <d v="2024-06-13T04:00:00"/>
    <d v="2024-06-13T04:00:00"/>
    <d v="2024-06-19T04:00:00"/>
    <n v="1"/>
    <n v="6"/>
    <n v="7"/>
    <n v="25.396168981482333"/>
    <n v="18.396168981482333"/>
    <n v="0"/>
    <n v="0"/>
    <n v="0"/>
    <n v="0"/>
    <n v="0"/>
    <n v="0"/>
    <n v="0"/>
    <n v="0"/>
    <n v="0"/>
    <n v="25.396168981482333"/>
    <n v="18.396168981482333"/>
    <n v="-65"/>
    <n v="1"/>
  </r>
  <r>
    <s v="Cases &amp; Composites"/>
    <n v="104970"/>
    <s v="Robert Thompson"/>
    <s v="Complete"/>
    <s v="Closed"/>
    <x v="2"/>
    <m/>
    <s v="24FC237"/>
    <s v="Repair-EA"/>
    <x v="1"/>
    <x v="2"/>
    <x v="3"/>
    <s v="75%"/>
    <d v="2024-03-27T04:00:00"/>
    <d v="2024-08-26T04:00:00"/>
    <d v="2024-08-26T04:00:00"/>
    <x v="93"/>
    <d v="2024-08-21T15:02:37"/>
    <m/>
    <d v="2024-07-25T04:00:00"/>
    <d v="2024-08-15T04:00:00"/>
    <d v="2024-08-15T04:00:00"/>
    <d v="2024-08-15T04:00:00"/>
    <n v="21"/>
    <n v="0"/>
    <n v="21"/>
    <n v="147"/>
    <n v="126"/>
    <n v="0"/>
    <n v="0"/>
    <n v="0"/>
    <n v="0"/>
    <n v="0"/>
    <n v="0"/>
    <n v="0"/>
    <n v="0"/>
    <n v="0"/>
    <n v="147"/>
    <n v="126"/>
    <n v="-5"/>
    <n v="1"/>
  </r>
  <r>
    <s v="Cases &amp; Composites"/>
    <s v="CAS-221807-S7V9G3"/>
    <s v="Robert Thompson"/>
    <s v="Complete"/>
    <s v="Resolved"/>
    <x v="2"/>
    <m/>
    <s v="15CC200B"/>
    <s v="Repair-EA"/>
    <x v="1"/>
    <x v="0"/>
    <x v="8"/>
    <m/>
    <d v="2024-07-22T04:46:47"/>
    <d v="2024-08-23T04:00:00"/>
    <d v="2024-08-23T04:00:00"/>
    <x v="93"/>
    <d v="2024-08-21T13:06:03"/>
    <m/>
    <m/>
    <m/>
    <m/>
    <m/>
    <s v=""/>
    <s v=""/>
    <n v="0"/>
    <n v="29.96751157406834"/>
    <n v="29.96751157406834"/>
    <n v="0"/>
    <n v="0"/>
    <n v="0"/>
    <n v="0"/>
    <n v="0"/>
    <n v="0"/>
    <n v="0"/>
    <n v="0"/>
    <n v="0"/>
    <n v="29.96751157406834"/>
    <n v="29.96751157406834"/>
    <n v="-2"/>
    <n v="1"/>
  </r>
  <r>
    <s v="Cases &amp; Composites"/>
    <s v="CAS-222020-W9L2T2"/>
    <s v="Robert Thompson"/>
    <s v="Complete"/>
    <s v="Resolved"/>
    <x v="2"/>
    <m/>
    <s v="08AC093C"/>
    <s v="Repair-EA"/>
    <x v="1"/>
    <x v="4"/>
    <x v="6"/>
    <m/>
    <d v="2024-07-23T13:29:56"/>
    <d v="2024-08-29T04:00:00"/>
    <d v="2024-08-29T04:00:00"/>
    <x v="6"/>
    <d v="2024-08-26T20:09:21"/>
    <m/>
    <m/>
    <m/>
    <m/>
    <m/>
    <s v=""/>
    <s v=""/>
    <n v="0"/>
    <n v="33.604212962964084"/>
    <n v="33.604212962964084"/>
    <n v="0"/>
    <n v="0"/>
    <n v="0"/>
    <n v="0"/>
    <n v="0"/>
    <n v="0"/>
    <n v="0"/>
    <n v="0"/>
    <n v="0"/>
    <n v="33.604212962964084"/>
    <n v="33.604212962964084"/>
    <n v="-3"/>
    <n v="1"/>
  </r>
  <r>
    <s v="Cases &amp; Composites"/>
    <s v="CAS-223735-R4V6W5"/>
    <s v="Robert Thompson"/>
    <s v="Complete"/>
    <s v="Resolved"/>
    <x v="2"/>
    <m/>
    <s v="24AC071"/>
    <s v="Repair-EA"/>
    <x v="0"/>
    <x v="4"/>
    <x v="6"/>
    <m/>
    <d v="2024-08-08T14:06:38"/>
    <d v="2024-12-31T05:00:00"/>
    <d v="2024-10-25T04:00:00"/>
    <x v="234"/>
    <d v="2024-10-29T15:59:15"/>
    <m/>
    <d v="2024-09-04T04:00:00"/>
    <d v="2024-09-25T04:00:00"/>
    <d v="2024-09-25T04:00:00"/>
    <d v="2024-10-14T04:00:00"/>
    <n v="21"/>
    <n v="19"/>
    <n v="40"/>
    <n v="81.578726851847023"/>
    <n v="41.578726851847023"/>
    <n v="0"/>
    <n v="0"/>
    <n v="0"/>
    <n v="0"/>
    <n v="2"/>
    <n v="6"/>
    <n v="0"/>
    <n v="0"/>
    <n v="8"/>
    <n v="73.578726851847023"/>
    <n v="33.578726851847023"/>
    <n v="-63.041666666671517"/>
    <n v="1"/>
  </r>
  <r>
    <s v="Cases &amp; Composites"/>
    <s v="MSG-241003-B75D5C"/>
    <s v="Brian K Holland"/>
    <s v="Complete"/>
    <s v="Complete"/>
    <x v="2"/>
    <m/>
    <s v="24FC325"/>
    <s v="Repair-EA"/>
    <x v="1"/>
    <x v="2"/>
    <x v="2"/>
    <m/>
    <d v="2024-10-03T04:00:00"/>
    <d v="2024-12-20T05:00:00"/>
    <d v="2024-12-20T05:00:00"/>
    <x v="211"/>
    <d v="2024-11-21T16:07:26"/>
    <s v="This MSG-ID is a request to update the retaining plate installation for PW2000 and F117 fan cases. Upon reviewing tech data for MERLIN 108585, Design Metallurgy recommended updating this repair to help increase corrosion resistance. It is used at OEM"/>
    <m/>
    <m/>
    <m/>
    <m/>
    <s v=""/>
    <s v=""/>
    <n v="0"/>
    <n v="49.041666666671517"/>
    <n v="49.041666666671517"/>
    <n v="0"/>
    <n v="0"/>
    <n v="0"/>
    <n v="0"/>
    <n v="0"/>
    <n v="0"/>
    <n v="0"/>
    <n v="0"/>
    <n v="0"/>
    <n v="49.041666666671517"/>
    <n v="49.041666666671517"/>
    <n v="-29"/>
    <n v="1"/>
  </r>
  <r>
    <s v="Cases &amp; Composites"/>
    <s v="CAS-224677-V2R2D9"/>
    <s v="Brian K Holland"/>
    <s v="Complete"/>
    <s v="Resolved"/>
    <x v="2"/>
    <m/>
    <s v="24FC346"/>
    <s v="Repair-EA"/>
    <x v="0"/>
    <x v="2"/>
    <x v="3"/>
    <m/>
    <d v="2024-08-19T12:49:11"/>
    <d v="2024-11-19T05:00:00"/>
    <d v="2024-11-19T05:00:00"/>
    <x v="331"/>
    <d v="2024-11-18T15:29:56"/>
    <m/>
    <m/>
    <m/>
    <m/>
    <m/>
    <s v=""/>
    <s v=""/>
    <n v="0"/>
    <n v="90.67417824074073"/>
    <n v="90.67417824074073"/>
    <n v="0"/>
    <n v="0"/>
    <n v="0"/>
    <n v="0"/>
    <n v="0"/>
    <n v="0"/>
    <n v="0"/>
    <n v="0"/>
    <n v="0"/>
    <n v="90.67417824074073"/>
    <n v="90.67417824074073"/>
    <n v="-1"/>
    <n v="1"/>
  </r>
  <r>
    <s v="Cases &amp; Composites"/>
    <s v="CAS-146301-W9F6M7"/>
    <s v="Ferdin Mustafa"/>
    <s v="Complete"/>
    <s v="Active"/>
    <x v="3"/>
    <n v="2"/>
    <s v="22KC450"/>
    <s v="Repair-EA"/>
    <x v="1"/>
    <x v="1"/>
    <x v="1"/>
    <m/>
    <d v="2022-04-21T21:15:53"/>
    <d v="2023-11-10T05:00:00"/>
    <d v="2024-04-23T04:00:00"/>
    <x v="76"/>
    <d v="2024-04-25T13:22:19"/>
    <s v="Apr"/>
    <m/>
    <m/>
    <m/>
    <m/>
    <s v=""/>
    <s v=""/>
    <n v="0"/>
    <n v="734.28063657406892"/>
    <n v="734.28063657406892"/>
    <n v="0"/>
    <n v="0"/>
    <n v="0"/>
    <n v="0"/>
    <n v="0"/>
    <n v="0"/>
    <n v="0"/>
    <n v="0"/>
    <n v="0"/>
    <n v="734.28063657406892"/>
    <n v="734.28063657406892"/>
    <n v="166.95833333332848"/>
    <n v="0"/>
  </r>
  <r>
    <s v="Cases &amp; Composites"/>
    <s v="CAS-206479-F5R6R2"/>
    <s v="Robert Thompson"/>
    <s v="Complete"/>
    <s v="Resolved"/>
    <x v="3"/>
    <n v="2"/>
    <s v="20KC029B"/>
    <s v="Repair-EA"/>
    <x v="1"/>
    <x v="1"/>
    <x v="3"/>
    <m/>
    <d v="2024-02-13T14:18:12"/>
    <d v="2024-04-04T04:00:00"/>
    <d v="2024-04-26T04:00:00"/>
    <x v="75"/>
    <d v="2024-04-22T12:36:02"/>
    <m/>
    <m/>
    <m/>
    <m/>
    <m/>
    <s v=""/>
    <s v=""/>
    <n v="0"/>
    <n v="65.570694444439141"/>
    <n v="65.570694444439141"/>
    <n v="0"/>
    <n v="0"/>
    <n v="0"/>
    <n v="0"/>
    <n v="0"/>
    <n v="0"/>
    <n v="0"/>
    <n v="0"/>
    <n v="0"/>
    <n v="65.570694444439141"/>
    <n v="65.570694444439141"/>
    <n v="15"/>
    <n v="0"/>
  </r>
  <r>
    <s v="Cases &amp; Composites"/>
    <s v="CAS-210576-W1F5G8"/>
    <s v="Jia Chen"/>
    <s v="Complete"/>
    <s v="Resolved"/>
    <x v="3"/>
    <n v="2"/>
    <s v="24FC111"/>
    <s v="Repair-EA"/>
    <x v="3"/>
    <x v="2"/>
    <x v="3"/>
    <m/>
    <d v="2024-03-26T15:56:33"/>
    <d v="2024-06-11T04:00:00"/>
    <d v="2024-06-11T04:00:00"/>
    <x v="314"/>
    <d v="2024-05-30T18:36:47"/>
    <s v="May"/>
    <d v="2024-04-17T04:00:00"/>
    <d v="2024-05-10T04:00:00"/>
    <d v="2024-05-10T04:00:00"/>
    <d v="2024-05-10T04:00:00"/>
    <n v="23"/>
    <n v="0"/>
    <n v="23"/>
    <n v="64.502395833333139"/>
    <n v="41.502395833333139"/>
    <n v="0"/>
    <n v="0"/>
    <n v="0"/>
    <n v="0"/>
    <n v="0"/>
    <n v="0"/>
    <n v="0"/>
    <n v="0"/>
    <n v="0"/>
    <n v="64.502395833333139"/>
    <n v="41.502395833333139"/>
    <n v="-12"/>
    <n v="1"/>
  </r>
  <r>
    <s v="Cases &amp; Composites"/>
    <s v="CAS-211867-R1Q7Z1"/>
    <s v="Jia Chen"/>
    <s v="Complete"/>
    <s v="Resolved"/>
    <x v="3"/>
    <n v="2"/>
    <s v="10KC217A"/>
    <s v="Repair-EA"/>
    <x v="1"/>
    <x v="1"/>
    <x v="3"/>
    <m/>
    <d v="2024-04-09T20:52:17"/>
    <d v="2024-05-10T04:00:00"/>
    <d v="2024-05-23T04:00:00"/>
    <x v="72"/>
    <d v="2024-05-20T18:05:03"/>
    <s v="May"/>
    <m/>
    <m/>
    <m/>
    <m/>
    <s v=""/>
    <s v=""/>
    <n v="0"/>
    <n v="40.297025462961756"/>
    <n v="40.297025462961756"/>
    <n v="0"/>
    <n v="0"/>
    <n v="0"/>
    <n v="0"/>
    <n v="0"/>
    <n v="0"/>
    <n v="0"/>
    <n v="0"/>
    <n v="0"/>
    <n v="40.297025462961756"/>
    <n v="40.297025462961756"/>
    <n v="10"/>
    <n v="0"/>
  </r>
  <r>
    <s v="Cases &amp; Composites"/>
    <s v="CAS-136128-V2S2P5"/>
    <s v="Ferdin Mustafa"/>
    <s v="Complete"/>
    <s v="Resolved"/>
    <x v="3"/>
    <n v="3"/>
    <s v="21FC082"/>
    <s v="Repair-EA"/>
    <x v="1"/>
    <x v="2"/>
    <x v="1"/>
    <m/>
    <d v="2022-01-24T19:47:39"/>
    <d v="2023-11-10T05:00:00"/>
    <d v="2024-01-24T05:00:00"/>
    <x v="104"/>
    <d v="2024-01-24T18:32:24"/>
    <s v="Jan"/>
    <d v="2022-02-21T05:00:00"/>
    <d v="2022-06-09T04:00:00"/>
    <d v="2022-06-09T04:00:00"/>
    <d v="2022-11-30T05:00:00"/>
    <n v="107.95833333332848"/>
    <n v="174.04166666667152"/>
    <n v="282"/>
    <n v="728.38357638889283"/>
    <n v="446.38357638889283"/>
    <n v="0"/>
    <n v="0"/>
    <n v="0"/>
    <n v="0"/>
    <n v="0"/>
    <n v="0"/>
    <n v="0"/>
    <n v="0"/>
    <n v="0"/>
    <n v="728.38357638889283"/>
    <n v="446.38357638889283"/>
    <n v="74"/>
    <n v="0"/>
  </r>
  <r>
    <s v="Cases &amp; Composites"/>
    <s v="CAS-200224-Z0W3H1"/>
    <s v="Robert Thompson"/>
    <s v="Complete"/>
    <s v="Resolved"/>
    <x v="3"/>
    <n v="3"/>
    <s v="23CCX71"/>
    <s v="Repair-EA"/>
    <x v="0"/>
    <x v="0"/>
    <x v="8"/>
    <m/>
    <d v="2023-12-05T10:09:19"/>
    <d v="2024-02-02T05:00:00"/>
    <d v="2024-02-09T05:00:00"/>
    <x v="120"/>
    <d v="2024-02-13T13:43:03"/>
    <s v="Feb."/>
    <d v="2024-01-16T05:00:00"/>
    <d v="2024-01-16T05:00:00"/>
    <d v="2024-01-16T05:00:00"/>
    <d v="2024-01-17T05:00:00"/>
    <n v="0"/>
    <n v="1"/>
    <n v="1"/>
    <n v="68.785196759265091"/>
    <n v="67.785196759265091"/>
    <n v="0"/>
    <n v="0"/>
    <n v="0"/>
    <n v="0"/>
    <n v="0"/>
    <n v="0"/>
    <n v="0"/>
    <n v="0"/>
    <n v="0"/>
    <n v="68.785196759265091"/>
    <n v="67.785196759265091"/>
    <n v="10"/>
    <n v="0"/>
  </r>
  <r>
    <s v="Cases &amp; Composites"/>
    <s v="CAS-203862-B4J4J6"/>
    <s v="Robert Thompson"/>
    <s v="Complete"/>
    <s v="Resolved"/>
    <x v="3"/>
    <n v="4"/>
    <s v="24CC153"/>
    <s v="Repair-EA"/>
    <x v="0"/>
    <x v="0"/>
    <x v="8"/>
    <m/>
    <d v="2024-01-16T15:28:19"/>
    <d v="2024-02-09T05:00:00"/>
    <d v="2024-02-09T05:00:00"/>
    <x v="277"/>
    <d v="2024-02-21T11:52:57"/>
    <s v="Feb."/>
    <d v="2024-01-18T05:00:00"/>
    <d v="2024-01-25T05:00:00"/>
    <d v="2024-01-25T05:00:00"/>
    <d v="2024-01-25T05:00:00"/>
    <n v="7"/>
    <n v="0"/>
    <n v="7"/>
    <n v="34.563668981485534"/>
    <n v="27.563668981485534"/>
    <n v="0"/>
    <n v="0"/>
    <n v="0"/>
    <n v="0"/>
    <n v="0"/>
    <n v="0"/>
    <n v="0"/>
    <n v="0"/>
    <n v="0"/>
    <n v="34.563668981485534"/>
    <n v="27.563668981485534"/>
    <n v="11"/>
    <n v="0"/>
  </r>
  <r>
    <s v="Cases &amp; Composites"/>
    <s v="CAS-142872-H4Y8T4"/>
    <s v="Robert Thompson"/>
    <s v="Complete"/>
    <s v="Resolved"/>
    <x v="3"/>
    <n v="5"/>
    <s v="22CCB60"/>
    <s v="Repair-EA"/>
    <x v="1"/>
    <x v="0"/>
    <x v="0"/>
    <m/>
    <d v="2022-03-23T18:05:16"/>
    <d v="2024-05-24T04:00:00"/>
    <d v="2024-06-28T04:00:00"/>
    <x v="282"/>
    <d v="2024-06-25T13:42:01"/>
    <m/>
    <m/>
    <m/>
    <m/>
    <m/>
    <s v=""/>
    <s v=""/>
    <n v="0"/>
    <n v="823.41300925926043"/>
    <n v="823.41300925926043"/>
    <n v="0"/>
    <n v="0"/>
    <n v="0"/>
    <n v="0"/>
    <n v="0"/>
    <n v="0"/>
    <n v="0"/>
    <n v="0"/>
    <n v="0"/>
    <n v="823.41300925926043"/>
    <n v="823.41300925926043"/>
    <n v="31"/>
    <n v="0"/>
  </r>
  <r>
    <s v="Cases &amp; Composites"/>
    <s v="CAS-175126-V8D0D5"/>
    <s v="Robert Thompson"/>
    <s v="Complete"/>
    <s v="Resolved"/>
    <x v="3"/>
    <n v="5"/>
    <s v="23KC221"/>
    <s v="Repair-EA"/>
    <x v="0"/>
    <x v="1"/>
    <x v="1"/>
    <m/>
    <d v="2023-03-21T20:35:19"/>
    <d v="2024-06-07T04:00:00"/>
    <d v="2024-10-11T04:00:00"/>
    <x v="294"/>
    <d v="2024-10-21T17:37:55"/>
    <m/>
    <d v="2023-06-12T04:00:00"/>
    <d v="2023-06-13T04:00:00"/>
    <d v="2023-06-13T04:00:00"/>
    <d v="2024-07-31T04:00:00"/>
    <n v="1"/>
    <n v="414"/>
    <n v="415"/>
    <n v="579.30880787036585"/>
    <n v="164.30880787036585"/>
    <n v="0"/>
    <n v="0"/>
    <n v="0"/>
    <n v="0"/>
    <n v="0"/>
    <n v="0"/>
    <n v="0"/>
    <n v="0"/>
    <n v="0"/>
    <n v="579.30880787036585"/>
    <n v="164.30880787036585"/>
    <n v="136"/>
    <n v="0"/>
  </r>
  <r>
    <s v="Cases &amp; Composites"/>
    <s v="CAS-205295-M4K8G8"/>
    <s v="Robert Thompson"/>
    <s v="Complete"/>
    <s v="Resolved"/>
    <x v="3"/>
    <n v="5"/>
    <s v="24CC503"/>
    <s v="Repair-EA"/>
    <x v="0"/>
    <x v="0"/>
    <x v="3"/>
    <m/>
    <d v="2024-01-30T22:12:29"/>
    <d v="2024-02-29T05:00:00"/>
    <d v="2024-03-28T04:00:00"/>
    <x v="81"/>
    <d v="2024-03-26T12:34:00"/>
    <s v="Mar2"/>
    <d v="2024-02-27T05:00:00"/>
    <d v="2024-03-04T05:00:00"/>
    <d v="2024-03-04T05:00:00"/>
    <d v="2024-03-04T05:00:00"/>
    <n v="6"/>
    <n v="0"/>
    <n v="6"/>
    <n v="54.241331018514757"/>
    <n v="48.241331018514757"/>
    <n v="0"/>
    <n v="0"/>
    <n v="0"/>
    <n v="0"/>
    <n v="0"/>
    <n v="0"/>
    <n v="0"/>
    <n v="0"/>
    <n v="0"/>
    <n v="54.241331018514757"/>
    <n v="48.241331018514757"/>
    <n v="24.958333333328483"/>
    <n v="0"/>
  </r>
  <r>
    <s v="Cases &amp; Composites"/>
    <s v="CAS-209262-D0F3M3"/>
    <s v="Pedro Iturrino"/>
    <s v="Complete"/>
    <s v="Resolved"/>
    <x v="3"/>
    <n v="5"/>
    <s v="24KC161"/>
    <s v="Repair-EA"/>
    <x v="0"/>
    <x v="1"/>
    <x v="3"/>
    <m/>
    <d v="2024-03-15T19:51:17"/>
    <d v="2024-07-12T04:00:00"/>
    <d v="2024-07-12T04:00:00"/>
    <x v="110"/>
    <d v="2024-06-05T18:02:50"/>
    <s v="June"/>
    <d v="2024-04-19T04:00:00"/>
    <d v="2024-05-07T04:00:00"/>
    <d v="2024-05-07T04:00:00"/>
    <d v="2024-05-07T04:00:00"/>
    <n v="18"/>
    <n v="0"/>
    <n v="18"/>
    <n v="80.339386574072705"/>
    <n v="62.339386574072705"/>
    <n v="0"/>
    <n v="0"/>
    <n v="0"/>
    <n v="0"/>
    <n v="0"/>
    <n v="0"/>
    <n v="0"/>
    <n v="0"/>
    <n v="0"/>
    <n v="80.339386574072705"/>
    <n v="62.339386574072705"/>
    <n v="-38"/>
    <n v="1"/>
  </r>
  <r>
    <s v="Cases &amp; Composites"/>
    <s v="CAS-210160-T9P9C8"/>
    <s v="Pedro Iturrino"/>
    <s v="Complete"/>
    <s v="Resolved"/>
    <x v="3"/>
    <n v="5"/>
    <s v="24KC210"/>
    <s v="Repair-EA"/>
    <x v="0"/>
    <x v="1"/>
    <x v="3"/>
    <m/>
    <d v="2024-03-21T14:26:12"/>
    <d v="2024-06-27T04:00:00"/>
    <d v="2024-07-17T04:00:00"/>
    <x v="284"/>
    <d v="2024-06-28T19:29:05"/>
    <s v="June"/>
    <d v="2024-05-09T04:00:00"/>
    <d v="2024-05-16T04:00:00"/>
    <d v="2024-05-16T04:00:00"/>
    <d v="2024-05-16T04:00:00"/>
    <n v="7"/>
    <n v="0"/>
    <n v="7"/>
    <n v="98.565138888887304"/>
    <n v="91.565138888887304"/>
    <n v="0"/>
    <n v="0"/>
    <n v="0"/>
    <n v="0"/>
    <n v="0"/>
    <n v="0"/>
    <n v="0"/>
    <n v="0"/>
    <n v="0"/>
    <n v="98.565138888887304"/>
    <n v="91.565138888887304"/>
    <n v="1"/>
    <n v="0"/>
  </r>
  <r>
    <s v="Cases &amp; Composites"/>
    <s v="CAS-209264-H3Q9P9"/>
    <s v="Robert Thompson"/>
    <s v="Complete"/>
    <s v="Resolved"/>
    <x v="3"/>
    <n v="6"/>
    <s v="19AC009A"/>
    <s v="Repair-EA"/>
    <x v="1"/>
    <x v="4"/>
    <x v="6"/>
    <m/>
    <d v="2024-03-12T16:20:42"/>
    <d v="2024-05-10T04:00:00"/>
    <d v="2024-05-10T04:00:00"/>
    <x v="332"/>
    <d v="2024-05-07T12:04:57"/>
    <m/>
    <m/>
    <m/>
    <m/>
    <m/>
    <s v=""/>
    <s v=""/>
    <n v="0"/>
    <n v="54.485625000001164"/>
    <n v="54.485625000001164"/>
    <n v="0"/>
    <n v="0"/>
    <n v="0"/>
    <n v="0"/>
    <n v="0"/>
    <n v="0"/>
    <n v="0"/>
    <n v="0"/>
    <n v="0"/>
    <n v="54.485625000001164"/>
    <n v="54.485625000001164"/>
    <n v="-4"/>
    <n v="1"/>
  </r>
  <r>
    <s v="Cases &amp; Composites"/>
    <s v="CAS-211668-N0W8Y6"/>
    <s v="Jia Chen"/>
    <s v="Complete"/>
    <s v="Resolved"/>
    <x v="3"/>
    <n v="6"/>
    <s v="24FC119"/>
    <s v="Repair-EA"/>
    <x v="0"/>
    <x v="2"/>
    <x v="3"/>
    <m/>
    <d v="2024-04-08T11:42:35"/>
    <d v="2024-07-10T04:00:00"/>
    <d v="2024-07-10T04:00:00"/>
    <x v="314"/>
    <d v="2024-05-30T20:01:40"/>
    <s v="May"/>
    <d v="2024-04-18T04:00:00"/>
    <d v="2024-05-03T04:00:00"/>
    <d v="2024-05-03T04:00:00"/>
    <d v="2024-05-09T04:00:00"/>
    <n v="15"/>
    <n v="6"/>
    <n v="21"/>
    <n v="51.678761574068631"/>
    <n v="30.678761574068631"/>
    <n v="0"/>
    <n v="0"/>
    <n v="0"/>
    <n v="0"/>
    <n v="0"/>
    <n v="0"/>
    <n v="0"/>
    <n v="0"/>
    <n v="0"/>
    <n v="51.678761574068631"/>
    <n v="30.678761574068631"/>
    <n v="-41"/>
    <n v="1"/>
  </r>
  <r>
    <s v="Cases &amp; Composites"/>
    <n v="103235"/>
    <s v="Robert Thompson"/>
    <s v="Complete"/>
    <s v="Closed"/>
    <x v="3"/>
    <n v="7"/>
    <s v="24FC033"/>
    <s v="Repair-EA"/>
    <x v="0"/>
    <x v="2"/>
    <x v="3"/>
    <m/>
    <d v="2024-01-04T05:00:00"/>
    <d v="2024-03-29T04:00:00"/>
    <d v="2024-02-27T05:00:00"/>
    <x v="31"/>
    <d v="2024-02-26T18:06:35"/>
    <m/>
    <d v="2024-02-14T05:00:00"/>
    <d v="2024-02-15T05:00:00"/>
    <d v="2024-02-15T05:00:00"/>
    <d v="2024-02-22T05:00:00"/>
    <n v="1"/>
    <n v="7"/>
    <n v="8"/>
    <n v="53"/>
    <n v="45"/>
    <n v="0"/>
    <n v="0"/>
    <n v="0"/>
    <n v="0"/>
    <n v="0"/>
    <n v="0"/>
    <n v="0"/>
    <n v="0"/>
    <n v="0"/>
    <n v="53"/>
    <n v="45"/>
    <n v="-31.958333333328483"/>
    <n v="1"/>
  </r>
  <r>
    <s v="Cases &amp; Composites"/>
    <s v="CAS-211672-W5Y1S9"/>
    <s v="Jia Chen"/>
    <s v="Complete"/>
    <s v="Resolved"/>
    <x v="3"/>
    <n v="7"/>
    <s v="24FC126"/>
    <s v="Repair-EA"/>
    <x v="0"/>
    <x v="2"/>
    <x v="3"/>
    <m/>
    <d v="2024-04-08T12:30:26"/>
    <d v="2024-07-10T04:00:00"/>
    <d v="2024-05-31T04:00:00"/>
    <x v="314"/>
    <d v="2024-05-30T20:42:20"/>
    <s v="May"/>
    <d v="2024-04-18T04:00:00"/>
    <d v="2024-05-03T04:00:00"/>
    <d v="2024-05-03T04:00:00"/>
    <d v="2024-05-03T04:00:00"/>
    <n v="15"/>
    <n v="0"/>
    <n v="15"/>
    <n v="51.645532407404971"/>
    <n v="36.645532407404971"/>
    <n v="0"/>
    <n v="0"/>
    <n v="0"/>
    <n v="0"/>
    <n v="0"/>
    <n v="0"/>
    <n v="0"/>
    <n v="0"/>
    <n v="0"/>
    <n v="51.645532407404971"/>
    <n v="36.645532407404971"/>
    <n v="-41"/>
    <n v="1"/>
  </r>
  <r>
    <s v="Cases &amp; Composites"/>
    <s v="CAS-211709-M8Z7F3"/>
    <s v="Pedro Iturrino"/>
    <s v="Complete"/>
    <s v="Resolved"/>
    <x v="3"/>
    <n v="7"/>
    <s v="24KC217"/>
    <s v="Repair-EA"/>
    <x v="0"/>
    <x v="1"/>
    <x v="3"/>
    <m/>
    <d v="2024-04-08T15:47:28"/>
    <d v="2024-05-31T04:00:00"/>
    <d v="2024-06-10T04:00:00"/>
    <x v="89"/>
    <d v="2024-05-31T15:02:20"/>
    <m/>
    <d v="2024-04-18T04:00:00"/>
    <d v="2024-04-25T04:00:00"/>
    <d v="2024-04-25T04:00:00"/>
    <d v="2024-04-29T04:00:00"/>
    <n v="7"/>
    <n v="4"/>
    <n v="11"/>
    <n v="52.50870370370103"/>
    <n v="41.50870370370103"/>
    <n v="0"/>
    <n v="0"/>
    <n v="0"/>
    <n v="0"/>
    <n v="0"/>
    <n v="0"/>
    <n v="0"/>
    <n v="0"/>
    <n v="0"/>
    <n v="52.50870370370103"/>
    <n v="41.50870370370103"/>
    <n v="0"/>
    <n v="1"/>
  </r>
  <r>
    <s v="Cases &amp; Composites"/>
    <s v="CAS-194329-P1D2M5"/>
    <s v="Jia Chen"/>
    <s v="Complete"/>
    <s v="Resolved"/>
    <x v="3"/>
    <n v="7"/>
    <s v="24KC286"/>
    <s v="Repair-EA"/>
    <x v="0"/>
    <x v="1"/>
    <x v="3"/>
    <s v="75%"/>
    <d v="2023-10-06T15:41:11"/>
    <d v="2024-07-17T04:00:00"/>
    <d v="2024-08-28T04:00:00"/>
    <x v="174"/>
    <d v="2024-08-06T20:08:30"/>
    <s v="Aug."/>
    <d v="2024-05-30T04:00:00"/>
    <d v="2024-05-30T04:00:00"/>
    <d v="2024-05-30T04:00:00"/>
    <d v="2024-05-31T04:00:00"/>
    <n v="0"/>
    <n v="1"/>
    <n v="1"/>
    <n v="304.51306712962833"/>
    <n v="303.51306712962833"/>
    <n v="0"/>
    <n v="0"/>
    <n v="0"/>
    <n v="185"/>
    <n v="41"/>
    <n v="0"/>
    <n v="0"/>
    <n v="0"/>
    <n v="226"/>
    <n v="78.513067129628325"/>
    <n v="77.513067129628325"/>
    <n v="20"/>
    <n v="0"/>
  </r>
  <r>
    <s v="Cases &amp; Composites"/>
    <s v="CAS-193361-Y3K7D4"/>
    <s v="Jia Chen"/>
    <s v="Complete"/>
    <s v="Resolved"/>
    <x v="3"/>
    <n v="8"/>
    <s v="24VG003"/>
    <s v="Repair-EA"/>
    <x v="0"/>
    <x v="3"/>
    <x v="5"/>
    <m/>
    <d v="2023-09-26T18:13:10"/>
    <d v="2024-02-14T05:00:00"/>
    <d v="2024-02-21T05:00:00"/>
    <x v="125"/>
    <d v="2024-02-19T16:02:39"/>
    <s v="Damaged Stage 5 anti-rotation pin. FEB1"/>
    <m/>
    <m/>
    <m/>
    <m/>
    <s v=""/>
    <s v=""/>
    <n v="0"/>
    <n v="142.44918981481896"/>
    <n v="142.44918981481896"/>
    <n v="0"/>
    <n v="0"/>
    <n v="0"/>
    <n v="0"/>
    <n v="0"/>
    <n v="0"/>
    <n v="0"/>
    <n v="0"/>
    <n v="0"/>
    <n v="142.44918981481896"/>
    <n v="142.44918981481896"/>
    <n v="2"/>
    <n v="0"/>
  </r>
  <r>
    <s v="Cases &amp; Composites"/>
    <n v="102863"/>
    <s v="Jia Chen"/>
    <s v="Complete"/>
    <s v="Open"/>
    <x v="3"/>
    <n v="8"/>
    <s v="23FC052C"/>
    <s v="Repair-EA"/>
    <x v="0"/>
    <x v="2"/>
    <x v="3"/>
    <m/>
    <d v="2023-12-08T05:00:00"/>
    <d v="2024-02-27T05:00:00"/>
    <d v="2024-02-27T05:00:00"/>
    <x v="277"/>
    <d v="2024-02-20T19:06:53"/>
    <s v="F117 HPC Front Case"/>
    <d v="2024-01-02T05:00:00"/>
    <d v="2024-01-25T05:00:00"/>
    <d v="2024-01-25T05:00:00"/>
    <d v="2024-02-08T05:00:00"/>
    <n v="23"/>
    <n v="14"/>
    <n v="37"/>
    <n v="74"/>
    <n v="37"/>
    <n v="0"/>
    <n v="0"/>
    <n v="0"/>
    <n v="0"/>
    <n v="0"/>
    <n v="0"/>
    <n v="0"/>
    <n v="0"/>
    <n v="0"/>
    <n v="74"/>
    <n v="37"/>
    <n v="-7"/>
    <n v="1"/>
  </r>
  <r>
    <s v="Cases &amp; Composites"/>
    <n v="103122"/>
    <s v="Pedro Iturrino"/>
    <s v="Complete"/>
    <s v="Closed"/>
    <x v="3"/>
    <n v="8"/>
    <s v="24FC069"/>
    <s v="Repair-EA"/>
    <x v="0"/>
    <x v="2"/>
    <x v="3"/>
    <m/>
    <d v="2023-12-21T05:00:00"/>
    <d v="2024-08-22T04:00:00"/>
    <d v="2024-08-22T04:00:00"/>
    <x v="91"/>
    <d v="2024-07-30T17:23:53"/>
    <m/>
    <d v="2024-04-03T04:00:00"/>
    <d v="2024-04-12T04:00:00"/>
    <d v="2024-04-12T04:00:00"/>
    <d v="2024-06-28T04:00:00"/>
    <n v="9"/>
    <n v="77"/>
    <n v="86"/>
    <n v="221.95833333332848"/>
    <n v="135.95833333332848"/>
    <n v="0"/>
    <n v="0"/>
    <n v="0"/>
    <n v="0"/>
    <n v="0"/>
    <n v="0"/>
    <n v="36"/>
    <n v="0"/>
    <n v="36"/>
    <n v="185.95833333332848"/>
    <n v="99.958333333328483"/>
    <n v="-23"/>
    <n v="1"/>
  </r>
  <r>
    <s v="Cases &amp; Composites"/>
    <n v="104930"/>
    <s v="Jia Chen"/>
    <s v="Complete"/>
    <s v="Closed"/>
    <x v="3"/>
    <n v="8"/>
    <s v="24FC105"/>
    <s v="Repair-EA"/>
    <x v="0"/>
    <x v="2"/>
    <x v="3"/>
    <m/>
    <d v="2024-03-26T04:00:00"/>
    <d v="2024-05-15T04:00:00"/>
    <d v="2024-05-15T04:00:00"/>
    <x v="123"/>
    <d v="2024-05-02T18:46:12"/>
    <s v="May"/>
    <d v="2024-04-04T04:00:00"/>
    <d v="2024-04-17T04:00:00"/>
    <d v="2024-04-17T04:00:00"/>
    <d v="2024-04-18T04:00:00"/>
    <n v="13"/>
    <n v="1"/>
    <n v="14"/>
    <n v="37"/>
    <n v="23"/>
    <n v="0"/>
    <n v="0"/>
    <n v="0"/>
    <n v="0"/>
    <n v="0"/>
    <n v="0"/>
    <n v="0"/>
    <n v="0"/>
    <n v="0"/>
    <n v="37"/>
    <n v="23"/>
    <n v="-13"/>
    <n v="1"/>
  </r>
  <r>
    <s v="Cases &amp; Composites"/>
    <s v="CAS-212433-Z5V5H1"/>
    <s v="Robert Thompson"/>
    <s v="Complete"/>
    <s v="Resolved"/>
    <x v="3"/>
    <n v="8"/>
    <s v="14CC326D"/>
    <s v="Repair-EA"/>
    <x v="1"/>
    <x v="0"/>
    <x v="4"/>
    <m/>
    <d v="2024-04-16T06:21:17"/>
    <d v="2024-05-15T04:00:00"/>
    <d v="2024-05-24T04:00:00"/>
    <x v="133"/>
    <d v="2024-05-22T14:00:35"/>
    <m/>
    <m/>
    <m/>
    <m/>
    <m/>
    <s v=""/>
    <s v=""/>
    <n v="0"/>
    <n v="34.901886574072705"/>
    <n v="34.901886574072705"/>
    <n v="0"/>
    <n v="0"/>
    <n v="0"/>
    <n v="0"/>
    <n v="0"/>
    <n v="0"/>
    <n v="0"/>
    <n v="0"/>
    <n v="0"/>
    <n v="34.901886574072705"/>
    <n v="34.901886574072705"/>
    <n v="6"/>
    <n v="0"/>
  </r>
  <r>
    <s v="Cases &amp; Composites"/>
    <s v="CAS-209275-J5G4Y8"/>
    <s v="Robert Thompson"/>
    <s v="Complete"/>
    <s v="Resolved"/>
    <x v="3"/>
    <n v="9"/>
    <s v="15KC385A"/>
    <s v="Repair-EA"/>
    <x v="1"/>
    <x v="1"/>
    <x v="3"/>
    <m/>
    <d v="2024-03-12T18:50:27"/>
    <d v="2024-06-06T04:00:00"/>
    <d v="2024-06-06T04:00:00"/>
    <x v="332"/>
    <d v="2024-05-07T12:05:04"/>
    <s v="May"/>
    <m/>
    <m/>
    <m/>
    <m/>
    <s v=""/>
    <s v=""/>
    <n v="0"/>
    <n v="54.381631944444962"/>
    <n v="54.381631944444962"/>
    <n v="0"/>
    <n v="0"/>
    <n v="0"/>
    <n v="0"/>
    <n v="0"/>
    <n v="0"/>
    <n v="0"/>
    <n v="0"/>
    <n v="0"/>
    <n v="54.381631944444962"/>
    <n v="54.381631944444962"/>
    <n v="-31"/>
    <n v="1"/>
  </r>
  <r>
    <s v="Cases &amp; Composites"/>
    <n v="104024"/>
    <s v="Robert Thompson"/>
    <s v="Complete"/>
    <s v="Closed"/>
    <x v="3"/>
    <n v="10"/>
    <s v="24FC083"/>
    <s v="Repair-EA"/>
    <x v="0"/>
    <x v="2"/>
    <x v="3"/>
    <m/>
    <d v="2024-02-12T05:00:00"/>
    <d v="2024-05-03T04:00:00"/>
    <d v="2024-03-28T04:00:00"/>
    <x v="154"/>
    <d v="2024-03-27T18:25:09"/>
    <s v="Mar2"/>
    <d v="2024-03-13T04:00:00"/>
    <d v="2024-03-22T04:00:00"/>
    <d v="2024-03-22T04:00:00"/>
    <d v="2024-03-25T04:00:00"/>
    <n v="9"/>
    <n v="3"/>
    <n v="12"/>
    <n v="43.958333333328483"/>
    <n v="31.958333333328483"/>
    <n v="0"/>
    <n v="0"/>
    <n v="0"/>
    <n v="0"/>
    <n v="0"/>
    <n v="0"/>
    <n v="0"/>
    <n v="0"/>
    <n v="0"/>
    <n v="43.958333333328483"/>
    <n v="31.958333333328483"/>
    <n v="-37"/>
    <n v="1"/>
  </r>
  <r>
    <s v="Cases &amp; Composites"/>
    <s v="CAS-216540-J4N1V2"/>
    <s v="Robert Thompson"/>
    <s v="Complete"/>
    <s v="Resolved"/>
    <x v="3"/>
    <n v="10"/>
    <s v="24KC332"/>
    <s v="Repair-EA"/>
    <x v="0"/>
    <x v="1"/>
    <x v="3"/>
    <s v="75%"/>
    <d v="2024-05-30T13:49:17"/>
    <d v="2024-07-31T04:00:00"/>
    <d v="2024-08-16T04:00:00"/>
    <x v="86"/>
    <d v="2024-08-16T16:41:46"/>
    <m/>
    <d v="2024-06-11T04:00:00"/>
    <d v="2024-06-24T04:00:00"/>
    <d v="2024-06-24T04:00:00"/>
    <d v="2024-07-01T04:00:00"/>
    <n v="13"/>
    <n v="7"/>
    <n v="20"/>
    <n v="77.590775462958845"/>
    <n v="57.590775462958845"/>
    <n v="0"/>
    <n v="0"/>
    <n v="0"/>
    <n v="0"/>
    <n v="0"/>
    <n v="0"/>
    <n v="0"/>
    <n v="0"/>
    <n v="0"/>
    <n v="77.590775462958845"/>
    <n v="57.590775462958845"/>
    <n v="16"/>
    <n v="0"/>
  </r>
  <r>
    <s v="Cases &amp; Composites"/>
    <s v="CAS-201883-Q5S8R2"/>
    <s v="Tyler Abusbah"/>
    <s v="Complete"/>
    <s v="Resolved"/>
    <x v="3"/>
    <n v="11"/>
    <s v="24KC279"/>
    <s v="Repair-EA"/>
    <x v="0"/>
    <x v="1"/>
    <x v="3"/>
    <m/>
    <d v="2023-12-21T15:56:31"/>
    <d v="2024-08-09T04:00:00"/>
    <d v="2024-09-06T04:00:00"/>
    <x v="285"/>
    <d v="2024-09-02T01:49:37"/>
    <s v="Sept"/>
    <d v="2024-05-10T04:00:00"/>
    <d v="2024-05-10T04:00:00"/>
    <d v="2024-05-10T04:00:00"/>
    <d v="2024-06-25T04:00:00"/>
    <n v="0"/>
    <n v="46"/>
    <n v="46"/>
    <n v="252.50241898147942"/>
    <n v="206.50241898147942"/>
    <n v="0"/>
    <n v="0"/>
    <n v="0"/>
    <n v="0"/>
    <n v="21"/>
    <n v="0"/>
    <n v="8"/>
    <n v="0"/>
    <n v="29"/>
    <n v="223.50241898147942"/>
    <n v="177.50241898147942"/>
    <n v="21"/>
    <n v="0"/>
  </r>
  <r>
    <s v="Cases &amp; Composites"/>
    <s v="CAS-206911-R6K5S7"/>
    <s v="Robert Thompson"/>
    <s v="Complete"/>
    <s v="Resolved"/>
    <x v="3"/>
    <m/>
    <s v="14CC728D"/>
    <s v="Repair-EA"/>
    <x v="1"/>
    <x v="0"/>
    <x v="8"/>
    <m/>
    <d v="2024-02-16T11:36:24"/>
    <d v="2024-05-14T04:00:00"/>
    <d v="2024-06-19T04:00:00"/>
    <x v="167"/>
    <d v="2024-06-20T20:32:21"/>
    <s v="FanR-Blade"/>
    <d v="2024-03-06T05:00:00"/>
    <d v="2024-04-08T04:00:00"/>
    <d v="2024-04-08T04:00:00"/>
    <d v="2024-06-03T04:00:00"/>
    <n v="32.958333333328483"/>
    <n v="56"/>
    <n v="88.958333333328483"/>
    <n v="123.6830555555498"/>
    <n v="34.724722222221317"/>
    <n v="0"/>
    <n v="0"/>
    <n v="0"/>
    <n v="0"/>
    <n v="0"/>
    <n v="0"/>
    <n v="49.140442754629476"/>
    <n v="0"/>
    <n v="49.140442754629476"/>
    <n v="74.542612800920324"/>
    <n v="-14.415720532408159"/>
    <n v="36"/>
    <n v="0"/>
  </r>
  <r>
    <s v="Cases &amp; Composites"/>
    <s v="MSG-240313-FF23DC"/>
    <s v="Robert Thompson"/>
    <s v="Complete"/>
    <s v="Complete"/>
    <x v="3"/>
    <m/>
    <s v="19CC210B"/>
    <s v="Repair-EA"/>
    <x v="1"/>
    <x v="0"/>
    <x v="7"/>
    <m/>
    <d v="2024-03-13T04:00:00"/>
    <d v="2024-03-29T04:00:00"/>
    <d v="2024-07-31T04:00:00"/>
    <x v="5"/>
    <d v="2024-08-05T14:10:22"/>
    <s v="August Validates the applicability of DMC PW1000G-C-72-21-0421-02A-920A-C (RTN19CC210) for GTFA use.  DDM ID associated with EA needs revision driving this task separate from MSG-240222-FC795D"/>
    <d v="2024-05-07T04:00:00"/>
    <d v="2024-05-07T04:00:00"/>
    <d v="2024-05-07T04:00:00"/>
    <d v="2024-05-08T04:00:00"/>
    <n v="0"/>
    <n v="1"/>
    <n v="1"/>
    <n v="145"/>
    <n v="144"/>
    <n v="0"/>
    <n v="0"/>
    <n v="0"/>
    <n v="0"/>
    <n v="0"/>
    <n v="0"/>
    <n v="0"/>
    <n v="0"/>
    <n v="0"/>
    <n v="145"/>
    <n v="144"/>
    <n v="129"/>
    <n v="0"/>
  </r>
  <r>
    <s v="Cases &amp; Composites"/>
    <s v="MSG-240404-BFDCA6"/>
    <s v="Robert Thompson"/>
    <s v="Complete"/>
    <s v="Complete"/>
    <x v="3"/>
    <m/>
    <s v="17CC494C"/>
    <s v="Repair-EA"/>
    <x v="1"/>
    <x v="0"/>
    <x v="8"/>
    <m/>
    <d v="2024-04-04T04:00:00"/>
    <d v="2024-05-29T04:00:00"/>
    <d v="2024-05-29T04:00:00"/>
    <x v="333"/>
    <d v="2024-06-03T20:09:48"/>
    <s v="JuneFanR-Blade"/>
    <m/>
    <m/>
    <m/>
    <m/>
    <s v=""/>
    <s v=""/>
    <n v="0"/>
    <n v="60"/>
    <n v="60"/>
    <n v="0"/>
    <n v="0"/>
    <n v="0"/>
    <n v="0"/>
    <n v="0"/>
    <n v="0"/>
    <n v="0"/>
    <n v="0"/>
    <n v="0"/>
    <n v="60"/>
    <n v="60"/>
    <n v="5"/>
    <n v="0"/>
  </r>
  <r>
    <s v="Cases &amp; Composites"/>
    <s v="CAS-211955-R2D9R1"/>
    <s v="Robert Thompson"/>
    <s v="Complete"/>
    <s v="Resolved"/>
    <x v="3"/>
    <m/>
    <s v="24CC966"/>
    <s v="Repair-EA"/>
    <x v="0"/>
    <x v="0"/>
    <x v="10"/>
    <m/>
    <d v="2024-04-10T19:08:34"/>
    <d v="2024-04-30T04:00:00"/>
    <d v="2024-04-30T04:00:00"/>
    <x v="2"/>
    <d v="2024-04-30T17:00:23"/>
    <s v="Apr"/>
    <d v="2024-04-11T04:00:00"/>
    <d v="2024-04-11T04:00:00"/>
    <d v="2024-04-11T04:00:00"/>
    <d v="2024-04-12T04:00:00"/>
    <n v="0"/>
    <n v="1"/>
    <n v="1"/>
    <n v="19.369050925924967"/>
    <n v="18.369050925924967"/>
    <n v="0"/>
    <n v="0"/>
    <n v="0"/>
    <n v="0"/>
    <n v="0"/>
    <n v="0"/>
    <n v="0"/>
    <n v="0"/>
    <n v="0"/>
    <n v="19.369050925924967"/>
    <n v="18.369050925924967"/>
    <n v="0"/>
    <n v="1"/>
  </r>
  <r>
    <s v="Cases &amp; Composites"/>
    <s v="CAS-212076-M1Z9M3"/>
    <s v="Jia Chen"/>
    <s v="Complete"/>
    <s v="Active"/>
    <x v="3"/>
    <m/>
    <s v="24CCB02"/>
    <s v="Repair-EA"/>
    <x v="0"/>
    <x v="0"/>
    <x v="0"/>
    <s v="50%"/>
    <d v="2024-04-11T11:21:42"/>
    <d v="2024-09-12T04:00:00"/>
    <d v="2024-11-13T05:00:00"/>
    <x v="212"/>
    <d v="2024-11-04T16:56:39"/>
    <s v="Nov"/>
    <d v="2024-04-25T04:00:00"/>
    <d v="2024-06-19T04:00:00"/>
    <d v="2024-06-19T04:00:00"/>
    <d v="2024-10-22T04:00:00"/>
    <n v="55"/>
    <n v="125"/>
    <n v="180"/>
    <n v="206.73493055555446"/>
    <n v="26.734930555554456"/>
    <n v="0"/>
    <n v="0"/>
    <n v="0"/>
    <n v="0"/>
    <n v="0"/>
    <n v="0"/>
    <n v="0"/>
    <n v="0"/>
    <n v="0"/>
    <n v="206.73493055555446"/>
    <n v="26.734930555554456"/>
    <n v="53.041666666671517"/>
    <n v="0"/>
  </r>
  <r>
    <s v="Cases &amp; Composites"/>
    <s v="CAS-213046-W6N7N4"/>
    <s v="Robert Thompson"/>
    <s v="Complete"/>
    <s v="Resolved"/>
    <x v="3"/>
    <m/>
    <s v="24CCB06"/>
    <s v="Repair-EA"/>
    <x v="0"/>
    <x v="0"/>
    <x v="8"/>
    <m/>
    <d v="2024-04-24T12:42:33"/>
    <d v="2024-06-03T04:00:00"/>
    <d v="2024-06-03T04:00:00"/>
    <x v="134"/>
    <d v="2024-06-06T12:00:30"/>
    <s v="JuneFanR-Blade"/>
    <d v="2024-04-25T04:00:00"/>
    <d v="2024-05-09T04:00:00"/>
    <d v="2024-05-09T04:00:00"/>
    <d v="2024-05-29T04:00:00"/>
    <n v="14"/>
    <n v="20"/>
    <n v="34"/>
    <n v="41.637118055550673"/>
    <n v="7.6371180555506726"/>
    <n v="0"/>
    <n v="0"/>
    <n v="0"/>
    <n v="0"/>
    <n v="0"/>
    <n v="0"/>
    <n v="0"/>
    <n v="0"/>
    <n v="0"/>
    <n v="41.637118055550673"/>
    <n v="7.6371180555506726"/>
    <n v="2"/>
    <n v="0"/>
  </r>
  <r>
    <s v="Cases &amp; Composites"/>
    <s v="CAS-215639-C4Y7T4"/>
    <s v="Robert Thompson"/>
    <s v="Complete"/>
    <s v="Resolved"/>
    <x v="3"/>
    <m/>
    <s v="24CCE01"/>
    <s v="Repair-EA"/>
    <x v="0"/>
    <x v="0"/>
    <x v="3"/>
    <s v="50%"/>
    <d v="2024-05-21T17:38:24"/>
    <d v="2024-09-27T04:00:00"/>
    <d v="2024-07-19T04:00:00"/>
    <x v="148"/>
    <d v="2024-07-17T20:40:15"/>
    <m/>
    <d v="2024-06-07T04:00:00"/>
    <d v="2024-06-28T04:00:00"/>
    <d v="2024-06-28T04:00:00"/>
    <d v="2024-06-28T04:00:00"/>
    <n v="21"/>
    <n v="0"/>
    <n v="21"/>
    <n v="56.431666666663659"/>
    <n v="35.431666666663659"/>
    <n v="0"/>
    <n v="0"/>
    <n v="0"/>
    <n v="0"/>
    <n v="0"/>
    <n v="0"/>
    <n v="0"/>
    <n v="0"/>
    <n v="0"/>
    <n v="56.431666666663659"/>
    <n v="35.431666666663659"/>
    <n v="-72"/>
    <n v="1"/>
  </r>
  <r>
    <s v="Cases &amp; Composites"/>
    <s v="CAS-216687-V4Z4V6"/>
    <s v="Robert Thompson"/>
    <s v="Complete"/>
    <s v="Resolved"/>
    <x v="3"/>
    <m/>
    <s v="20AC089A"/>
    <s v="Repair-EA"/>
    <x v="1"/>
    <x v="4"/>
    <x v="6"/>
    <s v="75%"/>
    <d v="2024-05-31T16:03:22"/>
    <d v="2024-08-30T04:00:00"/>
    <d v="2024-07-12T04:00:00"/>
    <x v="140"/>
    <d v="2024-07-10T14:00:42"/>
    <s v="July"/>
    <m/>
    <m/>
    <m/>
    <m/>
    <s v=""/>
    <s v=""/>
    <n v="0"/>
    <n v="39.497662037036207"/>
    <n v="39.497662037036207"/>
    <n v="0"/>
    <n v="0"/>
    <n v="0"/>
    <n v="0"/>
    <n v="0"/>
    <n v="0"/>
    <n v="0"/>
    <n v="0"/>
    <n v="0"/>
    <n v="39.497662037036207"/>
    <n v="39.497662037036207"/>
    <n v="-51"/>
    <n v="1"/>
  </r>
  <r>
    <s v="Cases &amp; Composites"/>
    <s v="CAS-217675-C2B4M8"/>
    <s v="Robert Thompson"/>
    <s v="Complete"/>
    <s v="Resolved"/>
    <x v="3"/>
    <m/>
    <s v="24CCF26"/>
    <s v="Repair-EA"/>
    <x v="0"/>
    <x v="0"/>
    <x v="8"/>
    <s v="75%"/>
    <d v="2024-06-11T11:02:28"/>
    <d v="2024-08-30T04:00:00"/>
    <d v="2024-07-31T04:00:00"/>
    <x v="163"/>
    <d v="2024-07-23T12:52:00"/>
    <m/>
    <d v="2024-06-18T04:00:00"/>
    <d v="2024-06-25T04:00:00"/>
    <d v="2024-06-25T04:00:00"/>
    <d v="2024-07-01T04:00:00"/>
    <n v="7"/>
    <n v="6"/>
    <n v="13"/>
    <n v="40.706620370365272"/>
    <n v="27.706620370365272"/>
    <n v="0"/>
    <n v="0"/>
    <n v="0"/>
    <n v="0"/>
    <n v="0"/>
    <n v="0"/>
    <n v="0"/>
    <n v="0"/>
    <n v="0"/>
    <n v="40.706620370365272"/>
    <n v="27.706620370365272"/>
    <n v="-39"/>
    <n v="1"/>
  </r>
  <r>
    <s v="Cases &amp; Composites"/>
    <s v="MSG-240612-F5D401"/>
    <s v="Robert Thompson"/>
    <s v="Complete"/>
    <s v="Complete"/>
    <x v="3"/>
    <m/>
    <s v="24CCG69"/>
    <s v="Repair-EA"/>
    <x v="0"/>
    <x v="0"/>
    <x v="8"/>
    <s v="50%"/>
    <d v="2024-06-12T04:00:00"/>
    <d v="2024-08-28T04:00:00"/>
    <d v="2024-09-27T04:00:00"/>
    <x v="334"/>
    <d v="2024-09-12T19:48:17"/>
    <s v="Sept.Follow up to CAS-216877-B8Y3P8, CTS did not move forward with adding an AAI to the inspection for this damage."/>
    <d v="2024-07-10T04:00:00"/>
    <d v="2024-08-08T04:00:00"/>
    <d v="2024-08-08T04:00:00"/>
    <d v="2024-09-03T04:00:00"/>
    <n v="29"/>
    <n v="26"/>
    <n v="55"/>
    <n v="92"/>
    <n v="37"/>
    <n v="0"/>
    <n v="0"/>
    <n v="0"/>
    <n v="0"/>
    <n v="0"/>
    <n v="0"/>
    <n v="0"/>
    <n v="0"/>
    <n v="0"/>
    <n v="92"/>
    <n v="37"/>
    <n v="15"/>
    <n v="0"/>
  </r>
  <r>
    <s v="Cases &amp; Composites"/>
    <s v="CAS-220551-Z6L1T8"/>
    <s v="Tyler Abusbah"/>
    <s v="Complete"/>
    <s v="Resolved"/>
    <x v="3"/>
    <m/>
    <s v="24CCK82"/>
    <s v="Repair-EA"/>
    <x v="0"/>
    <x v="0"/>
    <x v="8"/>
    <s v="75%"/>
    <d v="2024-07-09T16:25:07"/>
    <d v="2024-08-29T04:00:00"/>
    <d v="2024-08-29T04:00:00"/>
    <x v="335"/>
    <d v="2024-08-07T14:57:35"/>
    <s v="TIC Inner. Aug"/>
    <m/>
    <m/>
    <m/>
    <m/>
    <s v=""/>
    <s v=""/>
    <n v="0"/>
    <n v="28.4825578703676"/>
    <n v="28.4825578703676"/>
    <n v="0"/>
    <n v="0"/>
    <n v="0"/>
    <n v="0"/>
    <n v="0"/>
    <n v="0"/>
    <n v="0"/>
    <n v="0"/>
    <n v="0"/>
    <n v="28.4825578703676"/>
    <n v="28.4825578703676"/>
    <n v="-22"/>
    <n v="1"/>
  </r>
  <r>
    <s v="Cases &amp; Composites"/>
    <s v="MSG-241009-D1FAAB"/>
    <s v="Brian K Holland"/>
    <s v="Complete"/>
    <s v="Complete"/>
    <x v="3"/>
    <m/>
    <s v="15CCH27E"/>
    <s v="Repair-EA"/>
    <x v="1"/>
    <x v="0"/>
    <x v="0"/>
    <s v="75%"/>
    <d v="2024-10-09T04:00:00"/>
    <d v="2024-11-08T05:00:00"/>
    <d v="2024-11-08T05:00:00"/>
    <x v="211"/>
    <d v="2024-11-21T18:31:26"/>
    <s v="Change P05-437 to P05-493A or B"/>
    <m/>
    <m/>
    <m/>
    <m/>
    <s v=""/>
    <s v=""/>
    <n v="0"/>
    <n v="43.041666666671517"/>
    <n v="43.041666666671517"/>
    <n v="0"/>
    <n v="0"/>
    <n v="0"/>
    <n v="0"/>
    <n v="0"/>
    <n v="0"/>
    <n v="0"/>
    <n v="0"/>
    <n v="0"/>
    <n v="43.041666666671517"/>
    <n v="43.041666666671517"/>
    <n v="13"/>
    <n v="0"/>
  </r>
  <r>
    <s v="Cases &amp; Composites"/>
    <s v="CAS-236198-R9S6M5"/>
    <s v="Francisco Astiasaran"/>
    <s v="Complete"/>
    <s v="Resolved"/>
    <x v="3"/>
    <m/>
    <s v="24CCX72"/>
    <s v="Repair-EA"/>
    <x v="0"/>
    <x v="0"/>
    <x v="3"/>
    <m/>
    <d v="2024-12-04T18:51:53"/>
    <d v="2024-12-23T05:00:00"/>
    <d v="2024-12-23T05:00:00"/>
    <x v="44"/>
    <d v="2024-12-16T18:30:54"/>
    <m/>
    <m/>
    <m/>
    <m/>
    <m/>
    <s v=""/>
    <s v=""/>
    <n v="0"/>
    <n v="11.42230324074626"/>
    <n v="11.42230324074626"/>
    <n v="0"/>
    <n v="0"/>
    <n v="0"/>
    <n v="0"/>
    <n v="0"/>
    <n v="0"/>
    <n v="0"/>
    <n v="0"/>
    <n v="0"/>
    <n v="11.42230324074626"/>
    <n v="11.42230324074626"/>
    <n v="-7"/>
    <n v="1"/>
  </r>
  <r>
    <s v="Cases &amp; Composites"/>
    <s v="CAS-201529-L3G9F6"/>
    <s v="Pedro Iturrino"/>
    <s v="Complete"/>
    <s v="Resolved"/>
    <x v="4"/>
    <n v="6"/>
    <s v="24KC053"/>
    <s v="Repair-EA"/>
    <x v="0"/>
    <x v="1"/>
    <x v="3"/>
    <m/>
    <d v="2023-12-18T17:01:53"/>
    <d v="2024-05-15T04:00:00"/>
    <d v="2024-08-07T04:00:00"/>
    <x v="336"/>
    <d v="2024-07-26T14:54:41"/>
    <s v="July"/>
    <d v="2024-03-20T04:00:00"/>
    <d v="2024-06-21T04:00:00"/>
    <d v="2024-06-21T04:00:00"/>
    <d v="2024-06-27T04:00:00"/>
    <n v="93"/>
    <n v="6"/>
    <n v="99"/>
    <n v="220.45702546295797"/>
    <n v="121.45702546295797"/>
    <n v="0"/>
    <n v="0"/>
    <n v="0"/>
    <n v="0"/>
    <n v="0"/>
    <n v="24"/>
    <n v="0"/>
    <n v="0"/>
    <n v="24"/>
    <n v="196.45702546295797"/>
    <n v="97.457025462957972"/>
    <n v="72"/>
    <n v="0"/>
  </r>
  <r>
    <s v="Cases &amp; Composites"/>
    <s v="CAS-234143-V0Z5L9"/>
    <s v="Francisco Astiasaran"/>
    <s v="Complete"/>
    <s v="Resolved"/>
    <x v="5"/>
    <n v="2"/>
    <s v="24KC573A"/>
    <s v="Repair-EA"/>
    <x v="0"/>
    <x v="1"/>
    <x v="3"/>
    <m/>
    <d v="2024-11-14T14:26:44"/>
    <m/>
    <m/>
    <x v="70"/>
    <d v="2024-12-20T14:35:45"/>
    <m/>
    <m/>
    <m/>
    <m/>
    <m/>
    <s v=""/>
    <s v=""/>
    <n v="0"/>
    <n v="34.606435185189184"/>
    <n v="34.606435185189184"/>
    <n v="0"/>
    <n v="0"/>
    <n v="0"/>
    <n v="0"/>
    <n v="0"/>
    <n v="0"/>
    <n v="0"/>
    <n v="0"/>
    <n v="0"/>
    <n v="34.606435185189184"/>
    <n v="34.606435185189184"/>
    <n v="45645.208333333336"/>
    <n v="1"/>
  </r>
  <r>
    <s v="Cases &amp; Composites"/>
    <s v="MSG-ID-20220725154448800-536"/>
    <s v="Robert Thompson"/>
    <s v="Complete"/>
    <s v="Complete"/>
    <x v="5"/>
    <m/>
    <s v="10CC087D"/>
    <s v="Repair-EA"/>
    <x v="1"/>
    <x v="0"/>
    <x v="0"/>
    <m/>
    <d v="2022-07-25T04:00:00"/>
    <m/>
    <m/>
    <x v="102"/>
    <d v="2024-03-11T15:07:16"/>
    <s v="Mar1"/>
    <m/>
    <m/>
    <m/>
    <m/>
    <s v=""/>
    <s v=""/>
    <n v="0"/>
    <n v="595"/>
    <n v="595"/>
    <n v="0"/>
    <n v="0"/>
    <n v="0"/>
    <n v="0"/>
    <n v="0"/>
    <n v="0"/>
    <n v="0"/>
    <n v="0"/>
    <n v="0"/>
    <n v="595"/>
    <n v="595"/>
    <n v="45362.166666666664"/>
    <n v="1"/>
  </r>
  <r>
    <s v="Cases &amp; Composites"/>
    <s v="CAS-163681-W5N7W1"/>
    <s v="Robert Thompson"/>
    <s v="Complete"/>
    <s v="Resolved"/>
    <x v="5"/>
    <m/>
    <s v="22CCN53"/>
    <s v="Repair-EA"/>
    <x v="1"/>
    <x v="0"/>
    <x v="0"/>
    <m/>
    <d v="2022-11-17T12:01:01"/>
    <d v="2022-11-30T05:00:00"/>
    <m/>
    <x v="337"/>
    <d v="2024-02-05T20:29:19"/>
    <m/>
    <m/>
    <m/>
    <m/>
    <m/>
    <s v=""/>
    <s v=""/>
    <n v="0"/>
    <n v="444.70762731481955"/>
    <n v="444.70762731481955"/>
    <n v="0"/>
    <n v="0"/>
    <n v="0"/>
    <n v="0"/>
    <n v="0"/>
    <n v="0"/>
    <n v="0"/>
    <n v="0"/>
    <n v="0"/>
    <n v="444.70762731481955"/>
    <n v="444.70762731481955"/>
    <n v="432"/>
    <n v="0"/>
  </r>
  <r>
    <s v="Cases &amp; Composites"/>
    <s v="CAS-190168-Q2Y7Y1"/>
    <s v="Robert Thompson"/>
    <s v="Complete"/>
    <s v="Resolved"/>
    <x v="5"/>
    <m/>
    <s v="23KC474"/>
    <s v="Repair-EA"/>
    <x v="0"/>
    <x v="1"/>
    <x v="1"/>
    <m/>
    <d v="2023-08-26T08:02:30"/>
    <m/>
    <m/>
    <x v="152"/>
    <d v="2024-03-05T15:53:57"/>
    <s v="RDAF"/>
    <m/>
    <m/>
    <m/>
    <m/>
    <s v=""/>
    <s v=""/>
    <n v="0"/>
    <n v="191.87326388889051"/>
    <n v="191.87326388889051"/>
    <n v="0"/>
    <n v="0"/>
    <n v="0"/>
    <n v="0"/>
    <n v="0"/>
    <n v="0"/>
    <n v="0"/>
    <n v="0"/>
    <n v="0"/>
    <n v="191.87326388889051"/>
    <n v="191.87326388889051"/>
    <n v="45356.208333333336"/>
    <n v="1"/>
  </r>
  <r>
    <s v="Cases &amp; Composites"/>
    <s v="MSG-230905-1D4ABA"/>
    <s v="Robert Thompson"/>
    <s v="Complete"/>
    <s v="Complete"/>
    <x v="5"/>
    <m/>
    <s v="23CCP97"/>
    <s v="Repair-EA"/>
    <x v="1"/>
    <x v="0"/>
    <x v="0"/>
    <m/>
    <d v="2023-09-05T04:00:00"/>
    <m/>
    <m/>
    <x v="286"/>
    <d v="2024-07-30T11:33:44"/>
    <s v="JulyThis MSG-ID is created to continue the work on developing a Wear Pad Seal Repair based on a request originating in ENC CAS-185905-L6Z0R8"/>
    <m/>
    <m/>
    <m/>
    <m/>
    <s v=""/>
    <s v=""/>
    <n v="0"/>
    <n v="328"/>
    <n v="328"/>
    <n v="0"/>
    <n v="0"/>
    <n v="0"/>
    <n v="0"/>
    <n v="0"/>
    <n v="0"/>
    <n v="0"/>
    <n v="0"/>
    <n v="0"/>
    <n v="328"/>
    <n v="328"/>
    <n v="45502.166666666664"/>
    <n v="1"/>
  </r>
  <r>
    <s v="Cases &amp; Composites"/>
    <s v="CAS-189836-N5D0L1"/>
    <s v="Robert Thompson"/>
    <s v="Complete"/>
    <s v="Resolved"/>
    <x v="5"/>
    <m/>
    <s v="13CC675F"/>
    <s v="Repair-EA"/>
    <x v="2"/>
    <x v="0"/>
    <x v="0"/>
    <m/>
    <d v="2023-08-28T14:27:18"/>
    <m/>
    <m/>
    <x v="125"/>
    <d v="2024-02-19T23:01:23"/>
    <m/>
    <m/>
    <m/>
    <m/>
    <m/>
    <s v=""/>
    <s v=""/>
    <n v="0"/>
    <n v="171.60604166666599"/>
    <n v="171.60604166666599"/>
    <n v="0"/>
    <n v="0"/>
    <n v="0"/>
    <n v="0"/>
    <n v="0"/>
    <n v="0"/>
    <n v="0"/>
    <n v="0"/>
    <n v="0"/>
    <n v="171.60604166666599"/>
    <n v="171.60604166666599"/>
    <n v="45338.208333333336"/>
    <n v="1"/>
  </r>
  <r>
    <s v="Cases &amp; Composites"/>
    <s v="CAS-190578-K8M1F2"/>
    <s v="Robert Thompson"/>
    <s v="Complete"/>
    <s v="Resolved"/>
    <x v="5"/>
    <m/>
    <s v="23CCO56"/>
    <s v="Repair-EA"/>
    <x v="3"/>
    <x v="0"/>
    <x v="8"/>
    <m/>
    <d v="2023-08-30T18:15:40"/>
    <m/>
    <m/>
    <x v="275"/>
    <d v="2024-01-11T11:54:47"/>
    <m/>
    <m/>
    <m/>
    <m/>
    <m/>
    <s v=""/>
    <s v=""/>
    <n v="0"/>
    <n v="132.44745370370947"/>
    <n v="132.44745370370947"/>
    <n v="0"/>
    <n v="0"/>
    <n v="0"/>
    <n v="0"/>
    <n v="0"/>
    <n v="0"/>
    <n v="0"/>
    <n v="0"/>
    <n v="0"/>
    <n v="132.44745370370947"/>
    <n v="132.44745370370947"/>
    <n v="45301.208333333336"/>
    <n v="1"/>
  </r>
  <r>
    <s v="Cases &amp; Composites"/>
    <s v="CAS-192997-Q2K8Z7"/>
    <s v="Robert Thompson"/>
    <s v="Complete"/>
    <s v="Resolved"/>
    <x v="5"/>
    <m/>
    <s v="15CC612F"/>
    <s v="Repair-EA"/>
    <x v="1"/>
    <x v="0"/>
    <x v="8"/>
    <m/>
    <d v="2023-09-25T13:02:02"/>
    <m/>
    <m/>
    <x v="311"/>
    <d v="2024-06-20T20:00:03"/>
    <s v="FanR-Blade_x000a__x000a_June"/>
    <m/>
    <m/>
    <m/>
    <m/>
    <s v=""/>
    <s v=""/>
    <n v="0"/>
    <n v="268.6235879629603"/>
    <n v="268.6235879629603"/>
    <n v="0"/>
    <n v="0"/>
    <n v="0"/>
    <n v="0"/>
    <n v="0"/>
    <n v="0"/>
    <n v="0"/>
    <n v="0"/>
    <n v="0"/>
    <n v="268.6235879629603"/>
    <n v="268.6235879629603"/>
    <n v="45463.166666666664"/>
    <n v="1"/>
  </r>
  <r>
    <s v="Cases &amp; Composites"/>
    <s v="CAS-195063-K0C5X3"/>
    <s v="Robert Thompson"/>
    <s v="Complete"/>
    <s v="Resolved"/>
    <x v="5"/>
    <m/>
    <s v="22CCB58A"/>
    <s v="Repair-EA"/>
    <x v="1"/>
    <x v="0"/>
    <x v="8"/>
    <m/>
    <d v="2023-10-13T17:44:44"/>
    <m/>
    <m/>
    <x v="211"/>
    <d v="2024-11-22T12:27:13"/>
    <s v="FanR-Blade"/>
    <m/>
    <m/>
    <m/>
    <m/>
    <s v=""/>
    <s v=""/>
    <n v="0"/>
    <n v="404.46893518518482"/>
    <n v="404.46893518518482"/>
    <n v="0"/>
    <n v="0"/>
    <n v="0"/>
    <n v="0"/>
    <n v="0"/>
    <n v="0"/>
    <n v="0"/>
    <n v="0"/>
    <n v="0"/>
    <n v="404.46893518518482"/>
    <n v="404.46893518518482"/>
    <n v="45617.208333333336"/>
    <n v="1"/>
  </r>
  <r>
    <s v="Cases &amp; Composites"/>
    <s v="CAS-193989-L2V7Q4"/>
    <s v="Robert Thompson"/>
    <s v="Complete"/>
    <s v="Resolved"/>
    <x v="5"/>
    <m/>
    <s v="23FC338"/>
    <s v="Repair-EA"/>
    <x v="3"/>
    <x v="2"/>
    <x v="1"/>
    <m/>
    <d v="2023-10-03T17:28:37"/>
    <m/>
    <m/>
    <x v="276"/>
    <d v="2024-02-06T14:54:51"/>
    <s v="Jan."/>
    <d v="2023-10-27T04:00:00"/>
    <d v="2023-12-12T05:00:00"/>
    <d v="2023-12-12T05:00:00"/>
    <d v="2023-12-14T05:00:00"/>
    <n v="46.041666666671517"/>
    <n v="2"/>
    <n v="48.041666666671517"/>
    <n v="125.48012731481867"/>
    <n v="77.438460648147156"/>
    <n v="0"/>
    <n v="0"/>
    <n v="0"/>
    <n v="0"/>
    <n v="0"/>
    <n v="0"/>
    <n v="0"/>
    <n v="0"/>
    <n v="0"/>
    <n v="125.48012731481867"/>
    <n v="77.438460648147156"/>
    <n v="45328.208333333336"/>
    <n v="1"/>
  </r>
  <r>
    <s v="Cases &amp; Composites"/>
    <s v="CAS-196123-M2Q5N6"/>
    <s v="Robert Thompson"/>
    <s v="Complete"/>
    <s v="Resolved"/>
    <x v="5"/>
    <m/>
    <s v="15CC383B"/>
    <s v="Repair-EA"/>
    <x v="1"/>
    <x v="0"/>
    <x v="0"/>
    <m/>
    <d v="2023-10-24T14:31:20"/>
    <m/>
    <m/>
    <x v="338"/>
    <d v="2024-03-07T20:49:16"/>
    <s v="Mar1"/>
    <m/>
    <m/>
    <m/>
    <m/>
    <s v=""/>
    <s v=""/>
    <n v="0"/>
    <n v="134.60324074074015"/>
    <n v="134.60324074074015"/>
    <n v="0"/>
    <n v="0"/>
    <n v="0"/>
    <n v="0"/>
    <n v="0"/>
    <n v="0"/>
    <n v="0"/>
    <n v="0"/>
    <n v="0"/>
    <n v="134.60324074074015"/>
    <n v="134.60324074074015"/>
    <n v="45358.208333333336"/>
    <n v="1"/>
  </r>
  <r>
    <s v="Cases &amp; Composites"/>
    <s v="CAS-196181-R5Y2K7"/>
    <s v="Robert Thompson"/>
    <s v="Complete"/>
    <s v="Resolved"/>
    <x v="5"/>
    <m/>
    <s v="17CCE87B"/>
    <s v="Repair-EA"/>
    <x v="1"/>
    <x v="0"/>
    <x v="0"/>
    <m/>
    <d v="2023-10-25T08:21:12"/>
    <m/>
    <m/>
    <x v="147"/>
    <d v="2024-06-24T12:59:48"/>
    <s v="June"/>
    <m/>
    <m/>
    <m/>
    <m/>
    <s v=""/>
    <s v=""/>
    <n v="0"/>
    <n v="239.81861111110629"/>
    <n v="239.81861111110629"/>
    <n v="0"/>
    <n v="0"/>
    <n v="0"/>
    <n v="0"/>
    <n v="0"/>
    <n v="0"/>
    <n v="0"/>
    <n v="0"/>
    <n v="0"/>
    <n v="239.81861111110629"/>
    <n v="239.81861111110629"/>
    <n v="45464.166666666664"/>
    <n v="1"/>
  </r>
  <r>
    <s v="Cases &amp; Composites"/>
    <s v="CAS-197431-M7V7W9"/>
    <s v="Robert Thompson"/>
    <s v="Complete"/>
    <s v="Resolved"/>
    <x v="5"/>
    <m/>
    <s v="23KC597"/>
    <s v="Repair-EA"/>
    <x v="0"/>
    <x v="1"/>
    <x v="1"/>
    <m/>
    <d v="2023-11-06T20:21:08"/>
    <m/>
    <m/>
    <x v="31"/>
    <d v="2024-02-27T14:22:45"/>
    <s v="RDAF"/>
    <m/>
    <m/>
    <m/>
    <m/>
    <s v=""/>
    <s v=""/>
    <n v="0"/>
    <n v="111.36032407407765"/>
    <n v="111.36032407407765"/>
    <n v="0"/>
    <n v="0"/>
    <n v="0"/>
    <n v="0"/>
    <n v="0"/>
    <n v="0"/>
    <n v="0"/>
    <n v="0"/>
    <n v="0"/>
    <n v="111.36032407407765"/>
    <n v="111.36032407407765"/>
    <n v="45348.208333333336"/>
    <n v="1"/>
  </r>
  <r>
    <s v="Cases &amp; Composites"/>
    <s v="CAS-199094-M1P4B8"/>
    <s v="Jia Chen"/>
    <s v="Complete"/>
    <s v="Resolved"/>
    <x v="5"/>
    <m/>
    <s v="23KC627"/>
    <s v="Repair-EA"/>
    <x v="0"/>
    <x v="1"/>
    <x v="3"/>
    <m/>
    <d v="2023-11-22T20:50:55"/>
    <m/>
    <m/>
    <x v="337"/>
    <d v="2024-02-06T14:09:31"/>
    <s v="FEB1"/>
    <d v="2023-12-05T05:00:00"/>
    <d v="2023-12-08T05:00:00"/>
    <d v="2023-12-08T05:00:00"/>
    <d v="2023-12-12T05:00:00"/>
    <n v="3"/>
    <n v="4"/>
    <n v="7"/>
    <n v="74.33964120370365"/>
    <n v="67.33964120370365"/>
    <n v="0"/>
    <n v="0"/>
    <n v="0"/>
    <n v="0"/>
    <n v="0"/>
    <n v="0"/>
    <n v="0"/>
    <n v="0"/>
    <n v="0"/>
    <n v="74.33964120370365"/>
    <n v="67.33964120370365"/>
    <n v="45327.208333333336"/>
    <n v="1"/>
  </r>
  <r>
    <s v="Cases &amp; Composites"/>
    <s v="CAS-200364-Y6Y1L5"/>
    <s v="Robert Thompson"/>
    <s v="Complete"/>
    <s v="Resolved"/>
    <x v="5"/>
    <m/>
    <s v="23KC645"/>
    <s v="Repair-EA"/>
    <x v="0"/>
    <x v="1"/>
    <x v="1"/>
    <m/>
    <d v="2023-12-06T13:59:42"/>
    <m/>
    <m/>
    <x v="137"/>
    <d v="2024-01-09T14:51:20"/>
    <s v="RDAF"/>
    <m/>
    <m/>
    <m/>
    <m/>
    <s v=""/>
    <s v=""/>
    <n v="0"/>
    <n v="26.625208333338378"/>
    <n v="26.625208333338378"/>
    <n v="0"/>
    <n v="0"/>
    <n v="0"/>
    <n v="0"/>
    <n v="0"/>
    <n v="0"/>
    <n v="0"/>
    <n v="0"/>
    <n v="0"/>
    <n v="26.625208333338378"/>
    <n v="26.625208333338378"/>
    <n v="45293.208333333336"/>
    <n v="1"/>
  </r>
  <r>
    <s v="Cases &amp; Composites"/>
    <s v="CAS-200981-C9W1J4"/>
    <s v="Robert Thompson"/>
    <s v="Complete"/>
    <s v="Resolved"/>
    <x v="5"/>
    <m/>
    <s v="23CCX87"/>
    <s v="Repair-EA"/>
    <x v="0"/>
    <x v="0"/>
    <x v="4"/>
    <m/>
    <d v="2023-12-12T12:55:53"/>
    <m/>
    <m/>
    <x v="61"/>
    <d v="2024-01-31T20:27:21"/>
    <s v="Jan."/>
    <d v="2023-12-18T05:00:00"/>
    <d v="2023-12-18T05:00:00"/>
    <d v="2023-12-18T05:00:00"/>
    <d v="2023-12-18T05:00:00"/>
    <n v="0"/>
    <n v="0"/>
    <n v="0"/>
    <n v="49.669525462966703"/>
    <n v="49.669525462966703"/>
    <n v="0"/>
    <n v="0"/>
    <n v="0"/>
    <n v="0"/>
    <n v="0"/>
    <n v="0"/>
    <n v="0"/>
    <n v="0"/>
    <n v="0"/>
    <n v="49.669525462966703"/>
    <n v="49.669525462966703"/>
    <n v="45322.208333333336"/>
    <n v="1"/>
  </r>
  <r>
    <s v="Cases &amp; Composites"/>
    <s v="MSG-231220-C6870A"/>
    <s v="Robert Thompson"/>
    <s v="Complete"/>
    <s v="Complete"/>
    <x v="5"/>
    <m/>
    <s v="23CC383A"/>
    <s v="Repair-EA"/>
    <x v="1"/>
    <x v="0"/>
    <x v="0"/>
    <m/>
    <d v="2023-12-20T05:00:00"/>
    <m/>
    <m/>
    <x v="154"/>
    <d v="2024-03-27T20:43:49"/>
    <s v="Mar2"/>
    <m/>
    <m/>
    <m/>
    <m/>
    <s v=""/>
    <s v=""/>
    <n v="0"/>
    <n v="97.958333333328483"/>
    <n v="97.958333333328483"/>
    <n v="0"/>
    <n v="0"/>
    <n v="0"/>
    <n v="0"/>
    <n v="0"/>
    <n v="0"/>
    <n v="0"/>
    <n v="0"/>
    <n v="0"/>
    <n v="97.958333333328483"/>
    <n v="97.958333333328483"/>
    <n v="45378.166666666664"/>
    <n v="1"/>
  </r>
  <r>
    <s v="Cases &amp; Composites"/>
    <s v="CAS-201875-Q7H5X8"/>
    <s v="Robert Thompson"/>
    <s v="Complete"/>
    <s v="Resolved"/>
    <x v="5"/>
    <m/>
    <s v="23CCY37"/>
    <s v="Repair-EA"/>
    <x v="0"/>
    <x v="0"/>
    <x v="10"/>
    <m/>
    <d v="2023-12-21T14:43:21"/>
    <m/>
    <m/>
    <x v="339"/>
    <d v="2024-02-13T21:39:32"/>
    <s v="Feb."/>
    <d v="2023-12-22T05:00:00"/>
    <d v="2024-01-19T05:00:00"/>
    <d v="2024-01-19T05:00:00"/>
    <d v="2024-01-19T05:00:00"/>
    <n v="28"/>
    <n v="0"/>
    <n v="28"/>
    <n v="53.594895833339251"/>
    <n v="25.594895833339251"/>
    <n v="0"/>
    <n v="0"/>
    <n v="0"/>
    <n v="0"/>
    <n v="0"/>
    <n v="0"/>
    <n v="0"/>
    <n v="0"/>
    <n v="0"/>
    <n v="53.594895833339251"/>
    <n v="25.594895833339251"/>
    <n v="45335.208333333336"/>
    <n v="1"/>
  </r>
  <r>
    <s v="Cases &amp; Composites"/>
    <s v="CAS-201672-D5D5Z7"/>
    <s v="Robert Thompson"/>
    <s v="Complete"/>
    <s v="Resolved"/>
    <x v="5"/>
    <m/>
    <s v="24CC085"/>
    <s v="Repair-EA"/>
    <x v="0"/>
    <x v="0"/>
    <x v="8"/>
    <m/>
    <d v="2023-12-19T20:42:37"/>
    <m/>
    <m/>
    <x v="69"/>
    <d v="2024-01-26T15:25:52"/>
    <m/>
    <d v="2024-01-11T05:00:00"/>
    <d v="2024-01-11T05:00:00"/>
    <d v="2024-01-11T05:00:00"/>
    <d v="2024-01-11T05:00:00"/>
    <n v="0"/>
    <n v="0"/>
    <n v="0"/>
    <n v="37.345405092593865"/>
    <n v="37.345405092593865"/>
    <n v="0"/>
    <n v="0"/>
    <n v="0"/>
    <n v="0"/>
    <n v="0"/>
    <n v="0"/>
    <n v="0"/>
    <n v="0"/>
    <n v="0"/>
    <n v="37.345405092593865"/>
    <n v="37.345405092593865"/>
    <n v="45317.208333333336"/>
    <n v="1"/>
  </r>
  <r>
    <s v="Cases &amp; Composites"/>
    <s v="CAS-201974-X4W2D2"/>
    <s v="Robert Thompson"/>
    <s v="Complete"/>
    <s v="Resolved"/>
    <x v="5"/>
    <m/>
    <s v="24KC014"/>
    <s v="Repair-EA"/>
    <x v="0"/>
    <x v="1"/>
    <x v="1"/>
    <m/>
    <d v="2023-12-22T08:10:01"/>
    <m/>
    <m/>
    <x v="76"/>
    <d v="2024-04-25T12:41:38"/>
    <s v="RDAF"/>
    <m/>
    <m/>
    <m/>
    <m/>
    <s v=""/>
    <s v=""/>
    <n v="0"/>
    <n v="124.82637731481373"/>
    <n v="124.82637731481373"/>
    <n v="0"/>
    <n v="0"/>
    <n v="0"/>
    <n v="0"/>
    <n v="0"/>
    <n v="0"/>
    <n v="0"/>
    <n v="0"/>
    <n v="0"/>
    <n v="124.82637731481373"/>
    <n v="124.82637731481373"/>
    <n v="45407.166666666664"/>
    <n v="1"/>
  </r>
  <r>
    <s v="Cases &amp; Composites"/>
    <s v="CAS-202964-S0K0C8"/>
    <s v="Robert Thompson"/>
    <s v="Complete"/>
    <s v="Resolved"/>
    <x v="5"/>
    <m/>
    <s v="24KC018"/>
    <s v="Repair-EA"/>
    <x v="0"/>
    <x v="1"/>
    <x v="1"/>
    <m/>
    <d v="2024-01-06T01:19:02"/>
    <m/>
    <m/>
    <x v="339"/>
    <d v="2024-02-19T14:58:47"/>
    <s v="RDAF"/>
    <m/>
    <m/>
    <m/>
    <m/>
    <s v=""/>
    <s v=""/>
    <n v="0"/>
    <n v="38.15344907407416"/>
    <n v="38.15344907407416"/>
    <n v="0"/>
    <n v="0"/>
    <n v="0"/>
    <n v="0"/>
    <n v="0"/>
    <n v="0"/>
    <n v="0"/>
    <n v="0"/>
    <n v="0"/>
    <n v="38.15344907407416"/>
    <n v="38.15344907407416"/>
    <n v="45335.208333333336"/>
    <n v="1"/>
  </r>
  <r>
    <s v="Cases &amp; Composites"/>
    <s v="CAS-200108-D4X8T4"/>
    <s v="Robert Thompson"/>
    <s v="Complete"/>
    <s v="Resolved"/>
    <x v="5"/>
    <m/>
    <s v="24FC011"/>
    <s v="Repair-EA"/>
    <x v="1"/>
    <x v="2"/>
    <x v="1"/>
    <m/>
    <d v="2023-12-04T13:52:30"/>
    <m/>
    <m/>
    <x v="340"/>
    <d v="2024-01-17T21:57:30"/>
    <m/>
    <m/>
    <m/>
    <m/>
    <m/>
    <s v=""/>
    <s v=""/>
    <n v="0"/>
    <n v="43.630208333335759"/>
    <n v="43.630208333335759"/>
    <n v="0"/>
    <n v="0"/>
    <n v="0"/>
    <n v="0"/>
    <n v="0"/>
    <n v="0"/>
    <n v="0"/>
    <n v="0"/>
    <n v="0"/>
    <n v="43.630208333335759"/>
    <n v="43.630208333335759"/>
    <n v="45308.208333333336"/>
    <n v="1"/>
  </r>
  <r>
    <s v="Cases &amp; Composites"/>
    <s v="CAS-203872-S8Q2T0"/>
    <s v="Robert Thompson"/>
    <s v="Complete"/>
    <s v="Resolved"/>
    <x v="5"/>
    <m/>
    <s v="20KC183F"/>
    <s v="Repair-EA"/>
    <x v="1"/>
    <x v="1"/>
    <x v="3"/>
    <m/>
    <d v="2024-01-16T16:20:52"/>
    <m/>
    <m/>
    <x v="309"/>
    <d v="2024-01-19T16:48:16"/>
    <m/>
    <m/>
    <m/>
    <m/>
    <m/>
    <s v=""/>
    <s v=""/>
    <n v="0"/>
    <n v="2.5271759259267128"/>
    <n v="2.5271759259267128"/>
    <n v="0"/>
    <n v="0"/>
    <n v="0"/>
    <n v="0"/>
    <n v="0"/>
    <n v="0"/>
    <n v="0"/>
    <n v="0"/>
    <n v="0"/>
    <n v="2.5271759259267128"/>
    <n v="2.5271759259267128"/>
    <n v="45310.208333333336"/>
    <n v="1"/>
  </r>
  <r>
    <s v="Cases &amp; Composites"/>
    <s v="MSG-240502-0C6C4D"/>
    <s v="Camille M Henriquez"/>
    <s v="Complete"/>
    <s v="Complete"/>
    <x v="5"/>
    <m/>
    <s v="24VC031"/>
    <s v="Repair-EA"/>
    <x v="0"/>
    <x v="3"/>
    <x v="4"/>
    <m/>
    <d v="2024-05-02T04:00:00"/>
    <m/>
    <m/>
    <x v="30"/>
    <d v="2024-05-02T14:28:55"/>
    <m/>
    <m/>
    <m/>
    <m/>
    <m/>
    <s v=""/>
    <s v=""/>
    <n v="0"/>
    <n v="-100.95833333332848"/>
    <n v="-100.95833333332848"/>
    <n v="0"/>
    <n v="0"/>
    <n v="0"/>
    <n v="0"/>
    <n v="0"/>
    <n v="0"/>
    <n v="0"/>
    <n v="0"/>
    <n v="0"/>
    <n v="-100.95833333332848"/>
    <n v="-100.95833333332848"/>
    <n v="45313.208333333336"/>
    <n v="1"/>
  </r>
  <r>
    <s v="Cases &amp; Composites"/>
    <s v="MSG-240502-3BF5BF"/>
    <s v="Camille M Henriquez"/>
    <s v="Complete"/>
    <s v="Complete"/>
    <x v="5"/>
    <m/>
    <s v="24VC032"/>
    <s v="Repair-EA"/>
    <x v="0"/>
    <x v="3"/>
    <x v="4"/>
    <m/>
    <d v="2024-05-02T04:00:00"/>
    <m/>
    <m/>
    <x v="30"/>
    <d v="2024-05-02T14:30:33"/>
    <m/>
    <m/>
    <m/>
    <m/>
    <m/>
    <s v=""/>
    <s v=""/>
    <n v="0"/>
    <n v="-100.95833333332848"/>
    <n v="-100.95833333332848"/>
    <n v="0"/>
    <n v="0"/>
    <n v="0"/>
    <n v="0"/>
    <n v="0"/>
    <n v="0"/>
    <n v="0"/>
    <n v="0"/>
    <n v="0"/>
    <n v="-100.95833333332848"/>
    <n v="-100.95833333332848"/>
    <n v="45313.208333333336"/>
    <n v="1"/>
  </r>
  <r>
    <s v="Cases &amp; Composites"/>
    <s v="CAS-203574-W5R9S2"/>
    <s v="Robert Thompson"/>
    <s v="Complete"/>
    <s v="Resolved"/>
    <x v="5"/>
    <m/>
    <s v="24CC329"/>
    <s v="Repair-EA"/>
    <x v="0"/>
    <x v="0"/>
    <x v="3"/>
    <m/>
    <d v="2024-01-12T18:13:47"/>
    <m/>
    <m/>
    <x v="341"/>
    <d v="2024-02-26T14:43:35"/>
    <m/>
    <d v="2024-02-05T05:00:00"/>
    <d v="2024-02-07T05:00:00"/>
    <d v="2024-02-07T05:00:00"/>
    <d v="2024-02-14T05:00:00"/>
    <n v="2"/>
    <n v="7"/>
    <n v="9"/>
    <n v="42.448761574079981"/>
    <n v="33.448761574079981"/>
    <n v="0"/>
    <n v="0"/>
    <n v="0"/>
    <n v="0"/>
    <n v="0"/>
    <n v="0"/>
    <n v="0"/>
    <n v="0"/>
    <n v="0"/>
    <n v="42.448761574079981"/>
    <n v="33.448761574079981"/>
    <n v="45346.208333333336"/>
    <n v="1"/>
  </r>
  <r>
    <s v="Cases &amp; Composites"/>
    <s v="MSG-240130-5480EF"/>
    <s v="Robert Thompson"/>
    <s v="Complete"/>
    <s v="Complete"/>
    <x v="5"/>
    <m/>
    <s v="24CC157"/>
    <s v="Repair-EA"/>
    <x v="0"/>
    <x v="0"/>
    <x v="4"/>
    <m/>
    <d v="2024-01-30T05:00:00"/>
    <m/>
    <m/>
    <x v="61"/>
    <d v="2024-01-31T20:27:28"/>
    <s v="This MSG ID was created to replace CAS-204131-M8J3D1. The original ENC was submitted under the wrong Engine Model."/>
    <m/>
    <m/>
    <m/>
    <m/>
    <s v=""/>
    <s v=""/>
    <n v="0"/>
    <n v="1"/>
    <n v="1"/>
    <n v="0"/>
    <n v="0"/>
    <n v="0"/>
    <n v="0"/>
    <n v="0"/>
    <n v="0"/>
    <n v="0"/>
    <n v="0"/>
    <n v="0"/>
    <n v="1"/>
    <n v="1"/>
    <n v="45322.208333333336"/>
    <n v="1"/>
  </r>
  <r>
    <s v="Cases &amp; Composites"/>
    <s v="CAS-205390-N9W1H7"/>
    <s v="Robert Thompson"/>
    <s v="Complete"/>
    <s v="Resolved"/>
    <x v="5"/>
    <m/>
    <s v="24CC354"/>
    <s v="Repair-EA"/>
    <x v="0"/>
    <x v="0"/>
    <x v="4"/>
    <m/>
    <d v="2024-01-31T15:54:14"/>
    <m/>
    <m/>
    <x v="339"/>
    <d v="2024-02-13T21:34:47"/>
    <s v="Feb."/>
    <m/>
    <m/>
    <m/>
    <m/>
    <s v=""/>
    <s v=""/>
    <n v="0"/>
    <n v="12.545671296298678"/>
    <n v="12.545671296298678"/>
    <n v="0"/>
    <n v="0"/>
    <n v="0"/>
    <n v="0"/>
    <n v="0"/>
    <n v="0"/>
    <n v="0"/>
    <n v="0"/>
    <n v="0"/>
    <n v="12.545671296298678"/>
    <n v="12.545671296298678"/>
    <n v="45335.208333333336"/>
    <n v="1"/>
  </r>
  <r>
    <s v="Cases &amp; Composites"/>
    <s v="CAS-205339-J3L0Y5"/>
    <s v="Robert Thompson"/>
    <s v="Complete"/>
    <s v="Resolved"/>
    <x v="5"/>
    <m/>
    <s v="24KC066"/>
    <s v="Repair-EA"/>
    <x v="0"/>
    <x v="1"/>
    <x v="1"/>
    <m/>
    <d v="2024-01-31T09:09:04"/>
    <m/>
    <m/>
    <x v="316"/>
    <d v="2024-04-10T13:27:29"/>
    <s v="RDAF"/>
    <m/>
    <m/>
    <m/>
    <m/>
    <s v=""/>
    <s v=""/>
    <n v="0"/>
    <n v="69.785370370365854"/>
    <n v="69.785370370365854"/>
    <n v="0"/>
    <n v="0"/>
    <n v="0"/>
    <n v="0"/>
    <n v="0"/>
    <n v="0"/>
    <n v="0"/>
    <n v="0"/>
    <n v="0"/>
    <n v="69.785370370365854"/>
    <n v="69.785370370365854"/>
    <n v="45392.166666666664"/>
    <n v="1"/>
  </r>
  <r>
    <s v="Cases &amp; Composites"/>
    <s v="MSG-240201-9E2A9C"/>
    <s v="Robert Thompson"/>
    <s v="Complete"/>
    <s v="Complete"/>
    <x v="5"/>
    <m/>
    <s v="24FC038"/>
    <s v="Repair-EA"/>
    <x v="1"/>
    <x v="2"/>
    <x v="1"/>
    <m/>
    <d v="2024-02-01T05:00:00"/>
    <m/>
    <m/>
    <x v="338"/>
    <d v="2024-03-07T15:55:01"/>
    <s v="(Mar1.)This request came in from the PW2000 Program to add a blend repair for the 1B0240-01 and 1B0241-01 Titanium liners to the engine manual."/>
    <m/>
    <m/>
    <m/>
    <m/>
    <s v=""/>
    <s v=""/>
    <n v="0"/>
    <n v="35"/>
    <n v="35"/>
    <n v="0"/>
    <n v="0"/>
    <n v="0"/>
    <n v="0"/>
    <n v="0"/>
    <n v="0"/>
    <n v="0"/>
    <n v="0"/>
    <n v="0"/>
    <n v="35"/>
    <n v="35"/>
    <n v="45358.208333333336"/>
    <n v="1"/>
  </r>
  <r>
    <s v="Cases &amp; Composites"/>
    <s v="CAS-205836-W0G9Y2"/>
    <s v="Robert Thompson"/>
    <s v="Complete"/>
    <s v="Resolved"/>
    <x v="5"/>
    <m/>
    <s v="24CC467"/>
    <s v="Repair-EA"/>
    <x v="0"/>
    <x v="0"/>
    <x v="8"/>
    <m/>
    <d v="2024-02-05T20:32:09"/>
    <m/>
    <m/>
    <x v="210"/>
    <d v="2024-12-04T21:39:18"/>
    <s v="FanR-Cone"/>
    <d v="2024-10-30T04:00:00"/>
    <d v="2024-11-11T05:00:00"/>
    <d v="2024-11-11T05:00:00"/>
    <d v="2024-11-15T05:00:00"/>
    <n v="12.041666666671517"/>
    <n v="4"/>
    <n v="16.041666666671517"/>
    <n v="302.35267361111619"/>
    <n v="286.31100694444467"/>
    <n v="0"/>
    <n v="0"/>
    <n v="0"/>
    <n v="0"/>
    <n v="0"/>
    <n v="195.98075018518284"/>
    <n v="0"/>
    <n v="0"/>
    <n v="195.98075018518284"/>
    <n v="106.37192342593335"/>
    <n v="90.330256759261829"/>
    <n v="45630.208333333336"/>
    <n v="1"/>
  </r>
  <r>
    <s v="Cases &amp; Composites"/>
    <s v="CAS-206240-P6K8B0"/>
    <s v="Robert Thompson"/>
    <s v="Complete"/>
    <s v="Resolved"/>
    <x v="5"/>
    <m/>
    <s v="24CC381"/>
    <s v="Repair-EA"/>
    <x v="0"/>
    <x v="0"/>
    <x v="10"/>
    <m/>
    <d v="2024-02-08T17:32:55"/>
    <m/>
    <m/>
    <x v="31"/>
    <d v="2024-02-27T15:43:00"/>
    <m/>
    <d v="2024-02-12T05:00:00"/>
    <d v="2024-02-14T05:00:00"/>
    <d v="2024-02-14T05:00:00"/>
    <d v="2024-02-14T05:00:00"/>
    <n v="2"/>
    <n v="0"/>
    <n v="2"/>
    <n v="17.477141203708015"/>
    <n v="15.477141203708015"/>
    <n v="0"/>
    <n v="0"/>
    <n v="0"/>
    <n v="0"/>
    <n v="0"/>
    <n v="0"/>
    <n v="0"/>
    <n v="0"/>
    <n v="0"/>
    <n v="17.477141203708015"/>
    <n v="15.477141203708015"/>
    <n v="45348.208333333336"/>
    <n v="1"/>
  </r>
  <r>
    <s v="Cases &amp; Composites"/>
    <s v="CAS-206357-L1V0V7"/>
    <s v="Jia Chen"/>
    <s v="Complete"/>
    <s v="Resolved"/>
    <x v="5"/>
    <m/>
    <s v="24KC082"/>
    <s v="Repair-EA"/>
    <x v="0"/>
    <x v="1"/>
    <x v="3"/>
    <m/>
    <d v="2024-02-09T21:44:21"/>
    <m/>
    <m/>
    <x v="154"/>
    <d v="2024-03-27T21:01:20"/>
    <s v="mar2"/>
    <d v="2024-02-14T05:00:00"/>
    <d v="2024-02-16T05:00:00"/>
    <d v="2024-02-16T05:00:00"/>
    <d v="2024-02-16T05:00:00"/>
    <n v="2"/>
    <n v="0"/>
    <n v="2"/>
    <n v="46.260868055549508"/>
    <n v="44.260868055549508"/>
    <n v="0"/>
    <n v="0"/>
    <n v="0"/>
    <n v="0"/>
    <n v="0"/>
    <n v="0"/>
    <n v="0"/>
    <n v="0"/>
    <n v="0"/>
    <n v="46.260868055549508"/>
    <n v="44.260868055549508"/>
    <n v="45378.166666666664"/>
    <n v="1"/>
  </r>
  <r>
    <s v="Cases &amp; Composites"/>
    <s v="CAS-206794-Z8P7K6"/>
    <s v="Robert Thompson"/>
    <s v="Complete"/>
    <s v="Resolved"/>
    <x v="5"/>
    <m/>
    <s v="24CC429"/>
    <s v="Repair-EA"/>
    <x v="0"/>
    <x v="0"/>
    <x v="4"/>
    <m/>
    <d v="2024-02-15T13:54:05"/>
    <m/>
    <m/>
    <x v="338"/>
    <d v="2024-03-07T20:59:18"/>
    <s v="Mar1"/>
    <d v="2024-02-20T05:00:00"/>
    <d v="2024-02-20T05:00:00"/>
    <d v="2024-02-20T05:00:00"/>
    <d v="2024-02-20T05:00:00"/>
    <n v="0"/>
    <n v="0"/>
    <n v="0"/>
    <n v="20.62910879629635"/>
    <n v="20.62910879629635"/>
    <n v="0"/>
    <n v="0"/>
    <n v="0"/>
    <n v="0"/>
    <n v="0"/>
    <n v="0"/>
    <n v="0"/>
    <n v="0"/>
    <n v="0"/>
    <n v="20.62910879629635"/>
    <n v="20.62910879629635"/>
    <n v="45358.208333333336"/>
    <n v="1"/>
  </r>
  <r>
    <s v="Cases &amp; Composites"/>
    <n v="104000"/>
    <s v="Robert Thompson"/>
    <s v="Complete"/>
    <s v="Closed"/>
    <x v="5"/>
    <m/>
    <s v="24FC061"/>
    <s v="Repair-EA"/>
    <x v="0"/>
    <x v="2"/>
    <x v="3"/>
    <m/>
    <d v="2024-02-09T05:00:00"/>
    <m/>
    <m/>
    <x v="274"/>
    <d v="2024-02-28T17:44:39"/>
    <m/>
    <d v="2024-02-20T05:00:00"/>
    <d v="2024-02-22T05:00:00"/>
    <d v="2024-02-22T05:00:00"/>
    <d v="2024-02-27T05:00:00"/>
    <n v="2"/>
    <n v="5"/>
    <n v="7"/>
    <n v="19"/>
    <n v="12"/>
    <n v="0"/>
    <n v="0"/>
    <n v="0"/>
    <n v="0"/>
    <n v="0"/>
    <n v="0"/>
    <n v="0"/>
    <n v="0"/>
    <n v="0"/>
    <n v="19"/>
    <n v="12"/>
    <n v="45350.208333333336"/>
    <n v="1"/>
  </r>
  <r>
    <s v="Cases &amp; Composites"/>
    <s v="CAS-206848-X0V7W4"/>
    <s v="Robert Thompson"/>
    <s v="Complete"/>
    <s v="Resolved"/>
    <x v="5"/>
    <m/>
    <s v="24CC453"/>
    <s v="Repair-EA"/>
    <x v="0"/>
    <x v="0"/>
    <x v="10"/>
    <m/>
    <d v="2024-02-15T20:57:07"/>
    <m/>
    <m/>
    <x v="127"/>
    <d v="2024-02-29T20:09:47"/>
    <m/>
    <d v="2024-02-20T05:00:00"/>
    <d v="2024-02-20T05:00:00"/>
    <d v="2024-02-20T05:00:00"/>
    <d v="2024-02-20T05:00:00"/>
    <n v="0"/>
    <n v="0"/>
    <n v="0"/>
    <n v="13.335335648152977"/>
    <n v="13.335335648152977"/>
    <n v="0"/>
    <n v="0"/>
    <n v="0"/>
    <n v="0"/>
    <n v="0"/>
    <n v="0"/>
    <n v="0"/>
    <n v="0"/>
    <n v="0"/>
    <n v="13.335335648152977"/>
    <n v="13.335335648152977"/>
    <n v="45351.208333333336"/>
    <n v="1"/>
  </r>
  <r>
    <s v="Cases &amp; Composites"/>
    <s v="CAS-207956-H5G9V9"/>
    <s v="Robert Thompson"/>
    <s v="Complete"/>
    <s v="Resolved"/>
    <x v="5"/>
    <m/>
    <s v="24CC534"/>
    <s v="Repair-EA"/>
    <x v="0"/>
    <x v="0"/>
    <x v="10"/>
    <m/>
    <d v="2024-02-27T16:59:20"/>
    <m/>
    <m/>
    <x v="342"/>
    <d v="2024-03-13T20:56:53"/>
    <s v="Mar1"/>
    <d v="2024-03-04T05:00:00"/>
    <d v="2024-03-04T05:00:00"/>
    <d v="2024-03-04T05:00:00"/>
    <d v="2024-03-04T05:00:00"/>
    <n v="0"/>
    <n v="0"/>
    <n v="0"/>
    <n v="14.458796296290529"/>
    <n v="14.458796296290529"/>
    <n v="0"/>
    <n v="0"/>
    <n v="0"/>
    <n v="0"/>
    <n v="0"/>
    <n v="0"/>
    <n v="0"/>
    <n v="0"/>
    <n v="0"/>
    <n v="14.458796296290529"/>
    <n v="14.458796296290529"/>
    <n v="45364.166666666664"/>
    <n v="1"/>
  </r>
  <r>
    <s v="Cases &amp; Composites"/>
    <s v="CAS-207971-S0Z5Z5"/>
    <s v="Robert Thompson"/>
    <s v="Complete"/>
    <s v="Resolved"/>
    <x v="5"/>
    <m/>
    <s v="22KC329D"/>
    <s v="Repair-EA"/>
    <x v="1"/>
    <x v="1"/>
    <x v="3"/>
    <m/>
    <d v="2024-02-27T20:24:50"/>
    <m/>
    <m/>
    <x v="312"/>
    <d v="2024-09-09T16:17:14"/>
    <s v="Sept"/>
    <m/>
    <m/>
    <m/>
    <m/>
    <s v=""/>
    <s v=""/>
    <n v="0"/>
    <n v="190.31608796295768"/>
    <n v="190.31608796295768"/>
    <n v="0"/>
    <n v="0"/>
    <n v="0"/>
    <n v="0"/>
    <n v="0"/>
    <n v="0"/>
    <n v="0"/>
    <n v="0"/>
    <n v="0"/>
    <n v="190.31608796295768"/>
    <n v="190.31608796295768"/>
    <n v="45540.166666666664"/>
    <n v="1"/>
  </r>
  <r>
    <s v="Cases &amp; Composites"/>
    <s v="CAS-209784-W6T9T3"/>
    <s v="Robert Thompson"/>
    <s v="Complete"/>
    <s v="Resolved"/>
    <x v="5"/>
    <m/>
    <s v="15CCB11E"/>
    <s v="Repair-EA"/>
    <x v="1"/>
    <x v="0"/>
    <x v="8"/>
    <m/>
    <d v="2024-03-18T19:11:41"/>
    <m/>
    <m/>
    <x v="195"/>
    <d v="2024-06-27T10:43:24"/>
    <s v="JuneFanR-Blade"/>
    <m/>
    <m/>
    <m/>
    <m/>
    <s v=""/>
    <s v=""/>
    <n v="0"/>
    <n v="98.366886574069213"/>
    <n v="98.366886574069213"/>
    <n v="0"/>
    <n v="0"/>
    <n v="0"/>
    <n v="0"/>
    <n v="0"/>
    <n v="0"/>
    <n v="0"/>
    <n v="0"/>
    <n v="0"/>
    <n v="98.366886574069213"/>
    <n v="98.366886574069213"/>
    <n v="45468.166666666664"/>
    <n v="1"/>
  </r>
  <r>
    <s v="Cases &amp; Composites"/>
    <s v="CAS-209256-W2R0P6"/>
    <s v="Robert Thompson"/>
    <s v="Complete"/>
    <s v="Resolved"/>
    <x v="5"/>
    <m/>
    <s v="24FC096"/>
    <s v="Repair-EA"/>
    <x v="1"/>
    <x v="2"/>
    <x v="1"/>
    <m/>
    <d v="2024-03-12T14:38:09"/>
    <m/>
    <m/>
    <x v="108"/>
    <d v="2024-04-18T19:50:47"/>
    <s v="Apr"/>
    <m/>
    <m/>
    <m/>
    <m/>
    <s v=""/>
    <s v=""/>
    <n v="0"/>
    <n v="35.556840277778974"/>
    <n v="35.556840277778974"/>
    <n v="0"/>
    <n v="0"/>
    <n v="0"/>
    <n v="0"/>
    <n v="0"/>
    <n v="0"/>
    <n v="0"/>
    <n v="0"/>
    <n v="0"/>
    <n v="35.556840277778974"/>
    <n v="35.556840277778974"/>
    <n v="45399.166666666664"/>
    <n v="1"/>
  </r>
  <r>
    <s v="Cases &amp; Composites"/>
    <s v="CAS-209627-C1Y5F6"/>
    <s v="Robert Thompson"/>
    <s v="Complete"/>
    <s v="Resolved"/>
    <x v="5"/>
    <m/>
    <s v="24CC779"/>
    <s v="Repair-EA"/>
    <x v="0"/>
    <x v="0"/>
    <x v="8"/>
    <m/>
    <d v="2024-03-18T19:46:23"/>
    <m/>
    <m/>
    <x v="343"/>
    <d v="2024-05-13T12:36:12"/>
    <s v="MayFanR-Cone"/>
    <m/>
    <m/>
    <m/>
    <m/>
    <s v=""/>
    <s v=""/>
    <n v="0"/>
    <n v="51.342789351852844"/>
    <n v="51.342789351852844"/>
    <n v="0"/>
    <n v="0"/>
    <n v="0"/>
    <n v="0"/>
    <n v="0"/>
    <n v="0"/>
    <n v="0"/>
    <n v="0"/>
    <n v="0"/>
    <n v="51.342789351852844"/>
    <n v="51.342789351852844"/>
    <n v="45421.166666666664"/>
    <n v="1"/>
  </r>
  <r>
    <s v="Cases &amp; Composites"/>
    <s v="CAS-209929-W1N0F7"/>
    <s v="Robert Thompson"/>
    <s v="Complete"/>
    <s v="Resolved"/>
    <x v="5"/>
    <m/>
    <s v="14CC214G"/>
    <s v="Repair-EA"/>
    <x v="1"/>
    <x v="0"/>
    <x v="0"/>
    <m/>
    <d v="2024-03-19T21:15:50"/>
    <m/>
    <m/>
    <x v="284"/>
    <d v="2024-06-28T19:42:17"/>
    <s v="June"/>
    <m/>
    <m/>
    <m/>
    <m/>
    <s v=""/>
    <s v=""/>
    <n v="0"/>
    <n v="100.28067129629198"/>
    <n v="100.28067129629198"/>
    <n v="0"/>
    <n v="0"/>
    <n v="0"/>
    <n v="0"/>
    <n v="0"/>
    <n v="0"/>
    <n v="0"/>
    <n v="0"/>
    <n v="0"/>
    <n v="100.28067129629198"/>
    <n v="100.28067129629198"/>
    <n v="45471.166666666664"/>
    <n v="1"/>
  </r>
  <r>
    <s v="Cases &amp; Composites"/>
    <s v="CAS-210050-V2F9D8"/>
    <s v="Robert Thompson"/>
    <s v="Complete"/>
    <s v="Resolved"/>
    <x v="5"/>
    <m/>
    <s v="24KC179"/>
    <s v="Repair-EA"/>
    <x v="3"/>
    <x v="1"/>
    <x v="3"/>
    <m/>
    <d v="2024-03-20T19:15:12"/>
    <m/>
    <m/>
    <x v="344"/>
    <d v="2024-08-01T17:53:40"/>
    <s v="August"/>
    <d v="2024-04-02T04:00:00"/>
    <d v="2024-07-17T04:00:00"/>
    <d v="2024-07-17T04:00:00"/>
    <d v="2024-07-29T04:00:00"/>
    <n v="106"/>
    <n v="12"/>
    <n v="118"/>
    <n v="133.36444444444351"/>
    <n v="15.364444444443507"/>
    <n v="0"/>
    <n v="0"/>
    <n v="0"/>
    <n v="0"/>
    <n v="0"/>
    <n v="1"/>
    <n v="0"/>
    <n v="0"/>
    <n v="1"/>
    <n v="132.36444444444351"/>
    <n v="14.364444444443507"/>
    <n v="45505.166666666664"/>
    <n v="1"/>
  </r>
  <r>
    <s v="Cases &amp; Composites"/>
    <s v="CAS-211034-P1F1L6"/>
    <s v="Robert Thompson"/>
    <s v="Complete"/>
    <s v="Resolved"/>
    <x v="5"/>
    <m/>
    <s v="24KC216"/>
    <s v="Repair-EA"/>
    <x v="3"/>
    <x v="1"/>
    <x v="3"/>
    <m/>
    <d v="2024-04-01T13:28:19"/>
    <m/>
    <m/>
    <x v="314"/>
    <d v="2024-05-30T20:25:46"/>
    <m/>
    <m/>
    <m/>
    <m/>
    <m/>
    <s v=""/>
    <s v=""/>
    <n v="0"/>
    <n v="58.6053356481425"/>
    <n v="58.6053356481425"/>
    <n v="0"/>
    <n v="0"/>
    <n v="0"/>
    <n v="0"/>
    <n v="0"/>
    <n v="0"/>
    <n v="0"/>
    <n v="0"/>
    <n v="0"/>
    <n v="58.6053356481425"/>
    <n v="58.6053356481425"/>
    <n v="45442.166666666664"/>
    <n v="1"/>
  </r>
  <r>
    <s v="Cases &amp; Composites"/>
    <s v="CAS-211037-F6R8P6"/>
    <s v="Robert Thompson"/>
    <s v="Complete"/>
    <s v="Resolved"/>
    <x v="5"/>
    <m/>
    <s v="24KC219"/>
    <s v="Repair-EA"/>
    <x v="1"/>
    <x v="1"/>
    <x v="3"/>
    <m/>
    <d v="2024-04-01T13:40:27"/>
    <m/>
    <m/>
    <x v="345"/>
    <d v="2024-06-18T16:34:57"/>
    <s v="June"/>
    <d v="2024-04-16T04:00:00"/>
    <d v="2024-04-16T04:00:00"/>
    <d v="2024-04-16T04:00:00"/>
    <d v="2024-05-14T04:00:00"/>
    <n v="0"/>
    <n v="28"/>
    <n v="28"/>
    <n v="70.596909722218697"/>
    <n v="42.596909722218697"/>
    <n v="0"/>
    <n v="0"/>
    <n v="0"/>
    <n v="0"/>
    <n v="0"/>
    <n v="0"/>
    <n v="0"/>
    <n v="0"/>
    <n v="0"/>
    <n v="70.596909722218697"/>
    <n v="42.596909722218697"/>
    <n v="45454.166666666664"/>
    <n v="1"/>
  </r>
  <r>
    <s v="Cases &amp; Composites"/>
    <s v="CAS-211300-T1H8H2"/>
    <s v="Robert Thompson"/>
    <s v="Complete"/>
    <s v="Resolved"/>
    <x v="5"/>
    <m/>
    <s v="24CC889"/>
    <s v="Repair-EA"/>
    <x v="0"/>
    <x v="0"/>
    <x v="4"/>
    <m/>
    <d v="2024-04-03T19:44:34"/>
    <m/>
    <m/>
    <x v="2"/>
    <d v="2024-04-30T13:55:40"/>
    <s v="Apr"/>
    <d v="2024-04-09T04:00:00"/>
    <d v="2024-04-12T04:00:00"/>
    <d v="2024-04-12T04:00:00"/>
    <d v="2024-04-12T04:00:00"/>
    <n v="3"/>
    <n v="0"/>
    <n v="3"/>
    <n v="26.344050925923511"/>
    <n v="23.344050925923511"/>
    <n v="0"/>
    <n v="0"/>
    <n v="0"/>
    <n v="0"/>
    <n v="0"/>
    <n v="0"/>
    <n v="0"/>
    <n v="0"/>
    <n v="0"/>
    <n v="26.344050925923511"/>
    <n v="23.344050925923511"/>
    <n v="45412.166666666664"/>
    <n v="1"/>
  </r>
  <r>
    <s v="Cases &amp; Composites"/>
    <s v="CAS-210811-B5T3S7"/>
    <s v="Robert Thompson"/>
    <s v="Complete"/>
    <s v="Resolved"/>
    <x v="5"/>
    <m/>
    <s v="24CC955"/>
    <s v="Repair-EA"/>
    <x v="0"/>
    <x v="0"/>
    <x v="10"/>
    <m/>
    <d v="2024-03-28T12:54:47"/>
    <m/>
    <m/>
    <x v="346"/>
    <d v="2024-04-19T14:25:21"/>
    <s v="DDM: 2410329NLE"/>
    <d v="2024-04-10T04:00:00"/>
    <d v="2024-04-11T04:00:00"/>
    <d v="2024-04-11T04:00:00"/>
    <d v="2024-04-12T04:00:00"/>
    <n v="1"/>
    <n v="1"/>
    <n v="2"/>
    <n v="20.628622685180744"/>
    <n v="18.628622685180744"/>
    <n v="0"/>
    <n v="0"/>
    <n v="0"/>
    <n v="0"/>
    <n v="0"/>
    <n v="0"/>
    <n v="0"/>
    <n v="0"/>
    <n v="0"/>
    <n v="20.628622685180744"/>
    <n v="18.628622685180744"/>
    <n v="45400.166666666664"/>
    <n v="1"/>
  </r>
  <r>
    <s v="Cases &amp; Composites"/>
    <s v="CAS-211868-H8M0G0"/>
    <s v="Jia Chen"/>
    <s v="Complete"/>
    <s v="Resolved"/>
    <x v="5"/>
    <m/>
    <s v="10KC218A"/>
    <s v="Repair-EA"/>
    <x v="1"/>
    <x v="1"/>
    <x v="3"/>
    <m/>
    <d v="2024-04-09T20:59:38"/>
    <m/>
    <m/>
    <x v="323"/>
    <d v="2024-06-17T18:33:05"/>
    <s v="June"/>
    <m/>
    <m/>
    <m/>
    <m/>
    <s v=""/>
    <s v=""/>
    <n v="0"/>
    <n v="68.291921296295186"/>
    <n v="68.291921296295186"/>
    <n v="0"/>
    <n v="0"/>
    <n v="0"/>
    <n v="0"/>
    <n v="0"/>
    <n v="0"/>
    <n v="0"/>
    <n v="0"/>
    <n v="0"/>
    <n v="68.291921296295186"/>
    <n v="68.291921296295186"/>
    <n v="45460.166666666664"/>
    <n v="1"/>
  </r>
  <r>
    <s v="Cases &amp; Composites"/>
    <s v="CAS-212236-S9W7F9"/>
    <s v="Pedro Iturrino"/>
    <s v="Complete"/>
    <s v="Resolved"/>
    <x v="5"/>
    <m/>
    <s v="24KC322"/>
    <s v="Repair-EA"/>
    <x v="0"/>
    <x v="1"/>
    <x v="3"/>
    <m/>
    <d v="2024-04-12T19:29:09"/>
    <m/>
    <m/>
    <x v="317"/>
    <d v="2024-09-10T12:53:51"/>
    <s v="SEP"/>
    <d v="2024-06-28T04:00:00"/>
    <d v="2024-07-17T04:00:00"/>
    <d v="2024-07-17T04:00:00"/>
    <d v="2024-07-19T04:00:00"/>
    <n v="19"/>
    <n v="2"/>
    <n v="21"/>
    <n v="149.35475694444176"/>
    <n v="128.35475694444176"/>
    <n v="0"/>
    <n v="0"/>
    <n v="0"/>
    <n v="11"/>
    <n v="0"/>
    <n v="0"/>
    <n v="0"/>
    <n v="0"/>
    <n v="11"/>
    <n v="138.35475694444176"/>
    <n v="117.35475694444176"/>
    <n v="45544.166666666664"/>
    <n v="1"/>
  </r>
  <r>
    <s v="Cases &amp; Composites"/>
    <s v="CAS-212540-D9D1J7"/>
    <s v="Jia Chen"/>
    <s v="Complete"/>
    <s v="Resolved"/>
    <x v="5"/>
    <m/>
    <s v="24KC227"/>
    <s v="Repair-EA"/>
    <x v="0"/>
    <x v="1"/>
    <x v="3"/>
    <m/>
    <d v="2024-04-16T18:08:17"/>
    <m/>
    <m/>
    <x v="310"/>
    <d v="2024-05-08T20:16:38"/>
    <s v="May"/>
    <m/>
    <m/>
    <m/>
    <m/>
    <s v=""/>
    <s v=""/>
    <n v="0"/>
    <n v="21.410914351850806"/>
    <n v="21.410914351850806"/>
    <n v="0"/>
    <n v="0"/>
    <n v="0"/>
    <n v="0"/>
    <n v="0"/>
    <n v="0"/>
    <n v="0"/>
    <n v="0"/>
    <n v="0"/>
    <n v="21.410914351850806"/>
    <n v="21.410914351850806"/>
    <n v="45420.166666666664"/>
    <n v="1"/>
  </r>
  <r>
    <s v="Cases &amp; Composites"/>
    <s v="CAS-212758-Q2W2C0"/>
    <s v="Robert Thompson"/>
    <s v="Complete"/>
    <s v="Resolved"/>
    <x v="5"/>
    <m/>
    <s v="24CCA25"/>
    <s v="Repair-EA"/>
    <x v="0"/>
    <x v="0"/>
    <x v="4"/>
    <m/>
    <d v="2024-04-18T13:43:28"/>
    <m/>
    <m/>
    <x v="132"/>
    <d v="2024-04-29T18:33:22"/>
    <s v="DDM ID: 24109T9YNE_x0009_"/>
    <m/>
    <m/>
    <m/>
    <m/>
    <s v=""/>
    <s v=""/>
    <n v="0"/>
    <n v="10.59481481480907"/>
    <n v="10.59481481480907"/>
    <n v="0"/>
    <n v="0"/>
    <n v="0"/>
    <n v="0"/>
    <n v="0"/>
    <n v="0"/>
    <n v="0"/>
    <n v="0"/>
    <n v="0"/>
    <n v="10.59481481480907"/>
    <n v="10.59481481480907"/>
    <n v="45411.166666666664"/>
    <n v="1"/>
  </r>
  <r>
    <s v="Cases &amp; Composites"/>
    <s v="CAS-213852-Y4W4P6"/>
    <s v="Robert Thompson"/>
    <s v="Complete"/>
    <s v="Resolved"/>
    <x v="5"/>
    <m/>
    <s v="24CCB62"/>
    <s v="Repair-EA"/>
    <x v="0"/>
    <x v="0"/>
    <x v="10"/>
    <s v="75%"/>
    <d v="2024-05-01T12:12:32"/>
    <m/>
    <m/>
    <x v="78"/>
    <d v="2024-05-14T11:20:28"/>
    <m/>
    <d v="2024-05-07T04:00:00"/>
    <d v="2024-05-08T04:00:00"/>
    <d v="2024-05-08T04:00:00"/>
    <d v="2024-05-08T04:00:00"/>
    <n v="1"/>
    <n v="0"/>
    <n v="1"/>
    <n v="11.657962962963211"/>
    <n v="10.657962962963211"/>
    <n v="0"/>
    <n v="0"/>
    <n v="0"/>
    <n v="0"/>
    <n v="0"/>
    <n v="0"/>
    <n v="0"/>
    <n v="0"/>
    <n v="0"/>
    <n v="11.657962962963211"/>
    <n v="10.657962962963211"/>
    <n v="45425.166666666664"/>
    <n v="1"/>
  </r>
  <r>
    <s v="Cases &amp; Composites"/>
    <s v="MSG-240503-E8C473"/>
    <s v="Robert Thompson"/>
    <s v="Complete"/>
    <s v="Complete"/>
    <x v="5"/>
    <m/>
    <s v="24KC209A"/>
    <s v="Repair-EA"/>
    <x v="0"/>
    <x v="1"/>
    <x v="3"/>
    <s v="75%"/>
    <d v="2024-05-03T04:00:00"/>
    <m/>
    <m/>
    <x v="332"/>
    <d v="2024-05-06T13:40:52"/>
    <s v="This task is to revise a typo in the part marking step for 24KC209"/>
    <m/>
    <m/>
    <m/>
    <m/>
    <s v=""/>
    <s v=""/>
    <n v="0"/>
    <n v="3"/>
    <n v="3"/>
    <n v="0"/>
    <n v="0"/>
    <n v="0"/>
    <n v="0"/>
    <n v="0"/>
    <n v="0"/>
    <n v="0"/>
    <n v="0"/>
    <n v="0"/>
    <n v="3"/>
    <n v="3"/>
    <n v="45418.166666666664"/>
    <n v="1"/>
  </r>
  <r>
    <s v="Cases &amp; Composites"/>
    <s v="CAS-211677-T7S6M2"/>
    <s v="Jia Chen"/>
    <s v="Complete"/>
    <s v="Resolved"/>
    <x v="5"/>
    <m/>
    <s v="24CCC09"/>
    <s v="Repair-EA"/>
    <x v="0"/>
    <x v="0"/>
    <x v="0"/>
    <s v="75%"/>
    <d v="2024-04-08T12:58:12"/>
    <m/>
    <m/>
    <x v="89"/>
    <d v="2024-05-31T19:21:58"/>
    <m/>
    <d v="2024-05-23T04:00:00"/>
    <d v="2024-05-23T04:00:00"/>
    <d v="2024-05-23T04:00:00"/>
    <d v="2024-05-24T04:00:00"/>
    <n v="0"/>
    <n v="1"/>
    <n v="1"/>
    <n v="52.626250000001164"/>
    <n v="51.626250000001164"/>
    <n v="0"/>
    <n v="0"/>
    <n v="0"/>
    <n v="31.849544907410746"/>
    <n v="0"/>
    <n v="0"/>
    <n v="0"/>
    <n v="0"/>
    <n v="31.849544907410746"/>
    <n v="20.776705092590419"/>
    <n v="19.776705092590419"/>
    <n v="45443.166666666664"/>
    <n v="1"/>
  </r>
  <r>
    <s v="Cases &amp; Composites"/>
    <s v="CAS-213657-J0Z8Z5"/>
    <s v="Robert Thompson"/>
    <s v="Complete"/>
    <s v="Resolved"/>
    <x v="5"/>
    <m/>
    <s v="24CCC96"/>
    <s v="Repair-EA"/>
    <x v="0"/>
    <x v="0"/>
    <x v="0"/>
    <s v="50%"/>
    <d v="2024-04-29T12:28:27"/>
    <m/>
    <m/>
    <x v="282"/>
    <d v="2024-06-25T13:48:28"/>
    <s v="June"/>
    <d v="2024-05-20T04:00:00"/>
    <d v="2024-06-04T04:00:00"/>
    <d v="2024-06-04T04:00:00"/>
    <d v="2024-06-04T04:00:00"/>
    <n v="15"/>
    <n v="0"/>
    <n v="15"/>
    <n v="55.646909722221608"/>
    <n v="40.646909722221608"/>
    <n v="0"/>
    <n v="0"/>
    <n v="0"/>
    <n v="0"/>
    <n v="0"/>
    <n v="0"/>
    <n v="0"/>
    <n v="0"/>
    <n v="0"/>
    <n v="55.646909722221608"/>
    <n v="40.646909722221608"/>
    <n v="45467.166666666664"/>
    <n v="1"/>
  </r>
  <r>
    <s v="Cases &amp; Composites"/>
    <s v="CAS-214997-T5R6J8"/>
    <s v="Robert Thompson"/>
    <s v="Complete"/>
    <s v="Resolved"/>
    <x v="5"/>
    <m/>
    <s v="24KC299"/>
    <s v="Repair-EA"/>
    <x v="3"/>
    <x v="1"/>
    <x v="3"/>
    <s v="75%"/>
    <d v="2024-05-14T20:25:02"/>
    <m/>
    <m/>
    <x v="279"/>
    <d v="2024-06-18T15:21:37"/>
    <m/>
    <m/>
    <m/>
    <m/>
    <m/>
    <s v=""/>
    <s v=""/>
    <n v="0"/>
    <n v="34.315949074072705"/>
    <n v="34.315949074072705"/>
    <n v="0"/>
    <n v="0"/>
    <n v="0"/>
    <n v="0"/>
    <n v="0"/>
    <n v="0"/>
    <n v="0"/>
    <n v="0"/>
    <n v="0"/>
    <n v="34.315949074072705"/>
    <n v="34.315949074072705"/>
    <n v="45461.166666666664"/>
    <n v="1"/>
  </r>
  <r>
    <s v="Cases &amp; Composites"/>
    <s v="CAS-211912-F1J1D6"/>
    <s v="Jia Chen"/>
    <s v="Complete"/>
    <s v="Resolved"/>
    <x v="5"/>
    <m/>
    <s v="24CCC67"/>
    <s v="Repair-EA"/>
    <x v="0"/>
    <x v="0"/>
    <x v="0"/>
    <m/>
    <d v="2024-04-10T11:55:01"/>
    <m/>
    <m/>
    <x v="297"/>
    <d v="2024-12-09T17:09:31"/>
    <s v="Dec"/>
    <d v="2024-06-13T04:00:00"/>
    <d v="2024-06-20T04:00:00"/>
    <d v="2024-06-20T04:00:00"/>
    <d v="2024-11-25T05:00:00"/>
    <n v="7"/>
    <n v="158.04166666667152"/>
    <n v="165.04166666667152"/>
    <n v="242.71179398148524"/>
    <n v="77.670127314813726"/>
    <n v="0"/>
    <n v="0"/>
    <n v="0"/>
    <n v="22.933908900464303"/>
    <n v="0"/>
    <n v="0"/>
    <n v="0"/>
    <n v="0"/>
    <n v="22.933908900464303"/>
    <n v="219.77788508102094"/>
    <n v="54.736218414349423"/>
    <n v="45635.208333333336"/>
    <n v="1"/>
  </r>
  <r>
    <s v="Cases &amp; Composites"/>
    <n v="105874"/>
    <s v="Jia Chen"/>
    <s v="Complete"/>
    <s v="Closed"/>
    <x v="5"/>
    <m/>
    <s v="24FC175"/>
    <s v="Repair-EA"/>
    <x v="0"/>
    <x v="2"/>
    <x v="3"/>
    <s v="75%"/>
    <d v="2024-05-13T04:00:00"/>
    <m/>
    <m/>
    <x v="107"/>
    <d v="2024-07-16T20:13:25"/>
    <s v="HPC REAR OUTER CASE - 14TH STAGE TURBINE COOLING AIR BOSS - PLASMA REPAIR-13 LIMIT EXTENSION"/>
    <d v="2024-06-14T04:00:00"/>
    <d v="2024-06-28T04:00:00"/>
    <d v="2024-06-28T04:00:00"/>
    <d v="2024-07-01T04:00:00"/>
    <n v="14"/>
    <n v="3"/>
    <n v="17"/>
    <n v="64"/>
    <n v="47"/>
    <n v="0"/>
    <n v="0"/>
    <n v="0"/>
    <n v="0"/>
    <n v="0"/>
    <n v="0"/>
    <n v="0"/>
    <n v="0"/>
    <n v="0"/>
    <n v="64"/>
    <n v="47"/>
    <n v="45489.166666666664"/>
    <n v="1"/>
  </r>
  <r>
    <s v="Cases &amp; Composites"/>
    <s v="CAS-215334-H5D3P9"/>
    <s v="Robert Thompson"/>
    <s v="Complete"/>
    <s v="Resolved"/>
    <x v="5"/>
    <m/>
    <s v="24CCC94"/>
    <s v="Repair-EA"/>
    <x v="0"/>
    <x v="0"/>
    <x v="10"/>
    <s v="75%"/>
    <d v="2024-05-17T12:49:36"/>
    <m/>
    <m/>
    <x v="314"/>
    <d v="2024-05-30T14:08:40"/>
    <m/>
    <d v="2024-05-20T04:00:00"/>
    <d v="2024-05-21T04:00:00"/>
    <d v="2024-05-21T04:00:00"/>
    <d v="2024-05-21T04:00:00"/>
    <n v="1"/>
    <n v="0"/>
    <n v="1"/>
    <n v="12.632222222222481"/>
    <n v="11.632222222222481"/>
    <n v="0"/>
    <n v="0"/>
    <n v="0"/>
    <n v="0"/>
    <n v="0"/>
    <n v="0"/>
    <n v="0"/>
    <n v="0"/>
    <n v="0"/>
    <n v="12.632222222222481"/>
    <n v="11.632222222222481"/>
    <n v="45442.166666666664"/>
    <n v="1"/>
  </r>
  <r>
    <s v="Cases &amp; Composites"/>
    <s v="CAS-213274-M6L9G9"/>
    <s v="Jia Chen"/>
    <s v="Complete"/>
    <s v="Resolved"/>
    <x v="5"/>
    <m/>
    <s v="24CCD63"/>
    <s v="Repair-EA"/>
    <x v="0"/>
    <x v="0"/>
    <x v="0"/>
    <s v="75%"/>
    <d v="2024-04-24T11:47:29"/>
    <m/>
    <m/>
    <x v="268"/>
    <d v="2025-01-21T20:52:35"/>
    <s v="DIFFUSER INNER CASE ASSEMBLY - OUTER W-SEAL CHAMFER BLEND REPAIR - PLASMA COAT REPAIR MR21CCM16B LIMIT EXTENSION. Jan"/>
    <d v="2024-07-03T04:00:00"/>
    <d v="2024-07-11T04:00:00"/>
    <d v="2024-07-11T04:00:00"/>
    <d v="2024-11-25T05:00:00"/>
    <n v="8"/>
    <n v="137.04166666667152"/>
    <n v="145.04166666667152"/>
    <n v="270.71702546296729"/>
    <n v="125.67535879629577"/>
    <n v="8.1177294444496511"/>
    <n v="0"/>
    <n v="0"/>
    <n v="0"/>
    <n v="0"/>
    <n v="0"/>
    <n v="0"/>
    <n v="0"/>
    <n v="8.1177294444496511"/>
    <n v="262.59929601851763"/>
    <n v="117.55762935184612"/>
    <n v="45677.208333333336"/>
    <n v="1"/>
  </r>
  <r>
    <s v="Cases &amp; Composites"/>
    <s v="CAS-217571-Z9S8K1"/>
    <s v="Robert Thompson"/>
    <s v="Complete"/>
    <s v="Resolved"/>
    <x v="5"/>
    <m/>
    <s v="24CCE35"/>
    <s v="Repair-EA"/>
    <x v="0"/>
    <x v="0"/>
    <x v="4"/>
    <s v="75%"/>
    <d v="2024-06-10T13:19:13"/>
    <m/>
    <m/>
    <x v="147"/>
    <d v="2024-06-21T14:02:48"/>
    <m/>
    <d v="2024-06-10T04:00:00"/>
    <d v="2024-06-11T04:00:00"/>
    <d v="2024-06-11T04:00:00"/>
    <d v="2024-06-11T04:00:00"/>
    <n v="1"/>
    <n v="0"/>
    <n v="1"/>
    <n v="10.611655092587171"/>
    <n v="9.6116550925871707"/>
    <n v="0"/>
    <n v="0"/>
    <n v="0"/>
    <n v="0"/>
    <n v="0"/>
    <n v="0"/>
    <n v="0"/>
    <n v="0"/>
    <n v="0"/>
    <n v="10.611655092587171"/>
    <n v="9.6116550925871707"/>
    <n v="45464.166666666664"/>
    <n v="1"/>
  </r>
  <r>
    <s v="Cases &amp; Composites"/>
    <s v="CAS-213687-B8X9B9"/>
    <s v="Tyler Abusbah"/>
    <s v="Complete"/>
    <s v="Resolved"/>
    <x v="5"/>
    <m/>
    <s v="24KC327"/>
    <s v="Repair-EA"/>
    <x v="0"/>
    <x v="1"/>
    <x v="3"/>
    <s v="75%"/>
    <d v="2024-05-01T17:56:32"/>
    <m/>
    <m/>
    <x v="323"/>
    <d v="2024-06-17T14:56:20"/>
    <s v="June"/>
    <m/>
    <m/>
    <m/>
    <m/>
    <s v=""/>
    <s v=""/>
    <n v="0"/>
    <n v="46.41907407407416"/>
    <n v="46.41907407407416"/>
    <n v="9"/>
    <n v="0"/>
    <n v="0"/>
    <n v="0"/>
    <n v="0"/>
    <n v="0"/>
    <n v="0"/>
    <n v="0"/>
    <n v="9"/>
    <n v="37.41907407407416"/>
    <n v="37.41907407407416"/>
    <n v="45460.166666666664"/>
    <n v="1"/>
  </r>
  <r>
    <s v="Cases &amp; Composites"/>
    <s v="CAS-216873-P8V6Q5"/>
    <s v="Robert Thompson"/>
    <s v="Complete"/>
    <s v="Resolved"/>
    <x v="5"/>
    <m/>
    <s v="24CCD90"/>
    <s v="Repair-EA"/>
    <x v="0"/>
    <x v="0"/>
    <x v="4"/>
    <s v="75%"/>
    <d v="2024-06-03T19:49:52"/>
    <m/>
    <m/>
    <x v="328"/>
    <d v="2024-06-27T19:30:06"/>
    <m/>
    <d v="2024-06-20T04:00:00"/>
    <d v="2024-06-20T04:00:00"/>
    <d v="2024-06-20T04:00:00"/>
    <d v="2024-06-20T04:00:00"/>
    <n v="0"/>
    <n v="0"/>
    <n v="0"/>
    <n v="23.340370370366145"/>
    <n v="23.340370370366145"/>
    <n v="0"/>
    <n v="0"/>
    <n v="0"/>
    <n v="0"/>
    <n v="0"/>
    <n v="0"/>
    <n v="0"/>
    <n v="0"/>
    <n v="0"/>
    <n v="23.340370370366145"/>
    <n v="23.340370370366145"/>
    <n v="45470.166666666664"/>
    <n v="1"/>
  </r>
  <r>
    <s v="Cases &amp; Composites"/>
    <n v="106031"/>
    <s v="Jia Chen"/>
    <s v="Complete"/>
    <s v="Closed"/>
    <x v="5"/>
    <m/>
    <s v="24FC199"/>
    <s v="Repair-EA"/>
    <x v="0"/>
    <x v="2"/>
    <x v="3"/>
    <s v="50%"/>
    <d v="2024-05-21T04:00:00"/>
    <m/>
    <m/>
    <x v="208"/>
    <d v="2024-10-17T19:38:46"/>
    <m/>
    <d v="2024-06-20T04:00:00"/>
    <d v="2024-06-27T04:00:00"/>
    <d v="2024-06-27T04:00:00"/>
    <d v="2024-07-29T04:00:00"/>
    <n v="7"/>
    <n v="32"/>
    <n v="39"/>
    <n v="149"/>
    <n v="110"/>
    <n v="5"/>
    <n v="0"/>
    <n v="0"/>
    <n v="0"/>
    <n v="0"/>
    <n v="0"/>
    <n v="0"/>
    <n v="0"/>
    <n v="5"/>
    <n v="144"/>
    <n v="105"/>
    <n v="45582.166666666664"/>
    <n v="1"/>
  </r>
  <r>
    <s v="Cases &amp; Composites"/>
    <n v="106268"/>
    <s v="Robert Thompson"/>
    <s v="Complete"/>
    <s v="Closed"/>
    <x v="5"/>
    <m/>
    <s v="24FC202"/>
    <s v="Repair-EA"/>
    <x v="0"/>
    <x v="2"/>
    <x v="3"/>
    <s v="75%"/>
    <d v="2024-06-03T04:00:00"/>
    <m/>
    <m/>
    <x v="94"/>
    <d v="2024-08-29T14:30:18"/>
    <m/>
    <d v="2024-06-11T04:00:00"/>
    <d v="2024-08-14T04:00:00"/>
    <d v="2024-08-14T04:00:00"/>
    <d v="2024-08-15T04:00:00"/>
    <n v="64"/>
    <n v="1"/>
    <n v="65"/>
    <n v="86"/>
    <n v="21"/>
    <n v="0"/>
    <n v="0"/>
    <n v="0"/>
    <n v="0"/>
    <n v="0"/>
    <n v="0"/>
    <n v="0"/>
    <n v="0"/>
    <n v="0"/>
    <n v="86"/>
    <n v="21"/>
    <n v="45532.166666666664"/>
    <n v="1"/>
  </r>
  <r>
    <s v="Cases &amp; Composites"/>
    <s v="CAS-217394-P8P8B6"/>
    <s v="Robert Thompson"/>
    <s v="Complete"/>
    <s v="Resolved"/>
    <x v="5"/>
    <m/>
    <s v="11CC024B"/>
    <s v="Repair-EA"/>
    <x v="1"/>
    <x v="0"/>
    <x v="4"/>
    <s v="75%"/>
    <d v="2024-06-07T12:32:00"/>
    <m/>
    <m/>
    <x v="9"/>
    <d v="2024-08-23T18:14:10"/>
    <s v="August"/>
    <m/>
    <m/>
    <m/>
    <m/>
    <s v=""/>
    <s v=""/>
    <n v="0"/>
    <n v="76.644444444442343"/>
    <n v="76.644444444442343"/>
    <n v="0"/>
    <n v="0"/>
    <n v="0"/>
    <n v="0"/>
    <n v="0"/>
    <n v="0"/>
    <n v="0"/>
    <n v="0"/>
    <n v="0"/>
    <n v="76.644444444442343"/>
    <n v="76.644444444442343"/>
    <n v="45527.166666666664"/>
    <n v="1"/>
  </r>
  <r>
    <s v="Cases &amp; Composites"/>
    <s v="CAS-217591-X5X7V3"/>
    <s v="Robert Thompson"/>
    <s v="Complete"/>
    <s v="Resolved"/>
    <x v="5"/>
    <m/>
    <s v="24CCE67"/>
    <s v="Repair-EA"/>
    <x v="0"/>
    <x v="0"/>
    <x v="4"/>
    <s v="75%"/>
    <d v="2024-06-10T17:21:44"/>
    <m/>
    <m/>
    <x v="330"/>
    <d v="2024-06-26T21:10:07"/>
    <m/>
    <m/>
    <m/>
    <m/>
    <m/>
    <s v=""/>
    <s v=""/>
    <n v="0"/>
    <n v="15.443240740736655"/>
    <n v="15.443240740736655"/>
    <n v="0"/>
    <n v="0"/>
    <n v="0"/>
    <n v="0"/>
    <n v="0"/>
    <n v="0"/>
    <n v="0"/>
    <n v="0"/>
    <n v="0"/>
    <n v="15.443240740736655"/>
    <n v="15.443240740736655"/>
    <n v="45469.166666666664"/>
    <n v="1"/>
  </r>
  <r>
    <s v="Cases &amp; Composites"/>
    <s v="CAS-215773-B5V4M0"/>
    <s v="Jia Chen"/>
    <s v="Complete"/>
    <s v="Resolved"/>
    <x v="5"/>
    <m/>
    <s v="24KC353"/>
    <s v="Repair-EA"/>
    <x v="0"/>
    <x v="1"/>
    <x v="3"/>
    <s v="75%"/>
    <d v="2024-05-22T18:56:21"/>
    <m/>
    <m/>
    <x v="319"/>
    <d v="2024-09-12T12:46:24"/>
    <s v="Sept"/>
    <d v="2024-06-27T04:00:00"/>
    <d v="2024-08-14T04:00:00"/>
    <d v="2024-08-14T04:00:00"/>
    <d v="2024-08-19T04:00:00"/>
    <n v="48"/>
    <n v="5"/>
    <n v="53"/>
    <n v="110.37753472221812"/>
    <n v="57.377534722218115"/>
    <n v="0"/>
    <n v="0"/>
    <n v="0"/>
    <n v="0"/>
    <n v="0"/>
    <n v="0"/>
    <n v="0"/>
    <n v="0"/>
    <n v="0"/>
    <n v="110.37753472221812"/>
    <n v="57.377534722218115"/>
    <n v="45545.166666666664"/>
    <n v="1"/>
  </r>
  <r>
    <s v="Cases &amp; Composites"/>
    <s v="CAS-214681-S0M0R1"/>
    <s v="Robert Thompson"/>
    <s v="Complete"/>
    <s v="Resolved"/>
    <x v="5"/>
    <m/>
    <s v="24CCF55"/>
    <s v="Repair-EA"/>
    <x v="0"/>
    <x v="0"/>
    <x v="0"/>
    <s v="25%"/>
    <d v="2024-05-13T18:25:18"/>
    <m/>
    <m/>
    <x v="148"/>
    <d v="2024-07-18T14:43:27"/>
    <s v="July"/>
    <d v="2024-06-24T04:00:00"/>
    <d v="2024-06-25T04:00:00"/>
    <d v="2024-06-25T04:00:00"/>
    <d v="2024-06-25T04:00:00"/>
    <n v="1"/>
    <n v="0"/>
    <n v="1"/>
    <n v="64.399097222216369"/>
    <n v="63.399097222216369"/>
    <n v="0"/>
    <n v="0"/>
    <n v="0"/>
    <n v="0"/>
    <n v="0"/>
    <n v="0"/>
    <n v="0"/>
    <n v="0"/>
    <n v="0"/>
    <n v="64.399097222216369"/>
    <n v="63.399097222216369"/>
    <n v="45490.166666666664"/>
    <n v="1"/>
  </r>
  <r>
    <s v="Cases &amp; Composites"/>
    <s v="CAS-216966-W3K1G1"/>
    <s v="Robert Thompson"/>
    <s v="Complete"/>
    <s v="Resolved"/>
    <x v="5"/>
    <m/>
    <s v="24CCF93"/>
    <s v="Repair-EA"/>
    <x v="0"/>
    <x v="0"/>
    <x v="0"/>
    <s v="50%"/>
    <d v="2024-06-04T11:59:13"/>
    <m/>
    <m/>
    <x v="281"/>
    <d v="2024-10-28T17:58:58"/>
    <s v="Sept"/>
    <d v="2024-08-07T04:00:00"/>
    <d v="2024-08-22T04:00:00"/>
    <d v="2024-08-22T04:00:00"/>
    <d v="2024-08-23T04:00:00"/>
    <n v="15"/>
    <n v="1"/>
    <n v="16"/>
    <n v="133.66721064814919"/>
    <n v="117.66721064814919"/>
    <n v="0"/>
    <n v="0"/>
    <n v="0"/>
    <n v="0"/>
    <n v="0"/>
    <n v="0"/>
    <n v="0"/>
    <n v="0"/>
    <n v="0"/>
    <n v="133.66721064814919"/>
    <n v="117.66721064814919"/>
    <n v="45581.166666666664"/>
    <n v="1"/>
  </r>
  <r>
    <s v="Cases &amp; Composites"/>
    <n v="106524"/>
    <s v="Robert Thompson"/>
    <s v="Complete"/>
    <s v="Closed"/>
    <x v="5"/>
    <m/>
    <s v="24FC211"/>
    <s v="Repair-EA"/>
    <x v="0"/>
    <x v="2"/>
    <x v="3"/>
    <s v="75%"/>
    <d v="2024-06-14T04:00:00"/>
    <m/>
    <m/>
    <x v="169"/>
    <d v="2024-08-29T17:37:39"/>
    <m/>
    <d v="2024-07-16T04:00:00"/>
    <d v="2024-08-13T04:00:00"/>
    <d v="2024-08-13T04:00:00"/>
    <d v="2024-08-13T04:00:00"/>
    <n v="28"/>
    <n v="0"/>
    <n v="28"/>
    <n v="76"/>
    <n v="48"/>
    <n v="0"/>
    <n v="0"/>
    <n v="0"/>
    <n v="18"/>
    <n v="0"/>
    <n v="0"/>
    <n v="0"/>
    <n v="0"/>
    <n v="18"/>
    <n v="58"/>
    <n v="30"/>
    <n v="45533.166666666664"/>
    <n v="1"/>
  </r>
  <r>
    <s v="Cases &amp; Composites"/>
    <s v="CAS-216972-Z8F0V0"/>
    <s v="Jia Chen"/>
    <s v="Complete"/>
    <s v="Resolved"/>
    <x v="5"/>
    <m/>
    <s v="24CCF69"/>
    <s v="Repair-EA"/>
    <x v="0"/>
    <x v="0"/>
    <x v="0"/>
    <s v="50%"/>
    <d v="2024-06-04T12:30:39"/>
    <m/>
    <m/>
    <x v="212"/>
    <d v="2024-11-04T17:44:47"/>
    <s v="Nov"/>
    <d v="2024-06-27T04:00:00"/>
    <d v="2024-10-22T04:00:00"/>
    <d v="2024-10-22T04:00:00"/>
    <d v="2024-10-22T04:00:00"/>
    <n v="117"/>
    <n v="0"/>
    <n v="117"/>
    <n v="152.68704861111473"/>
    <n v="35.687048611114733"/>
    <n v="9.039474641205743"/>
    <n v="0"/>
    <n v="0"/>
    <n v="0"/>
    <n v="0"/>
    <n v="0"/>
    <n v="0"/>
    <n v="0"/>
    <n v="9.039474641205743"/>
    <n v="143.64757396990899"/>
    <n v="26.64757396990899"/>
    <n v="45600.208333333336"/>
    <n v="1"/>
  </r>
  <r>
    <s v="Cases &amp; Composites"/>
    <s v="CAS-219156-V6N4W9"/>
    <s v="Robert Thompson"/>
    <s v="Complete"/>
    <s v="Resolved"/>
    <x v="5"/>
    <m/>
    <s v="24CCG06"/>
    <s v="Repair-EA"/>
    <x v="0"/>
    <x v="0"/>
    <x v="4"/>
    <s v="75%"/>
    <d v="2024-06-25T19:35:18"/>
    <m/>
    <m/>
    <x v="91"/>
    <d v="2024-07-30T19:09:39"/>
    <s v="July"/>
    <m/>
    <m/>
    <m/>
    <m/>
    <s v=""/>
    <s v=""/>
    <n v="0"/>
    <n v="34.350486111106875"/>
    <n v="34.350486111106875"/>
    <n v="0"/>
    <n v="0"/>
    <n v="0"/>
    <n v="0"/>
    <n v="0"/>
    <n v="0"/>
    <n v="0"/>
    <n v="0"/>
    <n v="0"/>
    <n v="34.350486111106875"/>
    <n v="34.350486111106875"/>
    <n v="45503.166666666664"/>
    <n v="1"/>
  </r>
  <r>
    <s v="Cases &amp; Composites"/>
    <s v="CAS-217383-B7L2B4"/>
    <s v="Robert Thompson"/>
    <s v="Complete"/>
    <s v="Resolved"/>
    <x v="5"/>
    <m/>
    <s v="24KC336"/>
    <s v="Repair-EA"/>
    <x v="0"/>
    <x v="1"/>
    <x v="1"/>
    <s v="50%"/>
    <d v="2024-06-07T10:13:04"/>
    <m/>
    <m/>
    <x v="140"/>
    <d v="2024-07-10T12:34:28"/>
    <s v="RDAF"/>
    <m/>
    <m/>
    <m/>
    <m/>
    <s v=""/>
    <s v=""/>
    <n v="0"/>
    <n v="32.740925925922056"/>
    <n v="32.740925925922056"/>
    <n v="0"/>
    <n v="0"/>
    <n v="0"/>
    <n v="0"/>
    <n v="0"/>
    <n v="0"/>
    <n v="0"/>
    <n v="0"/>
    <n v="0"/>
    <n v="32.740925925922056"/>
    <n v="32.740925925922056"/>
    <n v="45483.166666666664"/>
    <n v="1"/>
  </r>
  <r>
    <s v="Cases &amp; Composites"/>
    <s v="CAS-217724-N5Q7P0"/>
    <s v="Robert Thompson"/>
    <s v="Complete"/>
    <s v="Resolved"/>
    <x v="5"/>
    <m/>
    <s v="24CCH07"/>
    <s v="Repair-EA"/>
    <x v="0"/>
    <x v="0"/>
    <x v="0"/>
    <m/>
    <d v="2024-06-12T16:22:56"/>
    <m/>
    <m/>
    <x v="92"/>
    <d v="2024-07-31T16:54:44"/>
    <m/>
    <d v="2024-07-09T04:00:00"/>
    <d v="2024-07-10T04:00:00"/>
    <d v="2024-07-10T04:00:00"/>
    <d v="2024-07-11T04:00:00"/>
    <n v="1"/>
    <n v="1"/>
    <n v="2"/>
    <n v="48.484074074069213"/>
    <n v="46.484074074069213"/>
    <n v="3.9021337615704397"/>
    <n v="0"/>
    <n v="0"/>
    <n v="0"/>
    <n v="0"/>
    <n v="0"/>
    <n v="0"/>
    <n v="0"/>
    <n v="3.9021337615704397"/>
    <n v="44.581940312498773"/>
    <n v="42.581940312498773"/>
    <n v="45504.166666666664"/>
    <n v="1"/>
  </r>
  <r>
    <s v="Cases &amp; Composites"/>
    <s v="CAS-217931-K1Q9Q9"/>
    <s v="Robert Thompson"/>
    <s v="Complete"/>
    <s v="Resolved"/>
    <x v="5"/>
    <m/>
    <s v="24KC339"/>
    <s v="Repair-EA"/>
    <x v="0"/>
    <x v="1"/>
    <x v="1"/>
    <s v="50%"/>
    <d v="2024-06-13T08:39:46"/>
    <m/>
    <m/>
    <x v="107"/>
    <d v="2024-07-16T16:57:52"/>
    <s v="RDAF"/>
    <m/>
    <m/>
    <m/>
    <m/>
    <s v=""/>
    <s v=""/>
    <n v="0"/>
    <n v="32.805717592593282"/>
    <n v="32.805717592593282"/>
    <n v="0"/>
    <n v="0"/>
    <n v="0"/>
    <n v="0"/>
    <n v="0"/>
    <n v="0"/>
    <n v="0"/>
    <n v="0"/>
    <n v="0"/>
    <n v="32.805717592593282"/>
    <n v="32.805717592593282"/>
    <n v="45489.166666666664"/>
    <n v="1"/>
  </r>
  <r>
    <s v="Cases &amp; Composites"/>
    <s v="CAS-219834-K2N6Y8"/>
    <s v="Robert Thompson"/>
    <s v="Complete"/>
    <s v="Resolved"/>
    <x v="5"/>
    <m/>
    <s v="24CCG49"/>
    <s v="Repair-EA"/>
    <x v="0"/>
    <x v="0"/>
    <x v="4"/>
    <s v="75%"/>
    <d v="2024-07-02T13:20:02"/>
    <m/>
    <m/>
    <x v="105"/>
    <d v="2024-09-24T20:09:43"/>
    <s v="Sept"/>
    <m/>
    <m/>
    <m/>
    <m/>
    <s v=""/>
    <s v=""/>
    <n v="0"/>
    <n v="79.611087962963211"/>
    <n v="79.611087962963211"/>
    <n v="0"/>
    <n v="0"/>
    <n v="0"/>
    <n v="0"/>
    <n v="0"/>
    <n v="0"/>
    <n v="0"/>
    <n v="0"/>
    <n v="0"/>
    <n v="79.611087962963211"/>
    <n v="79.611087962963211"/>
    <n v="45555.166666666664"/>
    <n v="1"/>
  </r>
  <r>
    <s v="Cases &amp; Composites"/>
    <s v="CAS-218946-K9S2D8"/>
    <s v="Robert Thompson"/>
    <s v="Complete"/>
    <s v="Resolved"/>
    <x v="5"/>
    <m/>
    <s v="24KC391"/>
    <s v="Repair-EA"/>
    <x v="3"/>
    <x v="1"/>
    <x v="3"/>
    <m/>
    <d v="2024-06-24T10:58:24"/>
    <m/>
    <m/>
    <x v="234"/>
    <d v="2024-10-29T18:12:09"/>
    <m/>
    <m/>
    <m/>
    <m/>
    <m/>
    <s v=""/>
    <s v=""/>
    <n v="0"/>
    <n v="126.70944444444467"/>
    <n v="126.70944444444467"/>
    <n v="0"/>
    <n v="0"/>
    <n v="0"/>
    <n v="0"/>
    <n v="0"/>
    <n v="0"/>
    <n v="0"/>
    <n v="0"/>
    <n v="0"/>
    <n v="126.70944444444467"/>
    <n v="126.70944444444467"/>
    <n v="45594.166666666664"/>
    <n v="1"/>
  </r>
  <r>
    <s v="Cases &amp; Composites"/>
    <s v="CAS-219014-W2P2P6"/>
    <s v="Jia Chen"/>
    <s v="Complete"/>
    <s v="Resolved"/>
    <x v="5"/>
    <m/>
    <s v="24KC408"/>
    <s v="Repair-EA"/>
    <x v="0"/>
    <x v="1"/>
    <x v="3"/>
    <s v="50%"/>
    <d v="2024-06-24T21:33:41"/>
    <m/>
    <m/>
    <x v="319"/>
    <d v="2024-09-10T20:42:45"/>
    <s v="Sept"/>
    <d v="2024-08-01T04:00:00"/>
    <d v="2024-08-09T04:00:00"/>
    <d v="2024-08-09T04:00:00"/>
    <d v="2024-08-15T04:00:00"/>
    <n v="8"/>
    <n v="6"/>
    <n v="14"/>
    <n v="77.268275462964084"/>
    <n v="63.268275462964084"/>
    <n v="0"/>
    <n v="0"/>
    <n v="0"/>
    <n v="0"/>
    <n v="0"/>
    <n v="0"/>
    <n v="0"/>
    <n v="0"/>
    <n v="0"/>
    <n v="77.268275462964084"/>
    <n v="63.268275462964084"/>
    <n v="45545.166666666664"/>
    <n v="1"/>
  </r>
  <r>
    <s v="Cases &amp; Composites"/>
    <s v="CAS-219709-M9Z5K1"/>
    <s v="Robert Thompson"/>
    <s v="Complete"/>
    <s v="Resolved"/>
    <x v="5"/>
    <m/>
    <s v="20CC288B"/>
    <s v="Repair-EA"/>
    <x v="1"/>
    <x v="0"/>
    <x v="0"/>
    <s v="50%"/>
    <d v="2024-07-01T13:59:34"/>
    <m/>
    <m/>
    <x v="347"/>
    <d v="2024-09-20T14:16:55"/>
    <s v="Sept"/>
    <m/>
    <m/>
    <m/>
    <m/>
    <s v=""/>
    <s v=""/>
    <n v="0"/>
    <n v="79.58363425925927"/>
    <n v="79.58363425925927"/>
    <n v="0"/>
    <n v="0"/>
    <n v="0"/>
    <n v="0"/>
    <n v="0"/>
    <n v="0"/>
    <n v="0"/>
    <n v="0"/>
    <n v="0"/>
    <n v="79.58363425925927"/>
    <n v="79.58363425925927"/>
    <n v="45554.166666666664"/>
    <n v="1"/>
  </r>
  <r>
    <s v="Cases &amp; Composites"/>
    <s v="CAS-219712-N4Y2B1"/>
    <s v="Robert Thompson"/>
    <s v="Complete"/>
    <s v="Resolved"/>
    <x v="5"/>
    <m/>
    <s v="14CC326E"/>
    <s v="Repair-EA"/>
    <x v="1"/>
    <x v="0"/>
    <x v="4"/>
    <s v="75%"/>
    <d v="2024-07-01T14:03:58"/>
    <m/>
    <m/>
    <x v="212"/>
    <d v="2024-11-05T14:40:54"/>
    <s v="Sept"/>
    <m/>
    <m/>
    <m/>
    <m/>
    <s v=""/>
    <s v=""/>
    <n v="0"/>
    <n v="125.622245370374"/>
    <n v="125.622245370374"/>
    <n v="0"/>
    <n v="0"/>
    <n v="0"/>
    <n v="0"/>
    <n v="0"/>
    <n v="0"/>
    <n v="0"/>
    <n v="0"/>
    <n v="0"/>
    <n v="125.622245370374"/>
    <n v="125.622245370374"/>
    <n v="45600.208333333336"/>
    <n v="1"/>
  </r>
  <r>
    <s v="Cases &amp; Composites"/>
    <s v="CAS-221424-V7L5Y5"/>
    <s v="Robert Thompson"/>
    <s v="Complete"/>
    <s v="Resolved"/>
    <x v="5"/>
    <m/>
    <s v="24KC433"/>
    <s v="Repair-EA"/>
    <x v="0"/>
    <x v="1"/>
    <x v="1"/>
    <s v="75%"/>
    <d v="2024-07-17T14:43:07"/>
    <m/>
    <m/>
    <x v="317"/>
    <d v="2024-09-10T13:12:28"/>
    <s v="RDAF"/>
    <m/>
    <m/>
    <m/>
    <m/>
    <s v=""/>
    <s v=""/>
    <n v="0"/>
    <n v="53.553391203698993"/>
    <n v="53.553391203698993"/>
    <n v="0"/>
    <n v="0"/>
    <n v="0"/>
    <n v="0"/>
    <n v="0"/>
    <n v="0"/>
    <n v="0"/>
    <n v="0"/>
    <n v="0"/>
    <n v="53.553391203698993"/>
    <n v="53.553391203698993"/>
    <n v="45544.166666666664"/>
    <n v="1"/>
  </r>
  <r>
    <s v="Cases &amp; Composites"/>
    <s v="CAS-222006-F9X7F5"/>
    <s v="Robert Thompson"/>
    <s v="Complete"/>
    <s v="Resolved"/>
    <x v="5"/>
    <m/>
    <s v="24CCK19"/>
    <s v="Repair-EA"/>
    <x v="0"/>
    <x v="0"/>
    <x v="10"/>
    <s v="75%"/>
    <d v="2024-07-23T12:26:23"/>
    <m/>
    <m/>
    <x v="92"/>
    <d v="2024-07-31T12:50:44"/>
    <m/>
    <d v="2024-07-23T04:00:00"/>
    <d v="2024-07-24T04:00:00"/>
    <d v="2024-07-24T04:00:00"/>
    <d v="2024-07-25T04:00:00"/>
    <n v="1"/>
    <n v="1"/>
    <n v="2"/>
    <n v="7.6483449074075907"/>
    <n v="5.6483449074075907"/>
    <n v="0"/>
    <n v="0"/>
    <n v="0"/>
    <n v="0"/>
    <n v="0"/>
    <n v="0"/>
    <n v="0"/>
    <n v="0"/>
    <n v="0"/>
    <n v="7.6483449074075907"/>
    <n v="5.6483449074075907"/>
    <n v="45504.166666666664"/>
    <n v="1"/>
  </r>
  <r>
    <s v="Cases &amp; Composites"/>
    <s v="CAS-220441-Y4Y8T4"/>
    <s v="Jia Chen"/>
    <s v="Complete"/>
    <s v="Resolved"/>
    <x v="5"/>
    <m/>
    <s v="24KC436"/>
    <s v="Repair-EA"/>
    <x v="0"/>
    <x v="1"/>
    <x v="3"/>
    <s v="75%"/>
    <d v="2024-07-08T19:43:50"/>
    <m/>
    <m/>
    <x v="146"/>
    <d v="2024-09-05T13:26:34"/>
    <s v="Sept"/>
    <d v="2024-08-21T04:00:00"/>
    <d v="2024-08-27T04:00:00"/>
    <d v="2024-08-27T04:00:00"/>
    <d v="2024-08-28T04:00:00"/>
    <n v="6"/>
    <n v="1"/>
    <n v="7"/>
    <n v="57.344560185185401"/>
    <n v="50.344560185185401"/>
    <n v="2"/>
    <n v="0"/>
    <n v="0"/>
    <n v="0"/>
    <n v="0"/>
    <n v="0"/>
    <n v="0"/>
    <n v="0"/>
    <n v="2"/>
    <n v="55.344560185185401"/>
    <n v="48.344560185185401"/>
    <n v="45539.166666666664"/>
    <n v="1"/>
  </r>
  <r>
    <s v="Cases &amp; Composites"/>
    <s v="CAS-220442-D4K1V9"/>
    <s v="Jia Chen"/>
    <s v="Complete"/>
    <s v="Resolved"/>
    <x v="5"/>
    <m/>
    <s v="24KC437"/>
    <s v="Repair-EA"/>
    <x v="0"/>
    <x v="1"/>
    <x v="3"/>
    <s v="75%"/>
    <d v="2024-07-08T19:54:41"/>
    <m/>
    <m/>
    <x v="312"/>
    <d v="2024-09-05T17:05:14"/>
    <s v="Sept"/>
    <d v="2024-08-21T04:00:00"/>
    <d v="2024-08-27T04:00:00"/>
    <d v="2024-08-27T04:00:00"/>
    <d v="2024-08-28T04:00:00"/>
    <n v="6"/>
    <n v="1"/>
    <n v="7"/>
    <n v="58.337025462962629"/>
    <n v="51.337025462962629"/>
    <n v="2"/>
    <n v="0"/>
    <n v="0"/>
    <n v="0"/>
    <n v="0"/>
    <n v="0"/>
    <n v="0"/>
    <n v="0"/>
    <n v="2"/>
    <n v="56.337025462962629"/>
    <n v="49.337025462962629"/>
    <n v="45540.166666666664"/>
    <n v="1"/>
  </r>
  <r>
    <s v="Cases &amp; Composites"/>
    <s v="CAS-221173-N1D6M0"/>
    <s v="Jia Chen"/>
    <s v="Complete"/>
    <s v="Active"/>
    <x v="5"/>
    <m/>
    <s v="24KC464"/>
    <s v="Repair-EA"/>
    <x v="0"/>
    <x v="1"/>
    <x v="3"/>
    <s v="75%"/>
    <d v="2024-07-15T18:51:19"/>
    <m/>
    <m/>
    <x v="149"/>
    <d v="2024-11-13T16:12:47"/>
    <s v="Nov. STAGE 8 HPC CASE - FRONT SNAP COAT REPAIR - REPAIR-10 LIMIT EXTENSION"/>
    <d v="2024-09-20T04:00:00"/>
    <d v="2024-10-11T04:00:00"/>
    <d v="2024-10-11T04:00:00"/>
    <d v="2024-10-15T04:00:00"/>
    <n v="21"/>
    <n v="4"/>
    <n v="25"/>
    <n v="120.42269675926218"/>
    <n v="95.42269675926218"/>
    <n v="6"/>
    <n v="20"/>
    <n v="0"/>
    <n v="0"/>
    <n v="0"/>
    <n v="0"/>
    <n v="0"/>
    <n v="0"/>
    <n v="26"/>
    <n v="94.42269675926218"/>
    <n v="69.42269675926218"/>
    <n v="45609.208333333336"/>
    <n v="1"/>
  </r>
  <r>
    <s v="Cases &amp; Composites"/>
    <s v="CAS-219769-Y0R1N0"/>
    <s v="Robert Thompson"/>
    <s v="Complete"/>
    <s v="Resolved"/>
    <x v="5"/>
    <m/>
    <s v="24KC385"/>
    <s v="Repair-EA"/>
    <x v="0"/>
    <x v="1"/>
    <x v="1"/>
    <s v="50%"/>
    <d v="2024-07-02T05:08:52"/>
    <m/>
    <m/>
    <x v="312"/>
    <d v="2024-09-09T21:22:52"/>
    <s v="RDAF"/>
    <m/>
    <m/>
    <m/>
    <m/>
    <s v=""/>
    <s v=""/>
    <n v="0"/>
    <n v="64.952175925922347"/>
    <n v="64.952175925922347"/>
    <n v="0"/>
    <n v="0"/>
    <n v="0"/>
    <n v="0"/>
    <n v="0"/>
    <n v="0"/>
    <n v="0"/>
    <n v="0"/>
    <n v="0"/>
    <n v="64.952175925922347"/>
    <n v="64.952175925922347"/>
    <n v="45540.166666666664"/>
    <n v="1"/>
  </r>
  <r>
    <s v="Cases &amp; Composites"/>
    <s v="CAS-222853-F8K3C4"/>
    <s v="Robert Thompson"/>
    <s v="Complete"/>
    <s v="Resolved"/>
    <x v="5"/>
    <m/>
    <s v="23KC456B"/>
    <s v="Repair-EA"/>
    <x v="3"/>
    <x v="1"/>
    <x v="3"/>
    <m/>
    <d v="2024-07-31T11:36:02"/>
    <m/>
    <m/>
    <x v="198"/>
    <d v="2024-10-25T14:25:54"/>
    <s v="Sept"/>
    <m/>
    <m/>
    <m/>
    <m/>
    <s v=""/>
    <s v=""/>
    <n v="0"/>
    <n v="85.683310185180744"/>
    <n v="85.683310185180744"/>
    <n v="0"/>
    <n v="0"/>
    <n v="0"/>
    <n v="0"/>
    <n v="0"/>
    <n v="0"/>
    <n v="0"/>
    <n v="0"/>
    <n v="0"/>
    <n v="85.683310185180744"/>
    <n v="85.683310185180744"/>
    <n v="45590.166666666664"/>
    <n v="1"/>
  </r>
  <r>
    <s v="Cases &amp; Composites"/>
    <s v="CAS-223762-R8Y6P8"/>
    <s v="Robert Thompson"/>
    <s v="Complete"/>
    <s v="Resolved"/>
    <x v="5"/>
    <m/>
    <s v="20KC472A"/>
    <s v="Repair-EA"/>
    <x v="1"/>
    <x v="1"/>
    <x v="3"/>
    <m/>
    <d v="2024-08-08T19:47:17"/>
    <m/>
    <m/>
    <x v="41"/>
    <d v="2024-09-12T14:48:46"/>
    <s v="Sept"/>
    <m/>
    <m/>
    <m/>
    <m/>
    <s v=""/>
    <s v=""/>
    <n v="0"/>
    <n v="28.342164351852261"/>
    <n v="28.342164351852261"/>
    <n v="0"/>
    <n v="0"/>
    <n v="0"/>
    <n v="0"/>
    <n v="0"/>
    <n v="0"/>
    <n v="0"/>
    <n v="0"/>
    <n v="0"/>
    <n v="28.342164351852261"/>
    <n v="28.342164351852261"/>
    <n v="45541.166666666664"/>
    <n v="1"/>
  </r>
  <r>
    <s v="Cases &amp; Composites"/>
    <s v="CAS-223341-K7W5N3"/>
    <s v="Robert Thompson"/>
    <s v="Complete"/>
    <s v="Resolved"/>
    <x v="5"/>
    <m/>
    <s v="24CCN44"/>
    <s v="Repair-EA"/>
    <x v="0"/>
    <x v="0"/>
    <x v="0"/>
    <s v="75%"/>
    <d v="2024-08-05T11:44:50"/>
    <m/>
    <m/>
    <x v="216"/>
    <d v="2024-11-06T20:22:57"/>
    <m/>
    <d v="2024-08-26T04:00:00"/>
    <d v="2024-10-09T04:00:00"/>
    <d v="2024-10-09T04:00:00"/>
    <d v="2024-10-14T04:00:00"/>
    <n v="44"/>
    <n v="5"/>
    <n v="49"/>
    <n v="92.718865740745969"/>
    <n v="43.718865740745969"/>
    <n v="0.98315101851767395"/>
    <n v="0"/>
    <n v="0"/>
    <n v="0"/>
    <n v="0"/>
    <n v="0"/>
    <n v="0"/>
    <n v="0"/>
    <n v="0.98315101851767395"/>
    <n v="91.735714722228295"/>
    <n v="42.735714722228295"/>
    <n v="45602.208333333336"/>
    <n v="1"/>
  </r>
  <r>
    <s v="Cases &amp; Composites"/>
    <n v="107180"/>
    <s v="Jia Chen"/>
    <s v="Complete"/>
    <s v="Closed"/>
    <x v="5"/>
    <m/>
    <s v="24FC278"/>
    <s v="Repair-EA"/>
    <x v="0"/>
    <x v="2"/>
    <x v="3"/>
    <s v="75%"/>
    <d v="2024-07-24T04:00:00"/>
    <m/>
    <m/>
    <x v="187"/>
    <d v="2024-11-14T14:28:31"/>
    <m/>
    <d v="2024-10-09T04:00:00"/>
    <d v="2024-10-15T04:00:00"/>
    <d v="2024-10-15T04:00:00"/>
    <d v="2024-11-04T05:00:00"/>
    <n v="6"/>
    <n v="20.041666666671517"/>
    <n v="26.041666666671517"/>
    <n v="113.04166666667152"/>
    <n v="87"/>
    <n v="4"/>
    <n v="0"/>
    <n v="0"/>
    <n v="15"/>
    <n v="0"/>
    <n v="2"/>
    <n v="0"/>
    <n v="0"/>
    <n v="21"/>
    <n v="92.041666666671517"/>
    <n v="66"/>
    <n v="45610.208333333336"/>
    <n v="1"/>
  </r>
  <r>
    <s v="Cases &amp; Composites"/>
    <s v="CAS-222068-J5D8G6"/>
    <s v="Jia Chen"/>
    <s v="Complete"/>
    <s v="Resolved"/>
    <x v="5"/>
    <m/>
    <s v="24VC275"/>
    <s v="Repair-EA"/>
    <x v="0"/>
    <x v="3"/>
    <x v="3"/>
    <s v="50%"/>
    <d v="2024-07-23T18:42:09"/>
    <m/>
    <m/>
    <x v="186"/>
    <d v="2024-12-10T18:50:38"/>
    <s v="Dec"/>
    <d v="2024-09-19T04:00:00"/>
    <d v="2024-09-19T04:00:00"/>
    <d v="2024-09-19T04:00:00"/>
    <d v="2024-11-26T05:00:00"/>
    <n v="0"/>
    <n v="68.041666666671517"/>
    <n v="68.041666666671517"/>
    <n v="139.42906249999942"/>
    <n v="71.387395833327901"/>
    <n v="4"/>
    <n v="0"/>
    <n v="0"/>
    <n v="0"/>
    <n v="5"/>
    <n v="0"/>
    <n v="0"/>
    <n v="0"/>
    <n v="9"/>
    <n v="130.42906249999942"/>
    <n v="62.387395833327901"/>
    <n v="45636.208333333336"/>
    <n v="1"/>
  </r>
  <r>
    <s v="Cases &amp; Composites"/>
    <n v="107461"/>
    <s v="Robert Thompson"/>
    <s v="Complete"/>
    <s v="Closed"/>
    <x v="5"/>
    <m/>
    <s v="24FC297"/>
    <s v="Repair-EA"/>
    <x v="0"/>
    <x v="2"/>
    <x v="3"/>
    <m/>
    <d v="2024-08-07T04:00:00"/>
    <m/>
    <m/>
    <x v="285"/>
    <d v="2024-08-30T19:14:55"/>
    <m/>
    <m/>
    <m/>
    <m/>
    <m/>
    <s v=""/>
    <s v=""/>
    <n v="0"/>
    <n v="23"/>
    <n v="23"/>
    <n v="0"/>
    <n v="0"/>
    <n v="0"/>
    <n v="0"/>
    <n v="0"/>
    <n v="0"/>
    <n v="0"/>
    <n v="0"/>
    <n v="0"/>
    <n v="23"/>
    <n v="23"/>
    <n v="45534.166666666664"/>
    <n v="1"/>
  </r>
  <r>
    <s v="Cases &amp; Composites"/>
    <s v="CAS-217369-J8R1R1"/>
    <s v="Robert Thompson"/>
    <s v="Complete"/>
    <s v="Resolved"/>
    <x v="5"/>
    <m/>
    <s v="24KC334"/>
    <s v="Repair-EA"/>
    <x v="0"/>
    <x v="1"/>
    <x v="1"/>
    <s v="50%"/>
    <d v="2024-06-07T09:10:29"/>
    <m/>
    <m/>
    <x v="317"/>
    <d v="2024-09-11T20:32:13"/>
    <s v="RDAF"/>
    <m/>
    <m/>
    <m/>
    <m/>
    <s v=""/>
    <s v=""/>
    <n v="0"/>
    <n v="93.784386574072414"/>
    <n v="93.784386574072414"/>
    <n v="0"/>
    <n v="0"/>
    <n v="0"/>
    <n v="0"/>
    <n v="0"/>
    <n v="0"/>
    <n v="0"/>
    <n v="0"/>
    <n v="0"/>
    <n v="93.784386574072414"/>
    <n v="93.784386574072414"/>
    <n v="45544.166666666664"/>
    <n v="1"/>
  </r>
  <r>
    <s v="Cases &amp; Composites"/>
    <s v="CAS-223384-X8W2T5"/>
    <s v="Francisco Astiasaran"/>
    <s v="Complete"/>
    <s v="Resolved"/>
    <x v="5"/>
    <m/>
    <s v="24KC545"/>
    <s v="Repair-EA"/>
    <x v="1"/>
    <x v="1"/>
    <x v="3"/>
    <s v="50%"/>
    <d v="2024-08-05T18:11:27"/>
    <m/>
    <m/>
    <x v="348"/>
    <d v="2025-01-06T14:04:58"/>
    <m/>
    <m/>
    <m/>
    <m/>
    <m/>
    <s v=""/>
    <s v=""/>
    <n v="0"/>
    <n v="150.45038194444351"/>
    <n v="150.45038194444351"/>
    <n v="0"/>
    <n v="0"/>
    <n v="0"/>
    <n v="0"/>
    <n v="0"/>
    <n v="0"/>
    <n v="0"/>
    <n v="0"/>
    <n v="0"/>
    <n v="150.45038194444351"/>
    <n v="150.45038194444351"/>
    <n v="45660.208333333336"/>
    <n v="1"/>
  </r>
  <r>
    <s v="Cases &amp; Composites"/>
    <s v="CAS-225372-M4C7W4"/>
    <s v="Robert Thompson"/>
    <s v="Complete"/>
    <s v="Resolved"/>
    <x v="5"/>
    <m/>
    <s v="20CCH78A"/>
    <s v="Repair-EA"/>
    <x v="1"/>
    <x v="0"/>
    <x v="0"/>
    <m/>
    <d v="2024-08-26T09:36:48"/>
    <m/>
    <m/>
    <x v="349"/>
    <d v="2025-01-03T20:51:46"/>
    <m/>
    <m/>
    <m/>
    <m/>
    <m/>
    <s v=""/>
    <s v=""/>
    <n v="0"/>
    <n v="128.80777777777985"/>
    <n v="128.80777777777985"/>
    <n v="0"/>
    <n v="0"/>
    <n v="0"/>
    <n v="0"/>
    <n v="0"/>
    <n v="0"/>
    <n v="0"/>
    <n v="0"/>
    <n v="0"/>
    <n v="128.80777777777985"/>
    <n v="128.80777777777985"/>
    <n v="45659.208333333336"/>
    <n v="1"/>
  </r>
  <r>
    <s v="Cases &amp; Composites"/>
    <s v="CAS-226385-V3R5F1"/>
    <s v="Robert Thompson"/>
    <s v="Complete"/>
    <s v="Resolved"/>
    <x v="5"/>
    <m/>
    <s v="24KC570"/>
    <s v="Repair-EA"/>
    <x v="1"/>
    <x v="1"/>
    <x v="3"/>
    <m/>
    <d v="2024-09-04T12:36:36"/>
    <m/>
    <m/>
    <x v="63"/>
    <d v="2025-01-07T21:41:05"/>
    <m/>
    <m/>
    <m/>
    <m/>
    <m/>
    <s v=""/>
    <s v=""/>
    <n v="0"/>
    <n v="124.6829166666721"/>
    <n v="124.6829166666721"/>
    <n v="0"/>
    <n v="0"/>
    <n v="0"/>
    <n v="0"/>
    <n v="0"/>
    <n v="0"/>
    <n v="0"/>
    <n v="0"/>
    <n v="0"/>
    <n v="124.6829166666721"/>
    <n v="124.6829166666721"/>
    <n v="45664.208333333336"/>
    <n v="1"/>
  </r>
  <r>
    <s v="Cases &amp; Composites"/>
    <s v="CAS-223370-J5W3J6"/>
    <s v="Francisco Astiasaran"/>
    <s v="Complete"/>
    <s v="Resolved"/>
    <x v="5"/>
    <m/>
    <s v="24KC623"/>
    <s v="Repair-EA"/>
    <x v="1"/>
    <x v="1"/>
    <x v="3"/>
    <m/>
    <d v="2024-08-05T16:46:19"/>
    <m/>
    <m/>
    <x v="350"/>
    <d v="2024-12-03T18:14:07"/>
    <m/>
    <m/>
    <m/>
    <m/>
    <m/>
    <s v=""/>
    <s v=""/>
    <n v="0"/>
    <n v="119.50950231481693"/>
    <n v="119.50950231481693"/>
    <n v="0"/>
    <n v="0"/>
    <n v="0"/>
    <n v="0"/>
    <n v="0"/>
    <n v="0"/>
    <n v="0"/>
    <n v="0"/>
    <n v="0"/>
    <n v="119.50950231481693"/>
    <n v="119.50950231481693"/>
    <n v="45629.208333333336"/>
    <n v="1"/>
  </r>
  <r>
    <s v="Cases &amp; Composites"/>
    <s v="CAS-227019-P5R2P1"/>
    <s v="Robert Thompson"/>
    <s v="Complete"/>
    <s v="Resolved"/>
    <x v="5"/>
    <m/>
    <s v="24CCL61B"/>
    <s v="Repair-EA"/>
    <x v="0"/>
    <x v="0"/>
    <x v="3"/>
    <m/>
    <d v="2024-09-10T14:36:28"/>
    <m/>
    <m/>
    <x v="347"/>
    <d v="2024-09-19T19:10:36"/>
    <m/>
    <m/>
    <m/>
    <m/>
    <m/>
    <s v=""/>
    <s v=""/>
    <n v="0"/>
    <n v="8.5580092592572328"/>
    <n v="8.5580092592572328"/>
    <n v="0"/>
    <n v="0"/>
    <n v="0"/>
    <n v="0"/>
    <n v="0"/>
    <n v="0"/>
    <n v="0"/>
    <n v="0"/>
    <n v="0"/>
    <n v="8.5580092592572328"/>
    <n v="8.5580092592572328"/>
    <n v="45554.166666666664"/>
    <n v="1"/>
  </r>
  <r>
    <s v="Cases &amp; Composites"/>
    <n v="107594"/>
    <s v="Jia Chen"/>
    <s v="Complete"/>
    <s v="Closed"/>
    <x v="5"/>
    <m/>
    <s v="24FC311"/>
    <s v="Repair-EA"/>
    <x v="0"/>
    <x v="2"/>
    <x v="3"/>
    <s v="50%"/>
    <d v="2024-08-12T04:00:00"/>
    <m/>
    <m/>
    <x v="313"/>
    <d v="2024-11-07T19:22:49"/>
    <m/>
    <d v="2024-09-26T04:00:00"/>
    <d v="2024-09-27T04:00:00"/>
    <d v="2024-09-27T04:00:00"/>
    <d v="2024-09-30T04:00:00"/>
    <n v="1"/>
    <n v="3"/>
    <n v="4"/>
    <n v="87.041666666671517"/>
    <n v="83.041666666671517"/>
    <n v="0"/>
    <n v="0"/>
    <n v="0"/>
    <n v="0"/>
    <n v="0"/>
    <n v="0"/>
    <n v="0"/>
    <n v="0"/>
    <n v="0"/>
    <n v="87.041666666671517"/>
    <n v="83.041666666671517"/>
    <n v="45603.208333333336"/>
    <n v="1"/>
  </r>
  <r>
    <s v="Cases &amp; Composites"/>
    <s v="CAS-223618-X3Z1R4"/>
    <s v="Jia Chen"/>
    <s v="Complete"/>
    <s v="Resolved"/>
    <x v="5"/>
    <m/>
    <s v="24CCQ20"/>
    <s v="Repair-EA"/>
    <x v="0"/>
    <x v="0"/>
    <x v="0"/>
    <s v="75%"/>
    <d v="2024-08-07T17:18:34"/>
    <m/>
    <m/>
    <x v="212"/>
    <d v="2024-11-05T14:07:13"/>
    <s v="Nov"/>
    <m/>
    <m/>
    <m/>
    <m/>
    <s v=""/>
    <s v=""/>
    <n v="0"/>
    <n v="88.48710648148699"/>
    <n v="88.48710648148699"/>
    <n v="0"/>
    <n v="4.9938314699102193"/>
    <n v="0"/>
    <n v="0"/>
    <n v="0"/>
    <n v="0"/>
    <n v="0"/>
    <n v="0"/>
    <n v="4.9938314699102193"/>
    <n v="83.49327501157677"/>
    <n v="83.49327501157677"/>
    <n v="45600.208333333336"/>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Cases &amp; Composites"/>
    <n v="106493"/>
    <x v="0"/>
    <s v="Sean Squire"/>
    <x v="0"/>
    <x v="0"/>
    <x v="0"/>
    <s v="false"/>
    <s v="24FC282"/>
    <s v="Repair-EA"/>
    <s v="OTC"/>
    <s v="Complete"/>
    <s v="1-Urgent"/>
    <n v="4"/>
    <d v="2024-06-13T04:00:00"/>
    <d v="2025-02-17T05:00:00"/>
    <s v="PW2000"/>
    <s v="Jia Chen"/>
    <s v="75%"/>
  </r>
  <r>
    <s v="Cases &amp; Composites"/>
    <n v="106493"/>
    <x v="0"/>
    <s v="Sean Squire"/>
    <x v="1"/>
    <x v="1"/>
    <x v="1"/>
    <s v="false"/>
    <s v="24FC282"/>
    <s v="Repair-EA"/>
    <s v="OTC"/>
    <s v="Complete"/>
    <s v="1-Urgent"/>
    <n v="4"/>
    <d v="2024-06-13T04:00:00"/>
    <d v="2025-02-17T05:00:00"/>
    <s v="PW2000"/>
    <s v="Jia Chen"/>
    <s v="75%"/>
  </r>
  <r>
    <s v="Cases &amp; Composites"/>
    <n v="106493"/>
    <x v="0"/>
    <s v="Sean Squire"/>
    <x v="2"/>
    <x v="2"/>
    <x v="2"/>
    <s v="false"/>
    <s v="24FC282"/>
    <s v="Repair-EA"/>
    <s v="OTC"/>
    <s v="Complete"/>
    <s v="1-Urgent"/>
    <n v="4"/>
    <d v="2024-06-13T04:00:00"/>
    <d v="2025-02-17T05:00:00"/>
    <s v="PW2000"/>
    <s v="Jia Chen"/>
    <s v="75%"/>
  </r>
  <r>
    <s v="Cases &amp; Composites"/>
    <n v="107426"/>
    <x v="1"/>
    <s v="Thomas A Vetere"/>
    <x v="3"/>
    <x v="2"/>
    <x v="2"/>
    <s v="true"/>
    <s v="24FC336"/>
    <s v="Repair-EA"/>
    <s v="OTC"/>
    <s v="Complete"/>
    <s v="2-Routine"/>
    <n v="22"/>
    <d v="2024-08-05T04:00:00"/>
    <d v="2025-02-26T05:00:00"/>
    <s v="PW2000"/>
    <s v="Jia Chen"/>
    <s v="75%"/>
  </r>
  <r>
    <s v="Cases &amp; Composites"/>
    <n v="108880"/>
    <x v="2"/>
    <s v="Jorge L Pardo"/>
    <x v="4"/>
    <x v="3"/>
    <x v="3"/>
    <s v="false"/>
    <s v="24FC375"/>
    <s v="Repair-EA"/>
    <s v="OTC"/>
    <s v="Complete"/>
    <s v="1-Urgent"/>
    <n v="2"/>
    <d v="2024-10-10T04:00:00"/>
    <d v="2025-02-20T05:00:00"/>
    <s v="PW2000"/>
    <s v="Jia Chen"/>
    <s v="75%"/>
  </r>
  <r>
    <s v="Cases &amp; Composites"/>
    <n v="108959"/>
    <x v="1"/>
    <s v="Adam Lozon"/>
    <x v="5"/>
    <x v="4"/>
    <x v="4"/>
    <s v="false"/>
    <s v="25FC009"/>
    <s v="Repair-EA"/>
    <s v="OTC"/>
    <s v="Complete"/>
    <s v="1-Urgent"/>
    <n v="10"/>
    <d v="2024-10-15T04:00:00"/>
    <d v="2025-04-25T04:00:00"/>
    <s v="PW2000"/>
    <s v="Francisco Astiasaran"/>
    <s v="50%"/>
  </r>
  <r>
    <s v="Cases &amp; Composites"/>
    <n v="108959"/>
    <x v="1"/>
    <s v="Adam Lozon"/>
    <x v="6"/>
    <x v="3"/>
    <x v="3"/>
    <s v="false"/>
    <s v="25FC009"/>
    <s v="Repair-EA"/>
    <s v="OTC"/>
    <s v="Complete"/>
    <s v="1-Urgent"/>
    <n v="10"/>
    <d v="2024-10-15T04:00:00"/>
    <d v="2025-04-25T04:00:00"/>
    <s v="PW2000"/>
    <s v="Francisco Astiasaran"/>
    <s v="50%"/>
  </r>
  <r>
    <s v="Cases &amp; Composites"/>
    <n v="108959"/>
    <x v="1"/>
    <s v="Adam Lozon"/>
    <x v="7"/>
    <x v="3"/>
    <x v="3"/>
    <s v="false"/>
    <s v="25FC009"/>
    <s v="Repair-EA"/>
    <s v="OTC"/>
    <s v="Complete"/>
    <s v="1-Urgent"/>
    <n v="10"/>
    <d v="2024-10-15T04:00:00"/>
    <d v="2025-04-25T04:00:00"/>
    <s v="PW2000"/>
    <s v="Francisco Astiasaran"/>
    <s v="50%"/>
  </r>
  <r>
    <s v="Cases &amp; Composites"/>
    <n v="109083"/>
    <x v="0"/>
    <s v="Patton Conroy"/>
    <x v="8"/>
    <x v="4"/>
    <x v="5"/>
    <s v="false"/>
    <s v="24FC390"/>
    <s v="Repair-EA"/>
    <s v="OTC"/>
    <s v="Complete"/>
    <s v="1-Urgent"/>
    <m/>
    <d v="2024-10-18T04:00:00"/>
    <d v="2025-03-20T04:00:00"/>
    <s v="PW2000"/>
    <s v="Ferdin Mustafa"/>
    <s v="75%"/>
  </r>
  <r>
    <s v="Cases &amp; Composites"/>
    <n v="109083"/>
    <x v="2"/>
    <s v="Patton Conroy"/>
    <x v="9"/>
    <x v="0"/>
    <x v="6"/>
    <s v="true"/>
    <s v="24FC390"/>
    <s v="Repair-EA"/>
    <s v="OTC"/>
    <s v="Complete"/>
    <s v="1-Urgent"/>
    <m/>
    <d v="2024-10-18T04:00:00"/>
    <d v="2025-03-20T04:00:00"/>
    <s v="PW2000"/>
    <s v="Ferdin Mustafa"/>
    <s v="75%"/>
  </r>
  <r>
    <s v="Cases &amp; Composites"/>
    <n v="109545"/>
    <x v="1"/>
    <s v="Adam Lozon"/>
    <x v="10"/>
    <x v="3"/>
    <x v="3"/>
    <s v="false"/>
    <s v="24FC364"/>
    <s v="Repair-EA"/>
    <s v="OTC"/>
    <s v="Complete"/>
    <s v="2-Routine"/>
    <n v="16"/>
    <d v="2024-11-11T05:00:00"/>
    <d v="2025-02-26T05:00:00"/>
    <s v="PW2000"/>
    <s v="Francisco Astiasaran"/>
    <s v="75%"/>
  </r>
  <r>
    <s v="Cases &amp; Composites"/>
    <n v="109545"/>
    <x v="1"/>
    <s v="Adam Lozon"/>
    <x v="11"/>
    <x v="0"/>
    <x v="0"/>
    <s v="false"/>
    <s v="24FC364"/>
    <s v="Repair-EA"/>
    <s v="OTC"/>
    <s v="Complete"/>
    <s v="2-Routine"/>
    <n v="16"/>
    <d v="2024-11-11T05:00:00"/>
    <d v="2025-02-26T05:00:00"/>
    <s v="PW2000"/>
    <s v="Francisco Astiasaran"/>
    <s v="75%"/>
  </r>
  <r>
    <s v="Cases &amp; Composites"/>
    <n v="109545"/>
    <x v="1"/>
    <s v="Adam Lozon"/>
    <x v="12"/>
    <x v="2"/>
    <x v="2"/>
    <s v="false"/>
    <s v="24FC364"/>
    <s v="Repair-EA"/>
    <s v="OTC"/>
    <s v="Complete"/>
    <s v="2-Routine"/>
    <n v="16"/>
    <d v="2024-11-11T05:00:00"/>
    <d v="2025-02-26T05:00:00"/>
    <s v="PW2000"/>
    <s v="Francisco Astiasaran"/>
    <s v="75%"/>
  </r>
  <r>
    <s v="Cases &amp; Composites"/>
    <n v="109545"/>
    <x v="1"/>
    <s v="Adam Lozon"/>
    <x v="13"/>
    <x v="0"/>
    <x v="6"/>
    <s v="false"/>
    <s v="24FC364"/>
    <s v="Repair-EA"/>
    <s v="OTC"/>
    <s v="Complete"/>
    <s v="2-Routine"/>
    <n v="16"/>
    <d v="2024-11-11T05:00:00"/>
    <d v="2025-02-26T05:00:00"/>
    <s v="PW2000"/>
    <s v="Francisco Astiasaran"/>
    <s v="75%"/>
  </r>
  <r>
    <s v="Cases &amp; Composites"/>
    <n v="109710"/>
    <x v="1"/>
    <s v="Thomas A Vetere"/>
    <x v="14"/>
    <x v="0"/>
    <x v="7"/>
    <s v="true"/>
    <s v="24KC492C"/>
    <s v="Repair-EA"/>
    <s v="OTC"/>
    <s v="Complete"/>
    <s v="2-Routine"/>
    <m/>
    <d v="2024-11-20T05:00:00"/>
    <d v="2025-05-23T04:00:00"/>
    <s v="PW4000"/>
    <s v="Francisco Astiasaran"/>
    <s v="75%"/>
  </r>
  <r>
    <s v="Cases &amp; Composites"/>
    <n v="109710"/>
    <x v="1"/>
    <s v="Thomas A Vetere"/>
    <x v="15"/>
    <x v="2"/>
    <x v="2"/>
    <s v="false"/>
    <s v="24KC492C"/>
    <s v="Repair-EA"/>
    <s v="OTC"/>
    <s v="Complete"/>
    <s v="2-Routine"/>
    <m/>
    <d v="2024-11-20T05:00:00"/>
    <d v="2025-05-23T04:00:00"/>
    <s v="PW4000"/>
    <s v="Francisco Astiasaran"/>
    <s v="75%"/>
  </r>
  <r>
    <s v="Cases &amp; Composites"/>
    <n v="109710"/>
    <x v="1"/>
    <s v="Thomas A Vetere"/>
    <x v="16"/>
    <x v="2"/>
    <x v="8"/>
    <s v="false"/>
    <s v="24KC492C"/>
    <s v="Repair-EA"/>
    <s v="OTC"/>
    <s v="Complete"/>
    <s v="2-Routine"/>
    <m/>
    <d v="2024-11-20T05:00:00"/>
    <d v="2025-05-23T04:00:00"/>
    <s v="PW4000"/>
    <s v="Francisco Astiasaran"/>
    <s v="75%"/>
  </r>
  <r>
    <s v="Cases &amp; Composites"/>
    <n v="109887"/>
    <x v="0"/>
    <s v="Sean Squire"/>
    <x v="17"/>
    <x v="2"/>
    <x v="9"/>
    <s v="false"/>
    <s v="24FC396"/>
    <s v="Repair-EA"/>
    <s v="OTC"/>
    <s v="Complete"/>
    <s v="2-Routine"/>
    <m/>
    <d v="2024-12-02T05:00:00"/>
    <d v="2025-03-07T05:00:00"/>
    <s v="PW2000"/>
    <s v="Jia Chen"/>
    <s v="75%"/>
  </r>
  <r>
    <s v="Cases &amp; Composites"/>
    <n v="110045"/>
    <x v="1"/>
    <s v="Adam Lozon"/>
    <x v="18"/>
    <x v="0"/>
    <x v="6"/>
    <s v="false"/>
    <s v="25FC089"/>
    <s v="Repair-EA"/>
    <s v="OTC"/>
    <s v="Complete"/>
    <s v="1-Urgent"/>
    <n v="11"/>
    <d v="2024-12-10T05:00:00"/>
    <d v="2025-04-29T04:00:00"/>
    <s v="PW2000"/>
    <s v="Francisco Astiasaran"/>
    <s v="75%"/>
  </r>
  <r>
    <s v="Cases &amp; Composites"/>
    <n v="110127"/>
    <x v="2"/>
    <s v="Jason Field"/>
    <x v="19"/>
    <x v="0"/>
    <x v="0"/>
    <s v="false"/>
    <s v="25FC026"/>
    <s v="Repair-EA"/>
    <s v="EM"/>
    <s v="Incomplete"/>
    <s v="2-Routine"/>
    <n v="36"/>
    <d v="2024-12-12T05:00:00"/>
    <d v="2025-08-12T04:00:00"/>
    <s v="PW2000"/>
    <s v="Austin Bryant"/>
    <s v="75%"/>
  </r>
  <r>
    <s v="Cases &amp; Composites"/>
    <n v="110312"/>
    <x v="2"/>
    <s v="Vincent Ybanez"/>
    <x v="20"/>
    <x v="0"/>
    <x v="10"/>
    <s v="false"/>
    <s v="25FC004"/>
    <s v="Repair-EA"/>
    <s v="OTC"/>
    <s v="Complete"/>
    <s v="2-Routine"/>
    <n v="12"/>
    <d v="2024-12-27T05:00:00"/>
    <d v="2025-05-02T04:00:00"/>
    <s v="PW2000"/>
    <s v="Ferdin Mustafa"/>
    <s v="75%"/>
  </r>
  <r>
    <s v="Cases &amp; Composites"/>
    <n v="110312"/>
    <x v="2"/>
    <s v="Vincent Ybanez"/>
    <x v="21"/>
    <x v="0"/>
    <x v="6"/>
    <s v="false"/>
    <s v="25FC004"/>
    <s v="Repair-EA"/>
    <s v="OTC"/>
    <s v="Complete"/>
    <s v="2-Routine"/>
    <n v="12"/>
    <d v="2024-12-27T05:00:00"/>
    <d v="2025-05-02T04:00:00"/>
    <s v="PW2000"/>
    <s v="Ferdin Mustafa"/>
    <s v="75%"/>
  </r>
  <r>
    <s v="Cases &amp; Composites"/>
    <n v="110312"/>
    <x v="2"/>
    <s v="Vincent Ybanez"/>
    <x v="22"/>
    <x v="2"/>
    <x v="11"/>
    <s v="false"/>
    <s v="25FC004"/>
    <s v="Repair-EA"/>
    <s v="OTC"/>
    <s v="Complete"/>
    <s v="2-Routine"/>
    <n v="12"/>
    <d v="2024-12-27T05:00:00"/>
    <d v="2025-05-02T04:00:00"/>
    <s v="PW2000"/>
    <s v="Ferdin Mustafa"/>
    <s v="75%"/>
  </r>
  <r>
    <s v="Cases &amp; Composites"/>
    <n v="110312"/>
    <x v="2"/>
    <s v="Vincent Ybanez"/>
    <x v="23"/>
    <x v="2"/>
    <x v="9"/>
    <s v="false"/>
    <s v="25FC004"/>
    <s v="Repair-EA"/>
    <s v="OTC"/>
    <s v="Complete"/>
    <s v="2-Routine"/>
    <n v="12"/>
    <d v="2024-12-27T05:00:00"/>
    <d v="2025-05-02T04:00:00"/>
    <s v="PW2000"/>
    <s v="Ferdin Mustafa"/>
    <s v="75%"/>
  </r>
  <r>
    <s v="Cases &amp; Composites"/>
    <n v="110312"/>
    <x v="2"/>
    <s v="Vincent Ybanez"/>
    <x v="24"/>
    <x v="3"/>
    <x v="12"/>
    <s v="false"/>
    <s v="25FC004"/>
    <s v="Repair-EA"/>
    <s v="OTC"/>
    <s v="Complete"/>
    <s v="2-Routine"/>
    <n v="12"/>
    <d v="2024-12-27T05:00:00"/>
    <d v="2025-05-02T04:00:00"/>
    <s v="PW2000"/>
    <s v="Ferdin Mustafa"/>
    <s v="75%"/>
  </r>
  <r>
    <s v="Cases &amp; Composites"/>
    <n v="110856"/>
    <x v="2"/>
    <s v="Jorge L Pardo"/>
    <x v="25"/>
    <x v="3"/>
    <x v="3"/>
    <s v="false"/>
    <s v="25FC035"/>
    <s v="Repair-EA"/>
    <s v="OTC"/>
    <s v="Complete"/>
    <s v="2-Routine"/>
    <n v="14"/>
    <d v="2025-01-29T05:00:00"/>
    <d v="2025-07-30T04:00:00"/>
    <s v="PW2000"/>
    <s v="Austin Bryant"/>
    <s v="50%"/>
  </r>
  <r>
    <s v="Cases &amp; Composites"/>
    <n v="111022"/>
    <x v="0"/>
    <s v="Sean Squire"/>
    <x v="26"/>
    <x v="0"/>
    <x v="0"/>
    <s v="true"/>
    <s v="25FC054"/>
    <s v="Repair-EA"/>
    <s v="OTC"/>
    <s v="Complete"/>
    <s v="1-Urgent"/>
    <m/>
    <d v="2025-02-06T05:00:00"/>
    <d v="2025-03-28T04:00:00"/>
    <s v="PW2000"/>
    <s v="Jia Chen"/>
    <s v="75%"/>
  </r>
  <r>
    <s v="Cases &amp; Composites"/>
    <n v="111053"/>
    <x v="2"/>
    <s v="Vincent Ybanez"/>
    <x v="27"/>
    <x v="1"/>
    <x v="1"/>
    <s v="false"/>
    <s v="25FC029"/>
    <s v="Repair-EA"/>
    <s v="OTC"/>
    <s v="Complete"/>
    <s v="1-Urgent"/>
    <m/>
    <d v="2025-02-07T05:00:00"/>
    <d v="2025-02-28T05:00:00"/>
    <s v="PW2000"/>
    <s v="Ferdin Mustafa"/>
    <s v="75%"/>
  </r>
  <r>
    <s v="Cases &amp; Composites"/>
    <n v="111053"/>
    <x v="2"/>
    <s v="Vincent Ybanez"/>
    <x v="28"/>
    <x v="0"/>
    <x v="10"/>
    <s v="false"/>
    <s v="25FC029"/>
    <s v="Repair-EA"/>
    <s v="OTC"/>
    <s v="Complete"/>
    <s v="1-Urgent"/>
    <m/>
    <d v="2025-02-07T05:00:00"/>
    <d v="2025-02-28T05:00:00"/>
    <s v="PW2000"/>
    <s v="Ferdin Mustafa"/>
    <s v="75%"/>
  </r>
  <r>
    <s v="Cases &amp; Composites"/>
    <n v="111053"/>
    <x v="2"/>
    <s v="Vincent Ybanez"/>
    <x v="29"/>
    <x v="2"/>
    <x v="13"/>
    <s v="false"/>
    <s v="25FC029"/>
    <s v="Repair-EA"/>
    <s v="OTC"/>
    <s v="Complete"/>
    <s v="1-Urgent"/>
    <m/>
    <d v="2025-02-07T05:00:00"/>
    <d v="2025-02-28T05:00:00"/>
    <s v="PW2000"/>
    <s v="Ferdin Mustafa"/>
    <s v="75%"/>
  </r>
  <r>
    <s v="Cases &amp; Composites"/>
    <n v="111053"/>
    <x v="2"/>
    <s v="Vincent Ybanez"/>
    <x v="30"/>
    <x v="2"/>
    <x v="2"/>
    <s v="false"/>
    <s v="25FC029"/>
    <s v="Repair-EA"/>
    <s v="OTC"/>
    <s v="Complete"/>
    <s v="1-Urgent"/>
    <m/>
    <d v="2025-02-07T05:00:00"/>
    <d v="2025-02-28T05:00:00"/>
    <s v="PW2000"/>
    <s v="Ferdin Mustafa"/>
    <s v="75%"/>
  </r>
  <r>
    <s v="Cases &amp; Composites"/>
    <n v="111053"/>
    <x v="2"/>
    <s v="Vincent Ybanez"/>
    <x v="31"/>
    <x v="2"/>
    <x v="9"/>
    <s v="false"/>
    <s v="25FC029"/>
    <s v="Repair-EA"/>
    <s v="OTC"/>
    <s v="Complete"/>
    <s v="1-Urgent"/>
    <m/>
    <d v="2025-02-07T05:00:00"/>
    <d v="2025-02-28T05:00:00"/>
    <s v="PW2000"/>
    <s v="Ferdin Mustafa"/>
    <s v="75%"/>
  </r>
  <r>
    <s v="Cases &amp; Composites"/>
    <n v="111315"/>
    <x v="1"/>
    <s v="Adam Lozon"/>
    <x v="32"/>
    <x v="1"/>
    <x v="14"/>
    <s v="false"/>
    <s v="25FC140"/>
    <s v="Repair-EA"/>
    <s v="OTC"/>
    <s v="Complete"/>
    <s v="1-Urgent"/>
    <n v="10"/>
    <d v="2025-02-24T05:00:00"/>
    <d v="2025-07-11T04:00:00"/>
    <s v="PW2000"/>
    <s v="Austin Bryant"/>
    <s v="50%"/>
  </r>
  <r>
    <s v="Cases &amp; Composites"/>
    <n v="111335"/>
    <x v="1"/>
    <s v="Adam Lozon"/>
    <x v="33"/>
    <x v="2"/>
    <x v="2"/>
    <s v="false"/>
    <s v="25FC058"/>
    <s v="Repair-EA"/>
    <s v="OTC"/>
    <s v="Complete"/>
    <s v="1-Urgent"/>
    <m/>
    <d v="2025-02-24T05:00:00"/>
    <d v="2025-06-11T04:00:00"/>
    <s v="PW2000"/>
    <s v="Francisco Astiasaran"/>
    <s v="75%"/>
  </r>
  <r>
    <s v="Cases &amp; Composites"/>
    <n v="111335"/>
    <x v="1"/>
    <s v="Adam Lozon"/>
    <x v="34"/>
    <x v="3"/>
    <x v="3"/>
    <s v="false"/>
    <s v="25FC058"/>
    <s v="Repair-EA"/>
    <s v="OTC"/>
    <s v="Complete"/>
    <s v="1-Urgent"/>
    <m/>
    <d v="2025-02-24T05:00:00"/>
    <d v="2025-06-11T04:00:00"/>
    <s v="PW2000"/>
    <s v="Francisco Astiasaran"/>
    <s v="75%"/>
  </r>
  <r>
    <s v="Cases &amp; Composites"/>
    <n v="111395"/>
    <x v="2"/>
    <s v="Vincent Ybanez"/>
    <x v="35"/>
    <x v="0"/>
    <x v="15"/>
    <s v="false"/>
    <s v="25FC153"/>
    <s v="Repair-EA"/>
    <s v="OTC"/>
    <s v="Complete"/>
    <s v="1-Urgent"/>
    <n v="12"/>
    <d v="2025-02-26T05:00:00"/>
    <d v="2025-07-11T04:00:00"/>
    <s v="PW2000"/>
    <s v="Austin Bryant"/>
    <s v="75%"/>
  </r>
  <r>
    <s v="Cases &amp; Composites"/>
    <n v="111395"/>
    <x v="2"/>
    <s v="Vincent Ybanez"/>
    <x v="36"/>
    <x v="0"/>
    <x v="16"/>
    <s v="false"/>
    <s v="25FC153"/>
    <s v="Repair-EA"/>
    <s v="OTC"/>
    <s v="Complete"/>
    <s v="1-Urgent"/>
    <n v="12"/>
    <d v="2025-02-26T05:00:00"/>
    <d v="2025-07-11T04:00:00"/>
    <s v="PW2000"/>
    <s v="Austin Bryant"/>
    <s v="75%"/>
  </r>
  <r>
    <s v="Cases &amp; Composites"/>
    <n v="111395"/>
    <x v="2"/>
    <s v="Vincent Ybanez"/>
    <x v="37"/>
    <x v="2"/>
    <x v="2"/>
    <s v="false"/>
    <s v="25FC153"/>
    <s v="Repair-EA"/>
    <s v="OTC"/>
    <s v="Complete"/>
    <s v="1-Urgent"/>
    <n v="12"/>
    <d v="2025-02-26T05:00:00"/>
    <d v="2025-07-11T04:00:00"/>
    <s v="PW2000"/>
    <s v="Austin Bryant"/>
    <s v="75%"/>
  </r>
  <r>
    <s v="Cases &amp; Composites"/>
    <n v="111395"/>
    <x v="2"/>
    <s v="Vincent Ybanez"/>
    <x v="38"/>
    <x v="2"/>
    <x v="8"/>
    <s v="false"/>
    <s v="25FC153"/>
    <s v="Repair-EA"/>
    <s v="OTC"/>
    <s v="Complete"/>
    <s v="1-Urgent"/>
    <n v="12"/>
    <d v="2025-02-26T05:00:00"/>
    <d v="2025-07-11T04:00:00"/>
    <s v="PW2000"/>
    <s v="Austin Bryant"/>
    <s v="75%"/>
  </r>
  <r>
    <s v="Cases &amp; Composites"/>
    <n v="111395"/>
    <x v="2"/>
    <s v="Vincent Ybanez"/>
    <x v="39"/>
    <x v="3"/>
    <x v="3"/>
    <s v="false"/>
    <s v="25FC153"/>
    <s v="Repair-EA"/>
    <s v="OTC"/>
    <s v="Complete"/>
    <s v="1-Urgent"/>
    <n v="12"/>
    <d v="2025-02-26T05:00:00"/>
    <d v="2025-07-11T04:00:00"/>
    <s v="PW2000"/>
    <s v="Austin Bryant"/>
    <s v="75%"/>
  </r>
  <r>
    <s v="Cases &amp; Composites"/>
    <n v="111669"/>
    <x v="1"/>
    <s v="Thomas A Vetere"/>
    <x v="40"/>
    <x v="2"/>
    <x v="2"/>
    <s v="false"/>
    <s v="25FC071"/>
    <s v="Repair-EA"/>
    <s v="OTC"/>
    <s v="Complete"/>
    <s v="2-Routine"/>
    <n v="12"/>
    <d v="2025-03-12T04:00:00"/>
    <d v="2025-05-14T04:00:00"/>
    <s v="PW2000"/>
    <s v="Ferdin Mustafa"/>
    <s v="50%"/>
  </r>
  <r>
    <s v="Cases &amp; Composites"/>
    <n v="111746"/>
    <x v="0"/>
    <s v="Sean Squire"/>
    <x v="41"/>
    <x v="1"/>
    <x v="14"/>
    <s v="false"/>
    <s v="25FC081"/>
    <s v="Repair-EA"/>
    <s v="OTC"/>
    <s v="Complete"/>
    <s v="1-Urgent"/>
    <m/>
    <d v="2025-03-14T04:00:00"/>
    <d v="2025-07-25T04:00:00"/>
    <s v="PW2000"/>
    <s v="Jia Chen"/>
    <s v="75%"/>
  </r>
  <r>
    <s v="Cases &amp; Composites"/>
    <n v="111746"/>
    <x v="3"/>
    <s v="Stephen Brannan"/>
    <x v="42"/>
    <x v="0"/>
    <x v="0"/>
    <s v="false"/>
    <s v="25FC081"/>
    <s v="Repair-EA"/>
    <s v="OTC"/>
    <s v="Complete"/>
    <s v="1-Urgent"/>
    <m/>
    <d v="2025-03-14T04:00:00"/>
    <d v="2025-07-25T04:00:00"/>
    <s v="PW2000"/>
    <s v="Jia Chen"/>
    <s v="75%"/>
  </r>
  <r>
    <s v="Cases &amp; Composites"/>
    <n v="111757"/>
    <x v="2"/>
    <s v="Peter Morell"/>
    <x v="43"/>
    <x v="0"/>
    <x v="6"/>
    <s v="false"/>
    <s v="25FC099"/>
    <s v="Repair-EA"/>
    <s v="OTC"/>
    <s v="Complete"/>
    <s v="1-Urgent"/>
    <n v="4"/>
    <d v="2025-03-17T04:00:00"/>
    <d v="2025-07-25T04:00:00"/>
    <s v="PW2000"/>
    <s v="Ferdin Mustafa"/>
    <s v="75%"/>
  </r>
  <r>
    <s v="Cases &amp; Composites"/>
    <n v="111804"/>
    <x v="0"/>
    <s v="Jorge L Pardo"/>
    <x v="44"/>
    <x v="3"/>
    <x v="3"/>
    <s v="false"/>
    <s v="25FC068"/>
    <s v="Repair-EA"/>
    <s v="OTC"/>
    <s v="Complete"/>
    <s v="2-Routine"/>
    <m/>
    <d v="2025-03-18T04:00:00"/>
    <d v="2025-05-16T04:00:00"/>
    <s v="PW2000"/>
    <s v="Ferdin Mustafa"/>
    <s v="75%"/>
  </r>
  <r>
    <s v="Cases &amp; Composites"/>
    <n v="111804"/>
    <x v="0"/>
    <s v="Jorge L Pardo"/>
    <x v="45"/>
    <x v="3"/>
    <x v="3"/>
    <s v="false"/>
    <s v="25FC068"/>
    <s v="Repair-EA"/>
    <s v="OTC"/>
    <s v="Complete"/>
    <s v="2-Routine"/>
    <m/>
    <d v="2025-03-18T04:00:00"/>
    <d v="2025-05-16T04:00:00"/>
    <s v="PW2000"/>
    <s v="Ferdin Mustafa"/>
    <s v="75%"/>
  </r>
  <r>
    <s v="Cases &amp; Composites"/>
    <n v="112727"/>
    <x v="2"/>
    <s v="Christopher Destefano"/>
    <x v="46"/>
    <x v="0"/>
    <x v="6"/>
    <s v="false"/>
    <s v="25FC197"/>
    <s v="Repair-EA"/>
    <s v="OTC"/>
    <s v="Incomplete"/>
    <s v="1-Urgent"/>
    <m/>
    <d v="2025-04-28T04:00:00"/>
    <d v="2025-08-22T04:00:00"/>
    <s v="PW2000"/>
    <s v="Austin Bryant"/>
    <s v="75%"/>
  </r>
  <r>
    <s v="Cases &amp; Composites"/>
    <n v="112750"/>
    <x v="2"/>
    <s v="Vincent Ybanez"/>
    <x v="47"/>
    <x v="0"/>
    <x v="0"/>
    <s v="false"/>
    <s v="25FC108"/>
    <s v="Repair-EA"/>
    <s v="OTC"/>
    <s v="Complete"/>
    <s v="1-Urgent"/>
    <n v="10"/>
    <d v="2025-04-28T04:00:00"/>
    <d v="2025-08-08T04:00:00"/>
    <s v="PW2000"/>
    <s v="Ferdin Mustafa"/>
    <s v="75%"/>
  </r>
  <r>
    <s v="Cases &amp; Composites"/>
    <n v="112750"/>
    <x v="2"/>
    <s v="Vincent Ybanez"/>
    <x v="48"/>
    <x v="1"/>
    <x v="17"/>
    <s v="false"/>
    <s v="25FC108"/>
    <s v="Repair-EA"/>
    <s v="OTC"/>
    <s v="Complete"/>
    <s v="1-Urgent"/>
    <n v="10"/>
    <d v="2025-04-28T04:00:00"/>
    <d v="2025-08-08T04:00:00"/>
    <s v="PW2000"/>
    <s v="Ferdin Mustafa"/>
    <s v="75%"/>
  </r>
  <r>
    <s v="Cases &amp; Composites"/>
    <n v="112750"/>
    <x v="2"/>
    <s v="Vincent Ybanez"/>
    <x v="49"/>
    <x v="0"/>
    <x v="10"/>
    <s v="false"/>
    <s v="25FC108"/>
    <s v="Repair-EA"/>
    <s v="OTC"/>
    <s v="Complete"/>
    <s v="1-Urgent"/>
    <n v="10"/>
    <d v="2025-04-28T04:00:00"/>
    <d v="2025-08-08T04:00:00"/>
    <s v="PW2000"/>
    <s v="Ferdin Mustafa"/>
    <s v="75%"/>
  </r>
  <r>
    <s v="Cases &amp; Composites"/>
    <n v="112750"/>
    <x v="2"/>
    <s v="Vincent Ybanez"/>
    <x v="50"/>
    <x v="0"/>
    <x v="6"/>
    <s v="false"/>
    <s v="25FC108"/>
    <s v="Repair-EA"/>
    <s v="OTC"/>
    <s v="Complete"/>
    <s v="1-Urgent"/>
    <n v="10"/>
    <d v="2025-04-28T04:00:00"/>
    <d v="2025-08-08T04:00:00"/>
    <s v="PW2000"/>
    <s v="Ferdin Mustafa"/>
    <s v="75%"/>
  </r>
  <r>
    <s v="Cases &amp; Composites"/>
    <n v="112750"/>
    <x v="2"/>
    <s v="Vincent Ybanez"/>
    <x v="51"/>
    <x v="2"/>
    <x v="2"/>
    <s v="false"/>
    <s v="25FC108"/>
    <s v="Repair-EA"/>
    <s v="OTC"/>
    <s v="Complete"/>
    <s v="1-Urgent"/>
    <n v="10"/>
    <d v="2025-04-28T04:00:00"/>
    <d v="2025-08-08T04:00:00"/>
    <s v="PW2000"/>
    <s v="Ferdin Mustafa"/>
    <s v="75%"/>
  </r>
  <r>
    <s v="Cases &amp; Composites"/>
    <n v="112750"/>
    <x v="2"/>
    <s v="Vincent Ybanez"/>
    <x v="52"/>
    <x v="2"/>
    <x v="8"/>
    <s v="false"/>
    <s v="25FC108"/>
    <s v="Repair-EA"/>
    <s v="OTC"/>
    <s v="Complete"/>
    <s v="1-Urgent"/>
    <n v="10"/>
    <d v="2025-04-28T04:00:00"/>
    <d v="2025-08-08T04:00:00"/>
    <s v="PW2000"/>
    <s v="Ferdin Mustafa"/>
    <s v="75%"/>
  </r>
  <r>
    <s v="Cases &amp; Composites"/>
    <n v="113320"/>
    <x v="1"/>
    <s v="Thomas A Vetere"/>
    <x v="53"/>
    <x v="2"/>
    <x v="2"/>
    <s v="true"/>
    <s v="24KC525B"/>
    <s v="Repair-EA"/>
    <s v="OTC"/>
    <s v="Complete"/>
    <s v="1-Urgent"/>
    <n v="2"/>
    <d v="2025-05-29T04:00:00"/>
    <d v="2025-07-03T04:00:00"/>
    <s v="PW4000"/>
    <s v="Ferdin Mustafa"/>
    <s v="50%"/>
  </r>
  <r>
    <s v="Cases &amp; Composites"/>
    <n v="113432"/>
    <x v="1"/>
    <s v="Adam Lozon"/>
    <x v="54"/>
    <x v="1"/>
    <x v="18"/>
    <s v="false"/>
    <s v="25FC159"/>
    <s v="Repair-EA"/>
    <s v="OTC"/>
    <s v="Complete"/>
    <s v="1-Urgent"/>
    <n v="13"/>
    <d v="2025-06-05T04:00:00"/>
    <d v="2025-07-18T04:00:00"/>
    <s v="PW2000"/>
    <s v="Austin Bryant"/>
    <s v="75%"/>
  </r>
  <r>
    <s v="Cases &amp; Composites"/>
    <n v="113432"/>
    <x v="1"/>
    <s v="Adam Lozon"/>
    <x v="55"/>
    <x v="0"/>
    <x v="0"/>
    <s v="false"/>
    <s v="25FC159"/>
    <s v="Repair-EA"/>
    <s v="OTC"/>
    <s v="Complete"/>
    <s v="1-Urgent"/>
    <n v="13"/>
    <d v="2025-06-05T04:00:00"/>
    <d v="2025-07-18T04:00:00"/>
    <s v="PW2000"/>
    <s v="Austin Bryant"/>
    <s v="75%"/>
  </r>
  <r>
    <s v="Cases &amp; Composites"/>
    <n v="113432"/>
    <x v="1"/>
    <s v="Adam Lozon"/>
    <x v="56"/>
    <x v="3"/>
    <x v="3"/>
    <s v="false"/>
    <s v="25FC159"/>
    <s v="Repair-EA"/>
    <s v="OTC"/>
    <s v="Complete"/>
    <s v="1-Urgent"/>
    <n v="13"/>
    <d v="2025-06-05T04:00:00"/>
    <d v="2025-07-18T04:00:00"/>
    <s v="PW2000"/>
    <s v="Austin Bryant"/>
    <s v="75%"/>
  </r>
  <r>
    <s v="Cases &amp; Composites"/>
    <n v="113644"/>
    <x v="0"/>
    <s v="Jason Siefker"/>
    <x v="57"/>
    <x v="1"/>
    <x v="17"/>
    <s v="false"/>
    <s v="25FC178"/>
    <s v="Repair-EA"/>
    <s v="OTC"/>
    <s v="Complete"/>
    <s v="2-Routine"/>
    <m/>
    <d v="2025-06-16T04:00:00"/>
    <d v="2025-09-03T04:00:00"/>
    <s v="PW2000"/>
    <s v="Jia Chen"/>
    <s v="75%"/>
  </r>
  <r>
    <s v="Cases &amp; Composites"/>
    <n v="113691"/>
    <x v="2"/>
    <s v="Jason Siefker"/>
    <x v="58"/>
    <x v="1"/>
    <x v="17"/>
    <s v="false"/>
    <s v="25FC184"/>
    <s v="Repair-EA"/>
    <s v="OTC"/>
    <s v="Incomplete"/>
    <s v="1-Urgent"/>
    <m/>
    <d v="2025-06-18T04:00:00"/>
    <d v="2025-09-10T04:00:00"/>
    <s v="PW2000"/>
    <s v="Jia Chen"/>
    <s v="75%"/>
  </r>
  <r>
    <s v="Cases &amp; Composites"/>
    <n v="113762"/>
    <x v="2"/>
    <s v="Brian K Holland"/>
    <x v="59"/>
    <x v="2"/>
    <x v="2"/>
    <s v="false"/>
    <s v="25FC058A"/>
    <s v="Repair-EA"/>
    <s v="OTC"/>
    <s v="Complete"/>
    <s v="1-Urgent"/>
    <m/>
    <d v="2025-06-23T04:00:00"/>
    <d v="2025-07-11T04:00:00"/>
    <s v="PW2000"/>
    <s v="Francisco Astiasaran"/>
    <s v="75%"/>
  </r>
  <r>
    <s v="Cases &amp; Composites"/>
    <n v="114136"/>
    <x v="1"/>
    <s v="Michael Karnas"/>
    <x v="60"/>
    <x v="2"/>
    <x v="2"/>
    <s v="true"/>
    <s v="25FC207"/>
    <s v="Repair-EA"/>
    <s v="OTC"/>
    <s v="Complete"/>
    <s v="1-Urgent"/>
    <m/>
    <d v="2025-07-10T04:00:00"/>
    <d v="2025-07-31T04:00:00"/>
    <s v="PW2000"/>
    <s v="Francisco Astiasaran"/>
    <s v="50%"/>
  </r>
  <r>
    <s v="Cases &amp; Composites"/>
    <n v="114136"/>
    <x v="1"/>
    <s v="Michael Karnas"/>
    <x v="61"/>
    <x v="2"/>
    <x v="2"/>
    <s v="true"/>
    <s v="25FC207"/>
    <s v="Repair-EA"/>
    <s v="OTC"/>
    <s v="Complete"/>
    <s v="1-Urgent"/>
    <m/>
    <d v="2025-07-10T04:00:00"/>
    <d v="2025-07-31T04:00:00"/>
    <s v="PW2000"/>
    <s v="Francisco Astiasaran"/>
    <s v="50%"/>
  </r>
  <r>
    <s v="Cases &amp; Composites"/>
    <n v="114136"/>
    <x v="1"/>
    <s v="Michael Karnas"/>
    <x v="62"/>
    <x v="2"/>
    <x v="2"/>
    <s v="true"/>
    <s v="25FC207"/>
    <s v="Repair-EA"/>
    <s v="OTC"/>
    <s v="Complete"/>
    <s v="1-Urgent"/>
    <m/>
    <d v="2025-07-10T04:00:00"/>
    <d v="2025-07-31T04:00:00"/>
    <s v="PW2000"/>
    <s v="Francisco Astiasaran"/>
    <s v="50%"/>
  </r>
  <r>
    <s v="Cases &amp; Composites"/>
    <n v="114136"/>
    <x v="1"/>
    <s v="Michael Karnas"/>
    <x v="63"/>
    <x v="0"/>
    <x v="15"/>
    <s v="true"/>
    <s v="25FC207"/>
    <s v="Repair-EA"/>
    <s v="OTC"/>
    <s v="Complete"/>
    <s v="1-Urgent"/>
    <m/>
    <d v="2025-07-10T04:00:00"/>
    <d v="2025-07-31T04:00:00"/>
    <s v="PW2000"/>
    <s v="Francisco Astiasaran"/>
    <s v="50%"/>
  </r>
  <r>
    <s v="Cases &amp; Composites"/>
    <n v="97184"/>
    <x v="2"/>
    <s v="Jorge L Pardo"/>
    <x v="64"/>
    <x v="3"/>
    <x v="3"/>
    <s v="false"/>
    <s v="24FC312"/>
    <s v="Repair-EA"/>
    <s v="EM"/>
    <s v="Complete"/>
    <s v="2-Routine"/>
    <m/>
    <d v="2023-03-01T05:00:00"/>
    <d v="2025-03-20T04:00:00"/>
    <s v="PW2000"/>
    <s v="Ferdin Mustafa"/>
    <s v="75%"/>
  </r>
  <r>
    <s v="Cases &amp; Composites"/>
    <n v="97184"/>
    <x v="2"/>
    <s v="Jorge L Pardo"/>
    <x v="65"/>
    <x v="3"/>
    <x v="3"/>
    <s v="false"/>
    <s v="24FC312"/>
    <s v="Repair-EA"/>
    <s v="EM"/>
    <s v="Complete"/>
    <s v="2-Routine"/>
    <m/>
    <d v="2023-03-01T05:00:00"/>
    <d v="2025-03-20T04:00:00"/>
    <s v="PW2000"/>
    <s v="Ferdin Mustafa"/>
    <s v="75%"/>
  </r>
  <r>
    <s v="Cases &amp; Composites"/>
    <n v="97184"/>
    <x v="1"/>
    <s v="Adam Lozon"/>
    <x v="66"/>
    <x v="1"/>
    <x v="1"/>
    <s v="false"/>
    <s v="24FC312"/>
    <s v="Repair-EA"/>
    <s v="EM"/>
    <s v="Complete"/>
    <s v="2-Routine"/>
    <m/>
    <d v="2023-03-01T05:00:00"/>
    <d v="2025-03-20T04:00:00"/>
    <s v="PW2000"/>
    <s v="Ferdin Mustafa"/>
    <s v="75%"/>
  </r>
  <r>
    <s v="Cases &amp; Composites"/>
    <n v="97184"/>
    <x v="1"/>
    <s v="Adam Lozon"/>
    <x v="67"/>
    <x v="2"/>
    <x v="2"/>
    <s v="false"/>
    <s v="24FC312"/>
    <s v="Repair-EA"/>
    <s v="EM"/>
    <s v="Complete"/>
    <s v="2-Routine"/>
    <m/>
    <d v="2023-03-01T05:00:00"/>
    <d v="2025-03-20T04:00:00"/>
    <s v="PW2000"/>
    <s v="Ferdin Mustafa"/>
    <s v="75%"/>
  </r>
  <r>
    <s v="Cases &amp; Composites"/>
    <n v="97184"/>
    <x v="1"/>
    <s v="Adam Lozon"/>
    <x v="68"/>
    <x v="3"/>
    <x v="3"/>
    <s v="false"/>
    <s v="24FC312"/>
    <s v="Repair-EA"/>
    <s v="EM"/>
    <s v="Complete"/>
    <s v="2-Routine"/>
    <m/>
    <d v="2023-03-01T05:00:00"/>
    <d v="2025-03-20T04:00:00"/>
    <s v="PW2000"/>
    <s v="Ferdin Mustafa"/>
    <s v="75%"/>
  </r>
  <r>
    <s v="Cases &amp; Composites"/>
    <s v="CAS-121777-B4M7K7"/>
    <x v="4"/>
    <s v="Jeremy Thayer"/>
    <x v="69"/>
    <x v="5"/>
    <x v="19"/>
    <s v="false"/>
    <s v="23VG104"/>
    <s v="Repair-EA"/>
    <s v="OTC"/>
    <s v="Complete"/>
    <s v="2-Routine"/>
    <n v="13"/>
    <d v="2021-09-10T09:32:54"/>
    <d v="2025-03-12T04:00:00"/>
    <s v="V2500"/>
    <s v="Orlando Melendez Colon"/>
    <m/>
  </r>
  <r>
    <s v="Cases &amp; Composites"/>
    <s v="CAS-155697-S8N7W3"/>
    <x v="1"/>
    <s v="Adam Lozon"/>
    <x v="70"/>
    <x v="0"/>
    <x v="0"/>
    <s v="false"/>
    <s v="22KC509"/>
    <s v="Repair-EA"/>
    <s v="EM"/>
    <s v="Complete"/>
    <s v="2-Routine"/>
    <n v="13"/>
    <d v="2022-08-11T20:38:39"/>
    <d v="2025-02-19T05:00:00"/>
    <s v="PW4000"/>
    <s v="Ferdin Mustafa"/>
    <m/>
  </r>
  <r>
    <s v="Cases &amp; Composites"/>
    <s v="CAS-155697-S8N7W3"/>
    <x v="1"/>
    <s v="Adam Lozon"/>
    <x v="71"/>
    <x v="3"/>
    <x v="3"/>
    <s v="false"/>
    <s v="22KC509"/>
    <s v="Repair-EA"/>
    <s v="EM"/>
    <s v="Complete"/>
    <s v="2-Routine"/>
    <n v="13"/>
    <d v="2022-08-11T20:38:39"/>
    <d v="2025-02-19T05:00:00"/>
    <s v="PW4000"/>
    <s v="Ferdin Mustafa"/>
    <m/>
  </r>
  <r>
    <s v="Cases &amp; Composites"/>
    <s v="CAS-155697-S8N7W3"/>
    <x v="1"/>
    <s v="Adam Lozon"/>
    <x v="72"/>
    <x v="2"/>
    <x v="2"/>
    <s v="false"/>
    <s v="22KC509"/>
    <s v="Repair-EA"/>
    <s v="EM"/>
    <s v="Complete"/>
    <s v="2-Routine"/>
    <n v="13"/>
    <d v="2022-08-11T20:38:39"/>
    <d v="2025-02-19T05:00:00"/>
    <s v="PW4000"/>
    <s v="Ferdin Mustafa"/>
    <m/>
  </r>
  <r>
    <s v="Cases &amp; Composites"/>
    <s v="CAS-160237-G1W8W4"/>
    <x v="2"/>
    <s v="James Evans"/>
    <x v="73"/>
    <x v="0"/>
    <x v="0"/>
    <s v="false"/>
    <s v="25KC236"/>
    <s v="Repair-EA"/>
    <s v="EM"/>
    <s v="Incomplete"/>
    <s v="2-Routine"/>
    <n v="12"/>
    <d v="2022-10-06T22:42:22"/>
    <d v="2025-08-28T04:00:00"/>
    <s v="PW4000"/>
    <s v="Ferdin Mustafa"/>
    <s v="75%"/>
  </r>
  <r>
    <s v="Cases &amp; Composites"/>
    <s v="CAS-160237-G1W8W4"/>
    <x v="2"/>
    <s v="James Evans"/>
    <x v="74"/>
    <x v="0"/>
    <x v="6"/>
    <s v="false"/>
    <s v="25KC236"/>
    <s v="Repair-EA"/>
    <s v="EM"/>
    <s v="Incomplete"/>
    <s v="2-Routine"/>
    <n v="12"/>
    <d v="2022-10-06T22:42:22"/>
    <d v="2025-08-28T04:00:00"/>
    <s v="PW4000"/>
    <s v="Ferdin Mustafa"/>
    <s v="75%"/>
  </r>
  <r>
    <s v="Cases &amp; Composites"/>
    <s v="CAS-167770-F5F8X8"/>
    <x v="1"/>
    <s v="Adam Lozon"/>
    <x v="75"/>
    <x v="3"/>
    <x v="3"/>
    <s v="false"/>
    <s v="13CC675G"/>
    <s v="Repair-EA"/>
    <s v="EM"/>
    <s v="Complete"/>
    <s v="2-Routine"/>
    <m/>
    <d v="2023-01-09T00:53:47"/>
    <d v="2025-02-24T05:00:00"/>
    <s v="PW1000G"/>
    <s v="Francisco Astiasaran"/>
    <m/>
  </r>
  <r>
    <s v="Cases &amp; Composites"/>
    <s v="CAS-181187-B9Z8W4"/>
    <x v="2"/>
    <s v="Vincent Ybanez"/>
    <x v="76"/>
    <x v="1"/>
    <x v="1"/>
    <s v="false"/>
    <s v="23VG186"/>
    <s v="Repair-EA"/>
    <s v="OTC"/>
    <s v="Complete"/>
    <s v="2-Routine"/>
    <n v="14"/>
    <d v="2023-05-25T12:06:55"/>
    <d v="2025-04-09T04:00:00"/>
    <s v="V2500"/>
    <s v="Orlando Melendez Colon"/>
    <m/>
  </r>
  <r>
    <s v="Cases &amp; Composites"/>
    <s v="CAS-181187-B9Z8W4"/>
    <x v="2"/>
    <s v="Vincent Ybanez"/>
    <x v="77"/>
    <x v="1"/>
    <x v="20"/>
    <s v="false"/>
    <s v="23VG186"/>
    <s v="Repair-EA"/>
    <s v="OTC"/>
    <s v="Complete"/>
    <s v="2-Routine"/>
    <n v="14"/>
    <d v="2023-05-25T12:06:55"/>
    <d v="2025-04-09T04:00:00"/>
    <s v="V2500"/>
    <s v="Orlando Melendez Colon"/>
    <m/>
  </r>
  <r>
    <s v="Cases &amp; Composites"/>
    <s v="CAS-181187-B9Z8W4"/>
    <x v="2"/>
    <s v="Vincent Ybanez"/>
    <x v="78"/>
    <x v="1"/>
    <x v="21"/>
    <s v="false"/>
    <s v="23VG186"/>
    <s v="Repair-EA"/>
    <s v="OTC"/>
    <s v="Complete"/>
    <s v="2-Routine"/>
    <n v="14"/>
    <d v="2023-05-25T12:06:55"/>
    <d v="2025-04-09T04:00:00"/>
    <s v="V2500"/>
    <s v="Orlando Melendez Colon"/>
    <m/>
  </r>
  <r>
    <s v="Cases &amp; Composites"/>
    <s v="CAS-181187-B9Z8W4"/>
    <x v="2"/>
    <s v="Vincent Ybanez"/>
    <x v="79"/>
    <x v="0"/>
    <x v="15"/>
    <s v="false"/>
    <s v="23VG186"/>
    <s v="Repair-EA"/>
    <s v="OTC"/>
    <s v="Complete"/>
    <s v="2-Routine"/>
    <n v="14"/>
    <d v="2023-05-25T12:06:55"/>
    <d v="2025-04-09T04:00:00"/>
    <s v="V2500"/>
    <s v="Orlando Melendez Colon"/>
    <m/>
  </r>
  <r>
    <s v="Cases &amp; Composites"/>
    <s v="CAS-181187-B9Z8W4"/>
    <x v="2"/>
    <s v="Vincent Ybanez"/>
    <x v="80"/>
    <x v="0"/>
    <x v="6"/>
    <s v="false"/>
    <s v="23VG186"/>
    <s v="Repair-EA"/>
    <s v="OTC"/>
    <s v="Complete"/>
    <s v="2-Routine"/>
    <n v="14"/>
    <d v="2023-05-25T12:06:55"/>
    <d v="2025-04-09T04:00:00"/>
    <s v="V2500"/>
    <s v="Orlando Melendez Colon"/>
    <m/>
  </r>
  <r>
    <s v="Cases &amp; Composites"/>
    <s v="CAS-181187-B9Z8W4"/>
    <x v="2"/>
    <s v="Vincent Ybanez"/>
    <x v="81"/>
    <x v="0"/>
    <x v="6"/>
    <s v="false"/>
    <s v="23VG186"/>
    <s v="Repair-EA"/>
    <s v="OTC"/>
    <s v="Complete"/>
    <s v="2-Routine"/>
    <n v="14"/>
    <d v="2023-05-25T12:06:55"/>
    <d v="2025-04-09T04:00:00"/>
    <s v="V2500"/>
    <s v="Orlando Melendez Colon"/>
    <m/>
  </r>
  <r>
    <s v="Cases &amp; Composites"/>
    <s v="CAS-181187-B9Z8W4"/>
    <x v="2"/>
    <s v="Vincent Ybanez"/>
    <x v="82"/>
    <x v="2"/>
    <x v="2"/>
    <s v="false"/>
    <s v="23VG186"/>
    <s v="Repair-EA"/>
    <s v="OTC"/>
    <s v="Complete"/>
    <s v="2-Routine"/>
    <n v="14"/>
    <d v="2023-05-25T12:06:55"/>
    <d v="2025-04-09T04:00:00"/>
    <s v="V2500"/>
    <s v="Orlando Melendez Colon"/>
    <m/>
  </r>
  <r>
    <s v="Cases &amp; Composites"/>
    <s v="CAS-181187-B9Z8W4"/>
    <x v="2"/>
    <s v="Vincent Ybanez"/>
    <x v="83"/>
    <x v="2"/>
    <x v="8"/>
    <s v="false"/>
    <s v="23VG186"/>
    <s v="Repair-EA"/>
    <s v="OTC"/>
    <s v="Complete"/>
    <s v="2-Routine"/>
    <n v="14"/>
    <d v="2023-05-25T12:06:55"/>
    <d v="2025-04-09T04:00:00"/>
    <s v="V2500"/>
    <s v="Orlando Melendez Colon"/>
    <m/>
  </r>
  <r>
    <s v="Cases &amp; Composites"/>
    <s v="CAS-182441-V9X0Y1"/>
    <x v="1"/>
    <s v="Adam Lozon"/>
    <x v="84"/>
    <x v="0"/>
    <x v="6"/>
    <s v="false"/>
    <s v="23CCU67"/>
    <s v="Repair-EA"/>
    <s v="OTC"/>
    <s v="Complete"/>
    <s v="2-Routine"/>
    <n v="17"/>
    <d v="2023-06-08T07:49:10"/>
    <d v="2025-06-18T04:00:00"/>
    <s v="PW1000G"/>
    <s v="Francisco Astiasaran"/>
    <m/>
  </r>
  <r>
    <s v="Cases &amp; Composites"/>
    <s v="CAS-182441-V9X0Y1"/>
    <x v="1"/>
    <s v="Adam Lozon"/>
    <x v="85"/>
    <x v="2"/>
    <x v="2"/>
    <s v="false"/>
    <s v="23CCU67"/>
    <s v="Repair-EA"/>
    <s v="OTC"/>
    <s v="Complete"/>
    <s v="2-Routine"/>
    <n v="17"/>
    <d v="2023-06-08T07:49:10"/>
    <d v="2025-06-18T04:00:00"/>
    <s v="PW1000G"/>
    <s v="Francisco Astiasaran"/>
    <m/>
  </r>
  <r>
    <s v="Cases &amp; Composites"/>
    <s v="CAS-182441-V9X0Y1"/>
    <x v="1"/>
    <s v="Adam Lozon"/>
    <x v="86"/>
    <x v="2"/>
    <x v="2"/>
    <s v="false"/>
    <s v="23CCU67"/>
    <s v="Repair-EA"/>
    <s v="OTC"/>
    <s v="Complete"/>
    <s v="2-Routine"/>
    <n v="17"/>
    <d v="2023-06-08T07:49:10"/>
    <d v="2025-06-18T04:00:00"/>
    <s v="PW1000G"/>
    <s v="Francisco Astiasaran"/>
    <m/>
  </r>
  <r>
    <s v="Cases &amp; Composites"/>
    <s v="CAS-182441-V9X0Y1"/>
    <x v="1"/>
    <s v="Adam Lozon"/>
    <x v="87"/>
    <x v="0"/>
    <x v="0"/>
    <s v="false"/>
    <s v="23CCU67"/>
    <s v="Repair-EA"/>
    <s v="OTC"/>
    <s v="Complete"/>
    <s v="2-Routine"/>
    <n v="17"/>
    <d v="2023-06-08T07:49:10"/>
    <d v="2025-06-18T04:00:00"/>
    <s v="PW1000G"/>
    <s v="Francisco Astiasaran"/>
    <m/>
  </r>
  <r>
    <s v="Cases &amp; Composites"/>
    <s v="CAS-185794-L4N4N6"/>
    <x v="0"/>
    <s v="Sean Squire"/>
    <x v="88"/>
    <x v="0"/>
    <x v="0"/>
    <s v="true"/>
    <s v="24KC699"/>
    <s v="Repair-EA"/>
    <s v="EM"/>
    <s v="Incomplete"/>
    <s v="2-Routine"/>
    <n v="15"/>
    <d v="2023-07-12T15:36:14"/>
    <d v="2025-08-07T04:00:00"/>
    <s v="PW4000"/>
    <s v="Jia Chen"/>
    <m/>
  </r>
  <r>
    <s v="Cases &amp; Composites"/>
    <s v="CAS-185794-L4N4N6"/>
    <x v="0"/>
    <s v="Sean Squire"/>
    <x v="89"/>
    <x v="0"/>
    <x v="6"/>
    <s v="true"/>
    <s v="24KC699"/>
    <s v="Repair-EA"/>
    <s v="EM"/>
    <s v="Incomplete"/>
    <s v="2-Routine"/>
    <n v="15"/>
    <d v="2023-07-12T15:36:14"/>
    <d v="2025-08-07T04:00:00"/>
    <s v="PW4000"/>
    <s v="Jia Chen"/>
    <m/>
  </r>
  <r>
    <s v="Cases &amp; Composites"/>
    <s v="CAS-185794-L4N4N6"/>
    <x v="0"/>
    <s v="Sean Squire"/>
    <x v="90"/>
    <x v="0"/>
    <x v="6"/>
    <s v="true"/>
    <s v="24KC699"/>
    <s v="Repair-EA"/>
    <s v="EM"/>
    <s v="Incomplete"/>
    <s v="2-Routine"/>
    <n v="15"/>
    <d v="2023-07-12T15:36:14"/>
    <d v="2025-08-07T04:00:00"/>
    <s v="PW4000"/>
    <s v="Jia Chen"/>
    <m/>
  </r>
  <r>
    <s v="Cases &amp; Composites"/>
    <s v="CAS-185794-L4N4N6"/>
    <x v="0"/>
    <s v="Sean Squire"/>
    <x v="91"/>
    <x v="0"/>
    <x v="6"/>
    <s v="true"/>
    <s v="24KC699"/>
    <s v="Repair-EA"/>
    <s v="EM"/>
    <s v="Incomplete"/>
    <s v="2-Routine"/>
    <n v="15"/>
    <d v="2023-07-12T15:36:14"/>
    <d v="2025-08-07T04:00:00"/>
    <s v="PW4000"/>
    <s v="Jia Chen"/>
    <m/>
  </r>
  <r>
    <s v="Cases &amp; Composites"/>
    <s v="CAS-185794-L4N4N6"/>
    <x v="0"/>
    <s v="Sean Squire"/>
    <x v="92"/>
    <x v="0"/>
    <x v="6"/>
    <s v="true"/>
    <s v="24KC699"/>
    <s v="Repair-EA"/>
    <s v="EM"/>
    <s v="Incomplete"/>
    <s v="2-Routine"/>
    <n v="15"/>
    <d v="2023-07-12T15:36:14"/>
    <d v="2025-08-07T04:00:00"/>
    <s v="PW4000"/>
    <s v="Jia Chen"/>
    <m/>
  </r>
  <r>
    <s v="Cases &amp; Composites"/>
    <s v="CAS-185794-L4N4N6"/>
    <x v="1"/>
    <s v="Paul A DeCrescente"/>
    <x v="93"/>
    <x v="0"/>
    <x v="6"/>
    <s v="true"/>
    <s v="24KC699"/>
    <s v="Repair-EA"/>
    <s v="EM"/>
    <s v="Incomplete"/>
    <s v="2-Routine"/>
    <n v="15"/>
    <d v="2023-07-12T15:36:14"/>
    <d v="2025-08-07T04:00:00"/>
    <s v="PW4000"/>
    <s v="Jia Chen"/>
    <m/>
  </r>
  <r>
    <s v="Cases &amp; Composites"/>
    <s v="CAS-194913-R6J8V2"/>
    <x v="1"/>
    <s v="Adam Lozon"/>
    <x v="94"/>
    <x v="2"/>
    <x v="2"/>
    <s v="false"/>
    <s v="20CC682B"/>
    <s v="Repair-EA"/>
    <s v="EM"/>
    <s v="Complete"/>
    <s v="2-Routine"/>
    <n v="30"/>
    <d v="2023-10-12T17:13:02"/>
    <d v="2025-05-02T04:00:00"/>
    <s v="PW1000G"/>
    <s v="Francisco Astiasaran"/>
    <m/>
  </r>
  <r>
    <s v="Cases &amp; Composites"/>
    <s v="CAS-195395-X8V9C8"/>
    <x v="2"/>
    <s v="Jorge L Pardo"/>
    <x v="95"/>
    <x v="3"/>
    <x v="3"/>
    <s v="false"/>
    <s v="24CC402"/>
    <s v="Repair-EA"/>
    <s v="OTC"/>
    <s v="Complete"/>
    <s v="2-Routine"/>
    <n v="17"/>
    <d v="2023-10-17T20:59:10"/>
    <d v="2025-04-25T04:00:00"/>
    <s v="PW1000G"/>
    <s v="Alexander Page"/>
    <m/>
  </r>
  <r>
    <s v="Cases &amp; Composites"/>
    <s v="CAS-195395-X8V9C8"/>
    <x v="2"/>
    <s v="Jorge L Pardo"/>
    <x v="96"/>
    <x v="3"/>
    <x v="3"/>
    <s v="false"/>
    <s v="24CC402"/>
    <s v="Repair-EA"/>
    <s v="OTC"/>
    <s v="Complete"/>
    <s v="2-Routine"/>
    <n v="17"/>
    <d v="2023-10-17T20:59:10"/>
    <d v="2025-04-25T04:00:00"/>
    <s v="PW1000G"/>
    <s v="Alexander Page"/>
    <m/>
  </r>
  <r>
    <s v="Cases &amp; Composites"/>
    <s v="CAS-197438-D0Q5Z6"/>
    <x v="1"/>
    <s v="Paul A DeCrescente"/>
    <x v="97"/>
    <x v="1"/>
    <x v="17"/>
    <s v="false"/>
    <s v="14CC548A"/>
    <s v="Repair-EA"/>
    <s v="EM"/>
    <s v="Complete"/>
    <s v="2-Routine"/>
    <n v="20"/>
    <d v="2023-11-06T20:41:47"/>
    <d v="2025-07-18T04:00:00"/>
    <s v="PW1000G"/>
    <s v="Alexander Page"/>
    <m/>
  </r>
  <r>
    <s v="Cases &amp; Composites"/>
    <s v="CAS-197438-D0Q5Z6"/>
    <x v="1"/>
    <s v="Paul A DeCrescente"/>
    <x v="98"/>
    <x v="0"/>
    <x v="6"/>
    <s v="true"/>
    <s v="14CC548A"/>
    <s v="Repair-EA"/>
    <s v="EM"/>
    <s v="Complete"/>
    <s v="2-Routine"/>
    <n v="20"/>
    <d v="2023-11-06T20:41:47"/>
    <d v="2025-07-18T04:00:00"/>
    <s v="PW1000G"/>
    <s v="Alexander Page"/>
    <m/>
  </r>
  <r>
    <s v="Cases &amp; Composites"/>
    <s v="CAS-201983-P9Z3Q3"/>
    <x v="2"/>
    <s v="Jorge L Pardo"/>
    <x v="99"/>
    <x v="3"/>
    <x v="3"/>
    <s v="false"/>
    <s v="24KC652"/>
    <s v="Repair-EA"/>
    <s v="OTC"/>
    <s v="Complete"/>
    <s v="2-Routine"/>
    <n v="16"/>
    <d v="2023-12-22T08:56:39"/>
    <d v="2025-07-11T04:00:00"/>
    <s v="PW4000"/>
    <s v="Ferdin Mustafa"/>
    <m/>
  </r>
  <r>
    <s v="Cases &amp; Composites"/>
    <s v="CAS-201983-P9Z3Q3"/>
    <x v="2"/>
    <s v="Jorge L Pardo"/>
    <x v="100"/>
    <x v="3"/>
    <x v="3"/>
    <s v="false"/>
    <s v="24KC652"/>
    <s v="Repair-EA"/>
    <s v="OTC"/>
    <s v="Complete"/>
    <s v="2-Routine"/>
    <n v="16"/>
    <d v="2023-12-22T08:56:39"/>
    <d v="2025-07-11T04:00:00"/>
    <s v="PW4000"/>
    <s v="Ferdin Mustafa"/>
    <m/>
  </r>
  <r>
    <s v="Cases &amp; Composites"/>
    <s v="CAS-201983-P9Z3Q3"/>
    <x v="1"/>
    <s v="Paul A DeCrescente"/>
    <x v="101"/>
    <x v="3"/>
    <x v="3"/>
    <s v="true"/>
    <s v="24KC652"/>
    <s v="Repair-EA"/>
    <s v="OTC"/>
    <s v="Complete"/>
    <s v="2-Routine"/>
    <n v="16"/>
    <d v="2023-12-22T08:56:39"/>
    <d v="2025-07-11T04:00:00"/>
    <s v="PW4000"/>
    <s v="Ferdin Mustafa"/>
    <m/>
  </r>
  <r>
    <s v="Cases &amp; Composites"/>
    <s v="CAS-202842-Y9F8T8"/>
    <x v="2"/>
    <s v="Jorge L Pardo"/>
    <x v="102"/>
    <x v="3"/>
    <x v="3"/>
    <s v="false"/>
    <s v="11CC453A"/>
    <s v="Repair-EA"/>
    <s v="EM"/>
    <s v="Complete"/>
    <s v="2-Routine"/>
    <m/>
    <d v="2024-01-04T21:01:46"/>
    <d v="2025-03-07T05:00:00"/>
    <s v="PW1000G"/>
    <s v="Alexander Page"/>
    <s v="75%"/>
  </r>
  <r>
    <s v="Cases &amp; Composites"/>
    <s v="CAS-202842-Y9F8T8"/>
    <x v="1"/>
    <s v="Jeffrey W Craycraft"/>
    <x v="103"/>
    <x v="1"/>
    <x v="14"/>
    <s v="true"/>
    <s v="11CC453A"/>
    <s v="Repair-EA"/>
    <s v="EM"/>
    <s v="Complete"/>
    <s v="2-Routine"/>
    <m/>
    <d v="2024-01-04T21:01:46"/>
    <d v="2025-03-07T05:00:00"/>
    <s v="PW1000G"/>
    <s v="Alexander Page"/>
    <s v="75%"/>
  </r>
  <r>
    <s v="Cases &amp; Composites"/>
    <s v="CAS-202842-Y9F8T8"/>
    <x v="1"/>
    <s v="Jeffrey W Craycraft"/>
    <x v="104"/>
    <x v="0"/>
    <x v="22"/>
    <s v="true"/>
    <s v="11CC453A"/>
    <s v="Repair-EA"/>
    <s v="EM"/>
    <s v="Complete"/>
    <s v="2-Routine"/>
    <m/>
    <d v="2024-01-04T21:01:46"/>
    <d v="2025-03-07T05:00:00"/>
    <s v="PW1000G"/>
    <s v="Alexander Page"/>
    <s v="75%"/>
  </r>
  <r>
    <s v="Cases &amp; Composites"/>
    <s v="CAS-202842-Y9F8T8"/>
    <x v="1"/>
    <s v="Jeffrey W Craycraft"/>
    <x v="105"/>
    <x v="0"/>
    <x v="22"/>
    <s v="true"/>
    <s v="11CC453A"/>
    <s v="Repair-EA"/>
    <s v="EM"/>
    <s v="Complete"/>
    <s v="2-Routine"/>
    <m/>
    <d v="2024-01-04T21:01:46"/>
    <d v="2025-03-07T05:00:00"/>
    <s v="PW1000G"/>
    <s v="Alexander Page"/>
    <s v="75%"/>
  </r>
  <r>
    <s v="Cases &amp; Composites"/>
    <s v="CAS-202842-Y9F8T8"/>
    <x v="1"/>
    <s v="Jeffrey W Craycraft"/>
    <x v="106"/>
    <x v="0"/>
    <x v="16"/>
    <s v="false"/>
    <s v="11CC453A"/>
    <s v="Repair-EA"/>
    <s v="EM"/>
    <s v="Complete"/>
    <s v="2-Routine"/>
    <m/>
    <d v="2024-01-04T21:01:46"/>
    <d v="2025-03-07T05:00:00"/>
    <s v="PW1000G"/>
    <s v="Alexander Page"/>
    <s v="75%"/>
  </r>
  <r>
    <s v="Cases &amp; Composites"/>
    <s v="CAS-203710-G4V1R3"/>
    <x v="4"/>
    <s v="Jeremy Thayer"/>
    <x v="107"/>
    <x v="5"/>
    <x v="23"/>
    <s v="true"/>
    <s v="24VG011"/>
    <s v="Repair-EA"/>
    <s v="OTC"/>
    <s v="Incomplete"/>
    <s v="2-Routine"/>
    <n v="12"/>
    <d v="2024-01-15T10:01:59"/>
    <d v="2025-08-08T04:00:00"/>
    <s v="V2500"/>
    <s v="Orlando Melendez Colon"/>
    <s v="75%"/>
  </r>
  <r>
    <s v="Cases &amp; Composites"/>
    <s v="CAS-203710-G4V1R3"/>
    <x v="4"/>
    <s v="Jeremy Thayer"/>
    <x v="108"/>
    <x v="5"/>
    <x v="23"/>
    <s v="true"/>
    <s v="24VG011"/>
    <s v="Repair-EA"/>
    <s v="OTC"/>
    <s v="Incomplete"/>
    <s v="2-Routine"/>
    <n v="12"/>
    <d v="2024-01-15T10:01:59"/>
    <d v="2025-08-08T04:00:00"/>
    <s v="V2500"/>
    <s v="Orlando Melendez Colon"/>
    <s v="75%"/>
  </r>
  <r>
    <s v="Cases &amp; Composites"/>
    <s v="CAS-203710-G4V1R3"/>
    <x v="4"/>
    <s v="Jeremy Thayer"/>
    <x v="109"/>
    <x v="6"/>
    <x v="24"/>
    <s v="false"/>
    <s v="24VG011"/>
    <s v="Repair-EA"/>
    <s v="OTC"/>
    <s v="Incomplete"/>
    <s v="2-Routine"/>
    <n v="12"/>
    <d v="2024-01-15T10:01:59"/>
    <d v="2025-08-08T04:00:00"/>
    <s v="V2500"/>
    <s v="Orlando Melendez Colon"/>
    <s v="75%"/>
  </r>
  <r>
    <s v="Cases &amp; Composites"/>
    <s v="CAS-204568-T9M7P1"/>
    <x v="4"/>
    <s v="Jeremy Thayer"/>
    <x v="110"/>
    <x v="5"/>
    <x v="25"/>
    <s v="true"/>
    <s v="24VG022"/>
    <s v="Repair-EA"/>
    <s v="OTC"/>
    <s v="Complete"/>
    <s v="2-Routine"/>
    <n v="13"/>
    <d v="2024-01-23T14:54:59"/>
    <d v="2025-04-04T04:00:00"/>
    <s v="V2500"/>
    <s v="Orlando Melendez Colon"/>
    <m/>
  </r>
  <r>
    <s v="Cases &amp; Composites"/>
    <s v="CAS-206648-K3P6L0"/>
    <x v="2"/>
    <s v="Jorge L Pardo"/>
    <x v="111"/>
    <x v="3"/>
    <x v="3"/>
    <s v="false"/>
    <s v="24KC559"/>
    <s v="Repair-EA"/>
    <s v="OTC"/>
    <s v="Complete"/>
    <s v="2-Routine"/>
    <m/>
    <d v="2024-03-15T01:38:46"/>
    <d v="2025-02-14T05:00:00"/>
    <s v="PW4000"/>
    <s v="Tyler Abusbah"/>
    <m/>
  </r>
  <r>
    <s v="Cases &amp; Composites"/>
    <s v="CAS-208078-K6V0Q3"/>
    <x v="2"/>
    <s v="Jorge L Pardo"/>
    <x v="112"/>
    <x v="3"/>
    <x v="3"/>
    <s v="false"/>
    <s v="24AC032"/>
    <s v="Repair-EA"/>
    <s v="OTC"/>
    <s v="Complete"/>
    <s v="2-Routine"/>
    <n v="10"/>
    <d v="2024-02-28T14:36:48"/>
    <d v="2025-04-03T04:00:00"/>
    <s v="GP7000"/>
    <s v="Ferdin Mustafa"/>
    <m/>
  </r>
  <r>
    <s v="Cases &amp; Composites"/>
    <s v="CAS-208078-K6V0Q3"/>
    <x v="1"/>
    <s v="Paul A DeCrescente"/>
    <x v="113"/>
    <x v="2"/>
    <x v="2"/>
    <s v="false"/>
    <s v="24AC032"/>
    <s v="Repair-EA"/>
    <s v="OTC"/>
    <s v="Complete"/>
    <s v="2-Routine"/>
    <n v="10"/>
    <d v="2024-02-28T14:36:48"/>
    <d v="2025-04-03T04:00:00"/>
    <s v="GP7000"/>
    <s v="Ferdin Mustafa"/>
    <m/>
  </r>
  <r>
    <s v="Cases &amp; Composites"/>
    <s v="CAS-208201-S2D9L5"/>
    <x v="1"/>
    <s v="Thomas A Vetere"/>
    <x v="114"/>
    <x v="2"/>
    <x v="2"/>
    <s v="true"/>
    <s v="24KC563"/>
    <s v="Repair-EA"/>
    <s v="OTC"/>
    <s v="Complete"/>
    <s v="2-Routine"/>
    <n v="15"/>
    <d v="2024-02-29T15:08:33"/>
    <d v="2025-02-27T05:00:00"/>
    <s v="PW4000"/>
    <s v="Ferdin Mustafa"/>
    <s v="50%"/>
  </r>
  <r>
    <s v="Cases &amp; Composites"/>
    <s v="CAS-209107-K3H5Y2"/>
    <x v="1"/>
    <s v="Thomas A Vetere"/>
    <x v="115"/>
    <x v="1"/>
    <x v="17"/>
    <s v="false"/>
    <s v="07FC245A"/>
    <s v="Repair-EA"/>
    <s v="EM"/>
    <s v="Complete"/>
    <s v="2-Routine"/>
    <n v="17"/>
    <d v="2024-03-11T12:50:15"/>
    <d v="2025-01-14T05:00:00"/>
    <s v="PW2000"/>
    <s v="Jia Chen"/>
    <m/>
  </r>
  <r>
    <s v="Cases &amp; Composites"/>
    <s v="CAS-209107-K3H5Y2"/>
    <x v="1"/>
    <s v="Thomas A Vetere"/>
    <x v="116"/>
    <x v="2"/>
    <x v="2"/>
    <s v="false"/>
    <s v="07FC245A"/>
    <s v="Repair-EA"/>
    <s v="EM"/>
    <s v="Complete"/>
    <s v="2-Routine"/>
    <n v="17"/>
    <d v="2024-03-11T12:50:15"/>
    <d v="2025-01-14T05:00:00"/>
    <s v="PW2000"/>
    <s v="Jia Chen"/>
    <m/>
  </r>
  <r>
    <s v="Cases &amp; Composites"/>
    <s v="CAS-209107-K3H5Y2"/>
    <x v="1"/>
    <s v="Thomas A Vetere"/>
    <x v="117"/>
    <x v="2"/>
    <x v="2"/>
    <s v="false"/>
    <s v="07FC245A"/>
    <s v="Repair-EA"/>
    <s v="EM"/>
    <s v="Complete"/>
    <s v="2-Routine"/>
    <n v="17"/>
    <d v="2024-03-11T12:50:15"/>
    <d v="2025-01-14T05:00:00"/>
    <s v="PW2000"/>
    <s v="Jia Chen"/>
    <m/>
  </r>
  <r>
    <s v="Cases &amp; Composites"/>
    <s v="CAS-209107-K3H5Y2"/>
    <x v="1"/>
    <s v="Thomas A Vetere"/>
    <x v="118"/>
    <x v="2"/>
    <x v="2"/>
    <s v="false"/>
    <s v="07FC245A"/>
    <s v="Repair-EA"/>
    <s v="EM"/>
    <s v="Complete"/>
    <s v="2-Routine"/>
    <n v="17"/>
    <d v="2024-03-11T12:50:15"/>
    <d v="2025-01-14T05:00:00"/>
    <s v="PW2000"/>
    <s v="Jia Chen"/>
    <m/>
  </r>
  <r>
    <s v="Cases &amp; Composites"/>
    <s v="CAS-209896-J6Z1M3"/>
    <x v="5"/>
    <s v="Derek W Anderson"/>
    <x v="119"/>
    <x v="1"/>
    <x v="18"/>
    <s v="true"/>
    <s v="24CC866"/>
    <s v="Repair-EA"/>
    <s v="OTC"/>
    <s v="Incomplete"/>
    <s v="2-Routine"/>
    <n v="31"/>
    <d v="2024-03-19T14:36:31"/>
    <d v="2025-08-08T04:00:00"/>
    <s v="PW1000G"/>
    <s v="Francisco Astiasaran"/>
    <m/>
  </r>
  <r>
    <s v="Cases &amp; Composites"/>
    <s v="CAS-213274-M6L9G9"/>
    <x v="1"/>
    <s v="Paul A DeCrescente"/>
    <x v="120"/>
    <x v="2"/>
    <x v="2"/>
    <s v="false"/>
    <s v="24CCD63"/>
    <s v="Repair-EA"/>
    <s v="OTC"/>
    <s v="Complete"/>
    <s v="Backlog"/>
    <m/>
    <d v="2024-04-24T11:47:29"/>
    <m/>
    <s v="PW1000G"/>
    <s v="Jia Chen"/>
    <s v="75%"/>
  </r>
  <r>
    <s v="Cases &amp; Composites"/>
    <s v="CAS-213274-M6L9G9"/>
    <x v="1"/>
    <s v="Paul A DeCrescente"/>
    <x v="121"/>
    <x v="0"/>
    <x v="6"/>
    <s v="true"/>
    <s v="24CCD63"/>
    <s v="Repair-EA"/>
    <s v="OTC"/>
    <s v="Complete"/>
    <s v="Backlog"/>
    <m/>
    <d v="2024-04-24T11:47:29"/>
    <m/>
    <s v="PW1000G"/>
    <s v="Jia Chen"/>
    <s v="75%"/>
  </r>
  <r>
    <s v="Cases &amp; Composites"/>
    <s v="CAS-214859-P2Q3L5"/>
    <x v="2"/>
    <s v="Patton Conroy"/>
    <x v="122"/>
    <x v="3"/>
    <x v="3"/>
    <s v="false"/>
    <s v="22KC646A"/>
    <s v="Repair-EA"/>
    <s v="OTC"/>
    <s v="Complete"/>
    <s v="2-Routine"/>
    <n v="10"/>
    <d v="2024-05-13T16:04:08"/>
    <d v="2025-01-24T05:00:00"/>
    <s v="PW4000"/>
    <s v="Jia Chen"/>
    <m/>
  </r>
  <r>
    <s v="Cases &amp; Composites"/>
    <s v="CAS-215383-S8J9W4"/>
    <x v="1"/>
    <s v="Paul A DeCrescente"/>
    <x v="123"/>
    <x v="2"/>
    <x v="11"/>
    <s v="false"/>
    <s v="24CCF89"/>
    <s v="Repair-EA"/>
    <s v="OTC"/>
    <s v="Complete"/>
    <s v="2-Routine"/>
    <m/>
    <d v="2024-05-17T20:16:16"/>
    <d v="2025-05-02T04:00:00"/>
    <s v="PW1000G"/>
    <s v="Alexander Page"/>
    <s v="75%"/>
  </r>
  <r>
    <s v="Cases &amp; Composites"/>
    <s v="CAS-215383-S8J9W4"/>
    <x v="1"/>
    <s v="Paul A DeCrescente"/>
    <x v="124"/>
    <x v="3"/>
    <x v="3"/>
    <s v="false"/>
    <s v="24CCF89"/>
    <s v="Repair-EA"/>
    <s v="OTC"/>
    <s v="Complete"/>
    <s v="2-Routine"/>
    <m/>
    <d v="2024-05-17T20:16:16"/>
    <d v="2025-05-02T04:00:00"/>
    <s v="PW1000G"/>
    <s v="Alexander Page"/>
    <s v="75%"/>
  </r>
  <r>
    <s v="Cases &amp; Composites"/>
    <s v="CAS-215778-R7F8V0"/>
    <x v="2"/>
    <s v="Patton Conroy"/>
    <x v="125"/>
    <x v="3"/>
    <x v="3"/>
    <s v="false"/>
    <s v="24FC298"/>
    <s v="Repair-EA"/>
    <s v="OTC"/>
    <s v="Complete"/>
    <s v="2-Routine"/>
    <m/>
    <d v="2024-05-22T20:57:25"/>
    <d v="2025-03-03T05:00:00"/>
    <s v="PW2000"/>
    <s v="Tyler Abusbah"/>
    <s v="75%"/>
  </r>
  <r>
    <s v="Cases &amp; Composites"/>
    <s v="CAS-218035-M5C2S5"/>
    <x v="2"/>
    <s v="Patton Conroy"/>
    <x v="126"/>
    <x v="3"/>
    <x v="3"/>
    <s v="false"/>
    <s v="24KC601"/>
    <s v="Repair-EA"/>
    <s v="OTC"/>
    <s v="Complete"/>
    <s v="2-Routine"/>
    <m/>
    <d v="2024-06-13T20:24:40"/>
    <d v="2025-02-27T05:00:00"/>
    <s v="PW4000"/>
    <s v="Jia Chen"/>
    <s v="75%"/>
  </r>
  <r>
    <s v="Cases &amp; Composites"/>
    <s v="CAS-218035-M5C2S5"/>
    <x v="1"/>
    <s v="Thomas A Vetere"/>
    <x v="127"/>
    <x v="2"/>
    <x v="2"/>
    <s v="false"/>
    <s v="24KC601"/>
    <s v="Repair-EA"/>
    <s v="OTC"/>
    <s v="Complete"/>
    <s v="2-Routine"/>
    <m/>
    <d v="2024-06-13T20:24:40"/>
    <d v="2025-02-27T05:00:00"/>
    <s v="PW4000"/>
    <s v="Jia Chen"/>
    <s v="75%"/>
  </r>
  <r>
    <s v="Cases &amp; Composites"/>
    <s v="CAS-218035-M5C2S5"/>
    <x v="1"/>
    <s v="Thomas A Vetere"/>
    <x v="128"/>
    <x v="2"/>
    <x v="8"/>
    <s v="true"/>
    <s v="24KC601"/>
    <s v="Repair-EA"/>
    <s v="OTC"/>
    <s v="Complete"/>
    <s v="2-Routine"/>
    <m/>
    <d v="2024-06-13T20:24:40"/>
    <d v="2025-02-27T05:00:00"/>
    <s v="PW4000"/>
    <s v="Jia Chen"/>
    <s v="75%"/>
  </r>
  <r>
    <s v="Cases &amp; Composites"/>
    <s v="CAS-218587-G9J9Y8"/>
    <x v="2"/>
    <s v="Patton Conroy"/>
    <x v="129"/>
    <x v="3"/>
    <x v="3"/>
    <s v="true"/>
    <s v="24CCO85"/>
    <s v="Repair-EA"/>
    <s v="OTC"/>
    <s v="Complete"/>
    <s v="2-Routine"/>
    <n v="14"/>
    <d v="2024-06-19T16:42:24"/>
    <d v="2025-04-29T04:00:00"/>
    <s v="PW1000G"/>
    <s v="Tyler Abusbah"/>
    <s v="50%"/>
  </r>
  <r>
    <s v="Cases &amp; Composites"/>
    <s v="CAS-218822-F2T8Z6"/>
    <x v="2"/>
    <s v="Sean Squire"/>
    <x v="130"/>
    <x v="0"/>
    <x v="6"/>
    <s v="true"/>
    <s v="24CCL93"/>
    <s v="Repair-EA"/>
    <s v="OTC"/>
    <s v="Complete"/>
    <s v="2-Routine"/>
    <m/>
    <d v="2024-06-21T16:15:57"/>
    <d v="2025-05-30T04:00:00"/>
    <s v="PW1000G"/>
    <s v="Alexander Page"/>
    <s v="25%"/>
  </r>
  <r>
    <s v="Cases &amp; Composites"/>
    <s v="CAS-218822-F2T8Z6"/>
    <x v="1"/>
    <s v="Paul A DeCrescente"/>
    <x v="131"/>
    <x v="1"/>
    <x v="14"/>
    <s v="false"/>
    <s v="24CCL93"/>
    <s v="Repair-EA"/>
    <s v="OTC"/>
    <s v="Complete"/>
    <s v="2-Routine"/>
    <m/>
    <d v="2024-06-21T16:15:57"/>
    <d v="2025-05-30T04:00:00"/>
    <s v="PW1000G"/>
    <s v="Alexander Page"/>
    <s v="25%"/>
  </r>
  <r>
    <s v="Cases &amp; Composites"/>
    <s v="CAS-221073-C0K3L3"/>
    <x v="2"/>
    <s v="Jorge L Pardo"/>
    <x v="132"/>
    <x v="3"/>
    <x v="3"/>
    <s v="false"/>
    <s v="25KC027"/>
    <s v="Repair-EA"/>
    <s v="OTC"/>
    <s v="Complete"/>
    <s v="2-Routine"/>
    <n v="10"/>
    <d v="2024-07-15T05:44:01"/>
    <d v="2025-07-23T04:00:00"/>
    <s v="PW4000"/>
    <s v="Ferdin Mustafa"/>
    <s v="75%"/>
  </r>
  <r>
    <s v="Cases &amp; Composites"/>
    <s v="CAS-222321-T5D3F1"/>
    <x v="1"/>
    <s v="Michael F Cavaliere"/>
    <x v="133"/>
    <x v="3"/>
    <x v="12"/>
    <s v="false"/>
    <s v="24CCR07"/>
    <s v="Repair-EA"/>
    <s v="OTC"/>
    <s v="Complete"/>
    <s v="2-Routine"/>
    <n v="16"/>
    <d v="2024-07-25T15:23:10"/>
    <d v="2025-02-13T05:00:00"/>
    <s v="PW1000G"/>
    <s v="Jia Chen"/>
    <s v="50%"/>
  </r>
  <r>
    <s v="Cases &amp; Composites"/>
    <s v="CAS-222747-G7G0T5"/>
    <x v="2"/>
    <s v="Sean Squire"/>
    <x v="134"/>
    <x v="0"/>
    <x v="0"/>
    <s v="false"/>
    <s v="24CCU07"/>
    <s v="Repair-EA"/>
    <s v="OTC"/>
    <s v="Complete"/>
    <s v="2-Routine"/>
    <n v="18"/>
    <d v="2024-07-30T17:56:38"/>
    <d v="2025-04-29T04:00:00"/>
    <s v="PW1000G"/>
    <s v="Alexander Page"/>
    <s v="50%"/>
  </r>
  <r>
    <s v="Cases &amp; Composites"/>
    <s v="CAS-223200-J2D1S5"/>
    <x v="2"/>
    <s v="Sean Squire"/>
    <x v="135"/>
    <x v="2"/>
    <x v="2"/>
    <s v="false"/>
    <s v="24CCS70"/>
    <s v="Repair-EA"/>
    <s v="OTC"/>
    <s v="Complete"/>
    <s v="2-Routine"/>
    <m/>
    <d v="2024-08-02T21:14:07"/>
    <d v="2025-06-30T04:00:00"/>
    <s v="PW1000G"/>
    <s v="Alexander Page"/>
    <s v="50%"/>
  </r>
  <r>
    <s v="Cases &amp; Composites"/>
    <s v="CAS-224334-J6Z0T5"/>
    <x v="2"/>
    <s v="Jorge L Pardo"/>
    <x v="136"/>
    <x v="3"/>
    <x v="3"/>
    <s v="false"/>
    <s v="24KC597"/>
    <s v="Repair-EA"/>
    <s v="OTC"/>
    <s v="Complete"/>
    <s v="2-Routine"/>
    <n v="23"/>
    <d v="2024-08-14T20:02:17"/>
    <d v="2025-02-20T05:00:00"/>
    <s v="PW4000"/>
    <s v="Jia Chen"/>
    <s v="75%"/>
  </r>
  <r>
    <s v="Cases &amp; Composites"/>
    <s v="CAS-224787-K5S6S6"/>
    <x v="2"/>
    <s v="Jorge L Pardo"/>
    <x v="137"/>
    <x v="3"/>
    <x v="3"/>
    <s v="false"/>
    <s v="24KC604"/>
    <s v="Repair-EA"/>
    <s v="OTC"/>
    <s v="Complete"/>
    <s v="2-Routine"/>
    <m/>
    <d v="2024-08-20T08:53:24"/>
    <d v="2025-03-26T04:00:00"/>
    <s v="PW4000"/>
    <s v="Tyler Abusbah"/>
    <s v="75%"/>
  </r>
  <r>
    <s v="Cases &amp; Composites"/>
    <s v="CAS-225015-Y9H3F4"/>
    <x v="2"/>
    <s v="Patton Conroy"/>
    <x v="138"/>
    <x v="0"/>
    <x v="15"/>
    <s v="false"/>
    <s v="24KC619"/>
    <s v="Repair-EA"/>
    <s v="OTC"/>
    <s v="Complete"/>
    <s v="2-Routine"/>
    <m/>
    <d v="2024-08-21T18:27:42"/>
    <d v="2025-03-26T04:00:00"/>
    <s v="PW4000"/>
    <s v="Jia Chen"/>
    <s v="75%"/>
  </r>
  <r>
    <s v="Cases &amp; Composites"/>
    <s v="CAS-225145-Q1R4L0"/>
    <x v="2"/>
    <s v="Jorge L Pardo"/>
    <x v="139"/>
    <x v="3"/>
    <x v="3"/>
    <s v="false"/>
    <s v="24VC110A"/>
    <s v="Repair-EA"/>
    <s v="OTC"/>
    <s v="Complete"/>
    <s v="2-Routine"/>
    <n v="10"/>
    <d v="2024-08-22T16:37:38"/>
    <d v="2025-07-14T04:00:00"/>
    <s v="V2500"/>
    <s v="Nathan Winger"/>
    <s v="50%"/>
  </r>
  <r>
    <s v="Cases &amp; Composites"/>
    <s v="CAS-225461-Y7H0V1"/>
    <x v="1"/>
    <s v="Adam Lozon"/>
    <x v="140"/>
    <x v="0"/>
    <x v="10"/>
    <s v="false"/>
    <s v="24KC528"/>
    <s v="Repair-EA"/>
    <s v="EM"/>
    <s v="Complete"/>
    <s v="2-Routine"/>
    <n v="14"/>
    <d v="2024-08-26T19:54:44"/>
    <d v="2025-07-25T04:00:00"/>
    <s v="PW4000"/>
    <s v="Francisco Astiasaran"/>
    <s v="75%"/>
  </r>
  <r>
    <s v="Cases &amp; Composites"/>
    <s v="CAS-225461-Y7H0V1"/>
    <x v="1"/>
    <s v="Adam Lozon"/>
    <x v="141"/>
    <x v="0"/>
    <x v="0"/>
    <s v="false"/>
    <s v="24KC528"/>
    <s v="Repair-EA"/>
    <s v="EM"/>
    <s v="Complete"/>
    <s v="2-Routine"/>
    <n v="14"/>
    <d v="2024-08-26T19:54:44"/>
    <d v="2025-07-25T04:00:00"/>
    <s v="PW4000"/>
    <s v="Francisco Astiasaran"/>
    <s v="75%"/>
  </r>
  <r>
    <s v="Cases &amp; Composites"/>
    <s v="CAS-225544-W7W6T8"/>
    <x v="1"/>
    <s v="Adam Lozon"/>
    <x v="142"/>
    <x v="3"/>
    <x v="3"/>
    <s v="false"/>
    <s v="09KC556B"/>
    <s v="Repair-EA"/>
    <s v="EM"/>
    <s v="Complete"/>
    <s v="2-Routine"/>
    <m/>
    <d v="2024-08-27T10:59:35"/>
    <d v="2025-05-09T04:00:00"/>
    <s v="PW4000"/>
    <s v="Francisco Astiasaran"/>
    <s v="75%"/>
  </r>
  <r>
    <s v="Cases &amp; Composites"/>
    <s v="CAS-226399-L7M2N9"/>
    <x v="2"/>
    <s v="Jorge L Pardo"/>
    <x v="143"/>
    <x v="3"/>
    <x v="3"/>
    <s v="false"/>
    <s v="24KC620"/>
    <s v="Repair-EA"/>
    <s v="OTC"/>
    <s v="Complete"/>
    <s v="2-Routine"/>
    <n v="26"/>
    <d v="2024-09-04T15:10:14"/>
    <d v="2025-05-19T04:00:00"/>
    <s v="PW4000"/>
    <s v="Tyler Abusbah"/>
    <s v="75%"/>
  </r>
  <r>
    <s v="Cases &amp; Composites"/>
    <s v="CAS-227281-Q5D3L9"/>
    <x v="2"/>
    <s v="Jorge L Pardo"/>
    <x v="144"/>
    <x v="3"/>
    <x v="3"/>
    <s v="false"/>
    <s v="25KC061"/>
    <s v="Repair-EA"/>
    <s v="OTC"/>
    <s v="Complete"/>
    <s v="2-Routine"/>
    <m/>
    <d v="2024-09-12T09:32:58"/>
    <d v="2025-04-30T04:00:00"/>
    <s v="PW4000"/>
    <s v="Bruce Zoyaar"/>
    <m/>
  </r>
  <r>
    <s v="Cases &amp; Composites"/>
    <s v="CAS-227281-Q5D3L9"/>
    <x v="2"/>
    <s v="Jorge L Pardo"/>
    <x v="145"/>
    <x v="3"/>
    <x v="3"/>
    <s v="false"/>
    <s v="25KC061"/>
    <s v="Repair-EA"/>
    <s v="OTC"/>
    <s v="Complete"/>
    <s v="2-Routine"/>
    <m/>
    <d v="2024-09-12T09:32:58"/>
    <d v="2025-04-30T04:00:00"/>
    <s v="PW4000"/>
    <s v="Bruce Zoyaar"/>
    <m/>
  </r>
  <r>
    <s v="Cases &amp; Composites"/>
    <s v="CAS-227281-Q5D3L9"/>
    <x v="2"/>
    <s v="Jorge L Pardo"/>
    <x v="146"/>
    <x v="3"/>
    <x v="3"/>
    <s v="false"/>
    <s v="25KC061"/>
    <s v="Repair-EA"/>
    <s v="OTC"/>
    <s v="Complete"/>
    <s v="2-Routine"/>
    <m/>
    <d v="2024-09-12T09:32:58"/>
    <d v="2025-04-30T04:00:00"/>
    <s v="PW4000"/>
    <s v="Bruce Zoyaar"/>
    <m/>
  </r>
  <r>
    <s v="Cases &amp; Composites"/>
    <s v="CAS-227709-H1W7B8"/>
    <x v="2"/>
    <s v="Patrick Mayabb"/>
    <x v="147"/>
    <x v="2"/>
    <x v="8"/>
    <s v="false"/>
    <s v="24KC642"/>
    <s v="Repair-EA"/>
    <s v="OTC"/>
    <s v="Complete"/>
    <s v="Backlog"/>
    <m/>
    <d v="2024-09-16T18:28:13"/>
    <m/>
    <s v="PW4000"/>
    <s v="Francisco Astiasaran"/>
    <m/>
  </r>
  <r>
    <s v="Cases &amp; Composites"/>
    <s v="CAS-228149-N3K6R9"/>
    <x v="2"/>
    <s v="Jorge L Pardo"/>
    <x v="148"/>
    <x v="3"/>
    <x v="3"/>
    <s v="false"/>
    <s v="24KC650"/>
    <s v="Repair-EA"/>
    <s v="OTC"/>
    <s v="Complete"/>
    <s v="2-Routine"/>
    <m/>
    <d v="2024-09-19T17:43:54"/>
    <d v="2025-06-12T04:00:00"/>
    <s v="PW4000"/>
    <s v="Tyler Abusbah"/>
    <s v="50%"/>
  </r>
  <r>
    <s v="Cases &amp; Composites"/>
    <s v="CAS-228276-D1X1Q5"/>
    <x v="2"/>
    <s v="Jorge L Pardo"/>
    <x v="149"/>
    <x v="3"/>
    <x v="3"/>
    <s v="false"/>
    <s v="24KC748"/>
    <s v="Repair-EA"/>
    <s v="OTC"/>
    <s v="Complete"/>
    <s v="2-Routine"/>
    <m/>
    <d v="2024-09-20T13:27:53"/>
    <d v="2025-04-22T04:00:00"/>
    <s v="PW4000"/>
    <s v="Tyler Abusbah"/>
    <s v="75%"/>
  </r>
  <r>
    <s v="Cases &amp; Composites"/>
    <s v="CAS-228292-B3Z6V9"/>
    <x v="2"/>
    <s v="Sean Squire"/>
    <x v="150"/>
    <x v="0"/>
    <x v="6"/>
    <s v="true"/>
    <s v="24KC688"/>
    <s v="Repair-EA"/>
    <s v="OTC"/>
    <s v="Complete"/>
    <s v="2-Routine"/>
    <m/>
    <d v="2024-09-20T14:54:03"/>
    <d v="2025-02-26T05:00:00"/>
    <s v="PW4000"/>
    <s v="Jia Chen"/>
    <s v="50%"/>
  </r>
  <r>
    <s v="Cases &amp; Composites"/>
    <s v="CAS-228914-H6F9X3"/>
    <x v="2"/>
    <s v="Patton Conroy"/>
    <x v="151"/>
    <x v="3"/>
    <x v="12"/>
    <s v="false"/>
    <s v="24KC667"/>
    <s v="Repair-EA"/>
    <s v="OTC"/>
    <s v="Complete"/>
    <s v="2-Routine"/>
    <n v="24"/>
    <d v="2024-09-26T14:54:28"/>
    <d v="2025-02-20T05:00:00"/>
    <s v="PW4000"/>
    <s v="Jia Chen"/>
    <s v="75%"/>
  </r>
  <r>
    <s v="Cases &amp; Composites"/>
    <s v="CAS-229081-F9V7Q4"/>
    <x v="0"/>
    <s v="Sean Squire"/>
    <x v="152"/>
    <x v="4"/>
    <x v="26"/>
    <s v="false"/>
    <s v="24VC404"/>
    <s v="Dialogue"/>
    <s v="Repair Response"/>
    <s v="Complete"/>
    <s v="Hold"/>
    <m/>
    <d v="2024-09-27T18:13:45"/>
    <m/>
    <s v="V2500"/>
    <s v="Nathan Winger"/>
    <s v="50%"/>
  </r>
  <r>
    <s v="Cases &amp; Composites"/>
    <s v="CAS-229081-F9V7Q4"/>
    <x v="0"/>
    <s v="Sean Squire"/>
    <x v="153"/>
    <x v="0"/>
    <x v="10"/>
    <s v="false"/>
    <s v="24VC404"/>
    <s v="Dialogue"/>
    <s v="Repair Response"/>
    <s v="Complete"/>
    <s v="Hold"/>
    <m/>
    <d v="2024-09-27T18:13:45"/>
    <m/>
    <s v="V2500"/>
    <s v="Nathan Winger"/>
    <s v="50%"/>
  </r>
  <r>
    <s v="Cases &amp; Composites"/>
    <s v="CAS-229081-F9V7Q4"/>
    <x v="2"/>
    <s v="Sean Squire"/>
    <x v="154"/>
    <x v="0"/>
    <x v="15"/>
    <s v="true"/>
    <s v="24VC404"/>
    <s v="Dialogue"/>
    <s v="Repair Response"/>
    <s v="Complete"/>
    <s v="Hold"/>
    <m/>
    <d v="2024-09-27T18:13:45"/>
    <m/>
    <s v="V2500"/>
    <s v="Nathan Winger"/>
    <s v="50%"/>
  </r>
  <r>
    <s v="Cases &amp; Composites"/>
    <s v="CAS-229081-F9V7Q4"/>
    <x v="2"/>
    <s v="Sean Squire"/>
    <x v="155"/>
    <x v="0"/>
    <x v="6"/>
    <s v="false"/>
    <s v="24VC404"/>
    <s v="Dialogue"/>
    <s v="Repair Response"/>
    <s v="Complete"/>
    <s v="Hold"/>
    <m/>
    <d v="2024-09-27T18:13:45"/>
    <m/>
    <s v="V2500"/>
    <s v="Nathan Winger"/>
    <s v="50%"/>
  </r>
  <r>
    <s v="Cases &amp; Composites"/>
    <s v="CAS-229086-X7S4H1"/>
    <x v="0"/>
    <s v="Patton Conroy"/>
    <x v="156"/>
    <x v="4"/>
    <x v="5"/>
    <s v="false"/>
    <s v="24KC697"/>
    <s v="Repair-EA"/>
    <s v="OTC"/>
    <s v="Complete"/>
    <s v="2-Routine"/>
    <n v="11"/>
    <d v="2024-09-27T19:22:59"/>
    <d v="2025-03-13T04:00:00"/>
    <s v="PW4000"/>
    <s v="Jia Chen"/>
    <s v="75%"/>
  </r>
  <r>
    <s v="Cases &amp; Composites"/>
    <s v="CAS-229086-X7S4H1"/>
    <x v="2"/>
    <s v="Patton Conroy"/>
    <x v="157"/>
    <x v="3"/>
    <x v="12"/>
    <s v="false"/>
    <s v="24KC697"/>
    <s v="Repair-EA"/>
    <s v="OTC"/>
    <s v="Complete"/>
    <s v="2-Routine"/>
    <n v="11"/>
    <d v="2024-09-27T19:22:59"/>
    <d v="2025-03-13T04:00:00"/>
    <s v="PW4000"/>
    <s v="Jia Chen"/>
    <s v="75%"/>
  </r>
  <r>
    <s v="Cases &amp; Composites"/>
    <s v="CAS-229260-K7V5G2"/>
    <x v="1"/>
    <s v="Paul A DeCrescente"/>
    <x v="158"/>
    <x v="2"/>
    <x v="8"/>
    <s v="false"/>
    <s v="24CCX68"/>
    <s v="Repair-EA"/>
    <s v="OTC"/>
    <s v="Complete"/>
    <s v="2-Routine"/>
    <m/>
    <d v="2024-09-30T20:12:58"/>
    <d v="2025-06-30T04:00:00"/>
    <s v="PW1000G"/>
    <s v="Alexander Page"/>
    <s v="50%"/>
  </r>
  <r>
    <s v="Cases &amp; Composites"/>
    <s v="CAS-229369-T0G1B2"/>
    <x v="2"/>
    <s v="Jorge L Pardo"/>
    <x v="159"/>
    <x v="3"/>
    <x v="3"/>
    <s v="false"/>
    <s v="24KC693"/>
    <s v="Repair-EA"/>
    <s v="OTC"/>
    <s v="Complete"/>
    <s v="2-Routine"/>
    <n v="14"/>
    <d v="2024-10-01T14:29:23"/>
    <d v="2025-03-14T04:00:00"/>
    <s v="PW4000"/>
    <s v="Jia Chen"/>
    <s v="75%"/>
  </r>
  <r>
    <s v="Cases &amp; Composites"/>
    <s v="CAS-229507-Z8K4H9"/>
    <x v="2"/>
    <s v="Jorge L Pardo"/>
    <x v="160"/>
    <x v="3"/>
    <x v="3"/>
    <s v="false"/>
    <s v="24KC710"/>
    <s v="Repair-EA"/>
    <s v="OTC"/>
    <s v="Complete"/>
    <s v="2-Routine"/>
    <n v="13"/>
    <d v="2024-10-02T13:21:07"/>
    <d v="2025-03-28T04:00:00"/>
    <s v="PW4000"/>
    <s v="Ferdin Mustafa"/>
    <s v="75%"/>
  </r>
  <r>
    <s v="Cases &amp; Composites"/>
    <s v="CAS-229507-Z8K4H9"/>
    <x v="1"/>
    <s v="Thomas A Vetere"/>
    <x v="161"/>
    <x v="2"/>
    <x v="8"/>
    <s v="false"/>
    <s v="24KC710"/>
    <s v="Repair-EA"/>
    <s v="OTC"/>
    <s v="Complete"/>
    <s v="2-Routine"/>
    <n v="13"/>
    <d v="2024-10-02T13:21:07"/>
    <d v="2025-03-28T04:00:00"/>
    <s v="PW4000"/>
    <s v="Ferdin Mustafa"/>
    <s v="75%"/>
  </r>
  <r>
    <s v="Cases &amp; Composites"/>
    <s v="CAS-229543-B3Y2C0"/>
    <x v="0"/>
    <s v="Patton Conroy"/>
    <x v="162"/>
    <x v="4"/>
    <x v="5"/>
    <s v="true"/>
    <s v="25KC079"/>
    <s v="Repair-EA"/>
    <s v="OTC"/>
    <s v="Complete"/>
    <s v="2-Routine"/>
    <n v="12"/>
    <d v="2024-10-04T20:43:49"/>
    <d v="2025-04-29T04:00:00"/>
    <s v="PW4000"/>
    <s v="Tyler Abusbah"/>
    <s v="75%"/>
  </r>
  <r>
    <s v="Cases &amp; Composites"/>
    <s v="CAS-229543-B3Y2C0"/>
    <x v="0"/>
    <s v="Patton Conroy"/>
    <x v="163"/>
    <x v="4"/>
    <x v="5"/>
    <s v="true"/>
    <s v="25KC079"/>
    <s v="Repair-EA"/>
    <s v="OTC"/>
    <s v="Complete"/>
    <s v="2-Routine"/>
    <n v="12"/>
    <d v="2024-10-04T20:43:49"/>
    <d v="2025-04-29T04:00:00"/>
    <s v="PW4000"/>
    <s v="Tyler Abusbah"/>
    <s v="75%"/>
  </r>
  <r>
    <s v="Cases &amp; Composites"/>
    <s v="CAS-229543-B3Y2C0"/>
    <x v="2"/>
    <s v="Patton Conroy"/>
    <x v="164"/>
    <x v="3"/>
    <x v="12"/>
    <s v="true"/>
    <s v="25KC079"/>
    <s v="Repair-EA"/>
    <s v="OTC"/>
    <s v="Complete"/>
    <s v="2-Routine"/>
    <n v="12"/>
    <d v="2024-10-04T20:43:49"/>
    <d v="2025-04-29T04:00:00"/>
    <s v="PW4000"/>
    <s v="Tyler Abusbah"/>
    <s v="75%"/>
  </r>
  <r>
    <s v="Cases &amp; Composites"/>
    <s v="CAS-229652-K3R4P9"/>
    <x v="1"/>
    <s v="Michael Karnas"/>
    <x v="165"/>
    <x v="1"/>
    <x v="17"/>
    <s v="false"/>
    <s v="24CCR76"/>
    <s v="Repair-EA"/>
    <s v="OTC"/>
    <s v="Complete"/>
    <s v="2-Routine"/>
    <m/>
    <d v="2024-10-03T14:59:36"/>
    <d v="2025-01-17T05:00:00"/>
    <s v="PW1000G"/>
    <s v="Francisco Astiasaran"/>
    <s v="75%"/>
  </r>
  <r>
    <s v="Cases &amp; Composites"/>
    <s v="CAS-229652-K3R4P9"/>
    <x v="1"/>
    <s v="Michael Karnas"/>
    <x v="166"/>
    <x v="0"/>
    <x v="6"/>
    <s v="true"/>
    <s v="24CCR76"/>
    <s v="Repair-EA"/>
    <s v="OTC"/>
    <s v="Complete"/>
    <s v="2-Routine"/>
    <m/>
    <d v="2024-10-03T14:59:36"/>
    <d v="2025-01-17T05:00:00"/>
    <s v="PW1000G"/>
    <s v="Francisco Astiasaran"/>
    <s v="75%"/>
  </r>
  <r>
    <s v="Cases &amp; Composites"/>
    <s v="CAS-229652-K3R4P9"/>
    <x v="1"/>
    <s v="Michael Karnas"/>
    <x v="167"/>
    <x v="0"/>
    <x v="6"/>
    <s v="true"/>
    <s v="24CCR76"/>
    <s v="Repair-EA"/>
    <s v="OTC"/>
    <s v="Complete"/>
    <s v="2-Routine"/>
    <m/>
    <d v="2024-10-03T14:59:36"/>
    <d v="2025-01-17T05:00:00"/>
    <s v="PW1000G"/>
    <s v="Francisco Astiasaran"/>
    <s v="75%"/>
  </r>
  <r>
    <s v="Cases &amp; Composites"/>
    <s v="CAS-229652-K3R4P9"/>
    <x v="1"/>
    <s v="Michael Karnas"/>
    <x v="168"/>
    <x v="0"/>
    <x v="6"/>
    <s v="true"/>
    <s v="24CCR76"/>
    <s v="Repair-EA"/>
    <s v="OTC"/>
    <s v="Complete"/>
    <s v="2-Routine"/>
    <m/>
    <d v="2024-10-03T14:59:36"/>
    <d v="2025-01-17T05:00:00"/>
    <s v="PW1000G"/>
    <s v="Francisco Astiasaran"/>
    <s v="75%"/>
  </r>
  <r>
    <s v="Cases &amp; Composites"/>
    <s v="CAS-229652-K3R4P9"/>
    <x v="1"/>
    <s v="Michael Karnas"/>
    <x v="169"/>
    <x v="2"/>
    <x v="2"/>
    <s v="false"/>
    <s v="24CCR76"/>
    <s v="Repair-EA"/>
    <s v="OTC"/>
    <s v="Complete"/>
    <s v="2-Routine"/>
    <m/>
    <d v="2024-10-03T14:59:36"/>
    <d v="2025-01-17T05:00:00"/>
    <s v="PW1000G"/>
    <s v="Francisco Astiasaran"/>
    <s v="75%"/>
  </r>
  <r>
    <s v="Cases &amp; Composites"/>
    <s v="CAS-229652-K3R4P9"/>
    <x v="1"/>
    <s v="Michael Karnas"/>
    <x v="170"/>
    <x v="2"/>
    <x v="2"/>
    <s v="true"/>
    <s v="24CCR76"/>
    <s v="Repair-EA"/>
    <s v="OTC"/>
    <s v="Complete"/>
    <s v="2-Routine"/>
    <m/>
    <d v="2024-10-03T14:59:36"/>
    <d v="2025-01-17T05:00:00"/>
    <s v="PW1000G"/>
    <s v="Francisco Astiasaran"/>
    <s v="75%"/>
  </r>
  <r>
    <s v="Cases &amp; Composites"/>
    <s v="CAS-229652-K3R4P9"/>
    <x v="1"/>
    <s v="Michael Karnas"/>
    <x v="171"/>
    <x v="0"/>
    <x v="15"/>
    <s v="true"/>
    <s v="24CCR76"/>
    <s v="Repair-EA"/>
    <s v="OTC"/>
    <s v="Complete"/>
    <s v="2-Routine"/>
    <m/>
    <d v="2024-10-03T14:59:36"/>
    <d v="2025-01-17T05:00:00"/>
    <s v="PW1000G"/>
    <s v="Francisco Astiasaran"/>
    <s v="75%"/>
  </r>
  <r>
    <s v="Cases &amp; Composites"/>
    <s v="CAS-230008-W3P2Z8"/>
    <x v="0"/>
    <s v="Sean Squire"/>
    <x v="172"/>
    <x v="0"/>
    <x v="6"/>
    <s v="true"/>
    <s v="25KC003"/>
    <s v="Repair-EA"/>
    <s v="OTC"/>
    <s v="Complete"/>
    <s v="2-Routine"/>
    <m/>
    <d v="2024-10-07T18:06:17"/>
    <d v="2025-06-20T04:00:00"/>
    <s v="PW4000"/>
    <s v="Alexander Page"/>
    <s v="50%"/>
  </r>
  <r>
    <s v="Cases &amp; Composites"/>
    <s v="CAS-230008-W3P2Z8"/>
    <x v="0"/>
    <s v="Sean Squire"/>
    <x v="173"/>
    <x v="0"/>
    <x v="6"/>
    <s v="true"/>
    <s v="25KC003"/>
    <s v="Repair-EA"/>
    <s v="OTC"/>
    <s v="Complete"/>
    <s v="2-Routine"/>
    <m/>
    <d v="2024-10-07T18:06:17"/>
    <d v="2025-06-20T04:00:00"/>
    <s v="PW4000"/>
    <s v="Alexander Page"/>
    <s v="50%"/>
  </r>
  <r>
    <s v="Cases &amp; Composites"/>
    <s v="CAS-230008-W3P2Z8"/>
    <x v="0"/>
    <s v="Sean Squire"/>
    <x v="174"/>
    <x v="0"/>
    <x v="6"/>
    <s v="true"/>
    <s v="25KC003"/>
    <s v="Repair-EA"/>
    <s v="OTC"/>
    <s v="Complete"/>
    <s v="2-Routine"/>
    <m/>
    <d v="2024-10-07T18:06:17"/>
    <d v="2025-06-20T04:00:00"/>
    <s v="PW4000"/>
    <s v="Alexander Page"/>
    <s v="50%"/>
  </r>
  <r>
    <s v="Cases &amp; Composites"/>
    <s v="CAS-230281-L6Z8H8"/>
    <x v="2"/>
    <s v="Jorge L Pardo"/>
    <x v="175"/>
    <x v="3"/>
    <x v="3"/>
    <s v="false"/>
    <s v="24KC708"/>
    <s v="Repair-EA"/>
    <s v="OTC"/>
    <s v="Complete"/>
    <s v="2-Routine"/>
    <n v="27"/>
    <d v="2024-10-09T17:53:14"/>
    <d v="2025-04-11T04:00:00"/>
    <s v="PW4000"/>
    <s v="Jia Chen"/>
    <s v="75%"/>
  </r>
  <r>
    <s v="Cases &amp; Composites"/>
    <s v="CAS-230281-L6Z8H8"/>
    <x v="2"/>
    <s v="Jorge L Pardo"/>
    <x v="176"/>
    <x v="3"/>
    <x v="3"/>
    <s v="false"/>
    <s v="24KC708"/>
    <s v="Repair-EA"/>
    <s v="OTC"/>
    <s v="Complete"/>
    <s v="2-Routine"/>
    <n v="27"/>
    <d v="2024-10-09T17:53:14"/>
    <d v="2025-04-11T04:00:00"/>
    <s v="PW4000"/>
    <s v="Jia Chen"/>
    <s v="75%"/>
  </r>
  <r>
    <s v="Cases &amp; Composites"/>
    <s v="CAS-230412-W9V3C5"/>
    <x v="0"/>
    <s v="Sean Squire"/>
    <x v="177"/>
    <x v="2"/>
    <x v="2"/>
    <s v="true"/>
    <s v="24KC706"/>
    <s v="Repair-EA"/>
    <s v="OTC"/>
    <s v="Complete"/>
    <s v="2-Routine"/>
    <n v="11"/>
    <d v="2024-10-10T15:19:44"/>
    <d v="2025-04-25T04:00:00"/>
    <s v="PW4000"/>
    <s v="Tyler Abusbah"/>
    <s v="50%"/>
  </r>
  <r>
    <s v="Cases &amp; Composites"/>
    <s v="CAS-231183-W9Z9D6"/>
    <x v="0"/>
    <s v="Sean Squire"/>
    <x v="178"/>
    <x v="0"/>
    <x v="0"/>
    <s v="false"/>
    <s v="25KC170"/>
    <s v="Repair-EA"/>
    <s v="OTC"/>
    <s v="Complete"/>
    <s v="2-Routine"/>
    <m/>
    <d v="2024-10-17T17:46:55"/>
    <d v="2025-04-17T04:00:00"/>
    <s v="PW4000"/>
    <s v="Jia Chen"/>
    <s v="50%"/>
  </r>
  <r>
    <s v="Cases &amp; Composites"/>
    <s v="CAS-231526-D7H6X3"/>
    <x v="1"/>
    <s v="Adam Lozon"/>
    <x v="179"/>
    <x v="2"/>
    <x v="2"/>
    <s v="false"/>
    <s v="24KC675"/>
    <s v="Repair-EA"/>
    <s v="EM"/>
    <s v="Complete"/>
    <s v="2-Routine"/>
    <n v="28"/>
    <d v="2024-10-21T16:57:10"/>
    <d v="2025-06-25T04:00:00"/>
    <s v="PW4000"/>
    <s v="Francisco Astiasaran"/>
    <m/>
  </r>
  <r>
    <s v="Cases &amp; Composites"/>
    <s v="CAS-231645-Y6Q0Z3"/>
    <x v="1"/>
    <s v="Thomas A Vetere"/>
    <x v="180"/>
    <x v="2"/>
    <x v="2"/>
    <s v="true"/>
    <s v="24KC736"/>
    <s v="Repair-EA"/>
    <s v="OTC"/>
    <s v="Complete"/>
    <s v="2-Routine"/>
    <m/>
    <d v="2024-10-22T13:10:50"/>
    <d v="2025-02-28T05:00:00"/>
    <s v="PW4000"/>
    <s v="Jia Chen"/>
    <s v="75%"/>
  </r>
  <r>
    <s v="Cases &amp; Composites"/>
    <s v="CAS-231692-S7W4C9"/>
    <x v="1"/>
    <s v="Adam Lozon"/>
    <x v="181"/>
    <x v="2"/>
    <x v="2"/>
    <s v="false"/>
    <s v="24KC683"/>
    <s v="Repair-EA"/>
    <s v="EM"/>
    <s v="Complete"/>
    <s v="2-Routine"/>
    <n v="29"/>
    <d v="2024-10-22T17:51:15"/>
    <d v="2025-06-25T04:00:00"/>
    <s v="PW4000"/>
    <s v="Francisco Astiasaran"/>
    <m/>
  </r>
  <r>
    <s v="Cases &amp; Composites"/>
    <s v="CAS-231792-B2Y8V8"/>
    <x v="0"/>
    <s v="Patton Conroy"/>
    <x v="182"/>
    <x v="4"/>
    <x v="4"/>
    <s v="true"/>
    <s v="25KC035"/>
    <s v="Repair-EA"/>
    <s v="OTC"/>
    <s v="Complete"/>
    <s v="2-Routine"/>
    <n v="13"/>
    <d v="2024-10-23T13:43:33"/>
    <d v="2025-04-30T04:00:00"/>
    <s v="PW4000"/>
    <s v="Alexander Page"/>
    <s v="75%"/>
  </r>
  <r>
    <s v="Cases &amp; Composites"/>
    <s v="CAS-231792-B2Y8V8"/>
    <x v="0"/>
    <s v="Patton Conroy"/>
    <x v="183"/>
    <x v="4"/>
    <x v="5"/>
    <s v="false"/>
    <s v="25KC035"/>
    <s v="Repair-EA"/>
    <s v="OTC"/>
    <s v="Complete"/>
    <s v="2-Routine"/>
    <n v="13"/>
    <d v="2024-10-23T13:43:33"/>
    <d v="2025-04-30T04:00:00"/>
    <s v="PW4000"/>
    <s v="Alexander Page"/>
    <s v="75%"/>
  </r>
  <r>
    <s v="Cases &amp; Composites"/>
    <s v="CAS-231818-M1J0B1"/>
    <x v="4"/>
    <s v="Luis Mendez Cuevas"/>
    <x v="184"/>
    <x v="6"/>
    <x v="27"/>
    <s v="true"/>
    <s v="24CCV37"/>
    <s v="Repair-EA"/>
    <s v="OTC"/>
    <s v="Complete"/>
    <s v="2-Routine"/>
    <n v="18"/>
    <d v="2024-10-23T16:35:31"/>
    <d v="2025-06-13T04:00:00"/>
    <s v="PW1000G"/>
    <s v="Tyler Abusbah"/>
    <s v="50%"/>
  </r>
  <r>
    <s v="Cases &amp; Composites"/>
    <s v="CAS-231818-M1J0B1"/>
    <x v="4"/>
    <s v="Luis Mendez Cuevas"/>
    <x v="185"/>
    <x v="6"/>
    <x v="27"/>
    <s v="false"/>
    <s v="24CCV37"/>
    <s v="Repair-EA"/>
    <s v="OTC"/>
    <s v="Complete"/>
    <s v="2-Routine"/>
    <n v="18"/>
    <d v="2024-10-23T16:35:31"/>
    <d v="2025-06-13T04:00:00"/>
    <s v="PW1000G"/>
    <s v="Tyler Abusbah"/>
    <s v="50%"/>
  </r>
  <r>
    <s v="Cases &amp; Composites"/>
    <s v="CAS-231944-C2X6D7"/>
    <x v="4"/>
    <s v="Jeremy Thayer"/>
    <x v="186"/>
    <x v="5"/>
    <x v="25"/>
    <s v="false"/>
    <s v="24VG264"/>
    <s v="Repair-EA"/>
    <s v="OTC"/>
    <s v="Complete"/>
    <s v="2-Routine"/>
    <m/>
    <d v="2024-10-24T14:02:10"/>
    <d v="2025-04-18T04:00:00"/>
    <s v="V2500"/>
    <s v="Orlando Melendez Colon"/>
    <s v="75%"/>
  </r>
  <r>
    <s v="Cases &amp; Composites"/>
    <s v="CAS-231944-C2X6D7"/>
    <x v="4"/>
    <s v="Jeremy Thayer"/>
    <x v="187"/>
    <x v="6"/>
    <x v="27"/>
    <s v="false"/>
    <s v="24VG264"/>
    <s v="Repair-EA"/>
    <s v="OTC"/>
    <s v="Complete"/>
    <s v="2-Routine"/>
    <m/>
    <d v="2024-10-24T14:02:10"/>
    <d v="2025-04-18T04:00:00"/>
    <s v="V2500"/>
    <s v="Orlando Melendez Colon"/>
    <s v="75%"/>
  </r>
  <r>
    <s v="Cases &amp; Composites"/>
    <s v="CAS-231944-C2X6D7"/>
    <x v="4"/>
    <s v="Jeremy Thayer"/>
    <x v="188"/>
    <x v="5"/>
    <x v="28"/>
    <s v="true"/>
    <s v="24VG264"/>
    <s v="Repair-EA"/>
    <s v="OTC"/>
    <s v="Complete"/>
    <s v="2-Routine"/>
    <m/>
    <d v="2024-10-24T14:02:10"/>
    <d v="2025-04-18T04:00:00"/>
    <s v="V2500"/>
    <s v="Orlando Melendez Colon"/>
    <s v="75%"/>
  </r>
  <r>
    <s v="Cases &amp; Composites"/>
    <s v="CAS-231953-B0Q9P2"/>
    <x v="0"/>
    <s v="Patton Conroy"/>
    <x v="189"/>
    <x v="4"/>
    <x v="4"/>
    <s v="false"/>
    <s v="25KC428"/>
    <s v="Repair-EA"/>
    <s v="OTC"/>
    <s v="Incomplete"/>
    <s v="2-Routine"/>
    <m/>
    <d v="2024-10-24T14:59:23"/>
    <d v="2025-11-07T05:00:00"/>
    <s v="PW4000"/>
    <s v="Jia Chen"/>
    <s v="75%"/>
  </r>
  <r>
    <s v="Cases &amp; Composites"/>
    <s v="CAS-231962-F8V8T4"/>
    <x v="0"/>
    <s v="Patton Conroy"/>
    <x v="190"/>
    <x v="4"/>
    <x v="4"/>
    <s v="false"/>
    <s v="25KC057"/>
    <s v="Repair-EA"/>
    <s v="OTC"/>
    <s v="Complete"/>
    <s v="2-Routine"/>
    <m/>
    <d v="2024-10-24T15:34:39"/>
    <d v="2025-04-02T04:00:00"/>
    <s v="PW4000"/>
    <s v="Tyler Abusbah"/>
    <s v="75%"/>
  </r>
  <r>
    <s v="Cases &amp; Composites"/>
    <s v="CAS-231969-Z3Z2Y8"/>
    <x v="2"/>
    <s v="Jorge L Pardo"/>
    <x v="191"/>
    <x v="3"/>
    <x v="3"/>
    <s v="false"/>
    <s v="25AC013"/>
    <s v="Repair-EA"/>
    <s v="EM"/>
    <s v="Complete"/>
    <s v="2-Routine"/>
    <n v="11"/>
    <d v="2024-10-24T16:53:26"/>
    <d v="2025-11-19T05:00:00"/>
    <s v="GP7000"/>
    <s v="Ferdin Mustafa"/>
    <s v="75%"/>
  </r>
  <r>
    <s v="Cases &amp; Composites"/>
    <s v="CAS-232690-Y1P9M3"/>
    <x v="5"/>
    <s v="Jesse Os"/>
    <x v="192"/>
    <x v="3"/>
    <x v="12"/>
    <s v="true"/>
    <s v="24KC718"/>
    <s v="Repair-EA"/>
    <s v="OTC"/>
    <s v="Incomplete"/>
    <s v="2-Routine"/>
    <m/>
    <d v="2024-10-31T15:39:03"/>
    <d v="2025-09-30T04:00:00"/>
    <s v="PW4000"/>
    <s v="Francisco Astiasaran"/>
    <s v="50%"/>
  </r>
  <r>
    <s v="Cases &amp; Composites"/>
    <s v="CAS-233056-Q1C1R7"/>
    <x v="2"/>
    <s v="Jorge L Pardo"/>
    <x v="193"/>
    <x v="3"/>
    <x v="3"/>
    <s v="false"/>
    <s v="25KC062"/>
    <s v="Repair-EA"/>
    <s v="OTC"/>
    <s v="Complete"/>
    <s v="2-Routine"/>
    <n v="20"/>
    <d v="2024-11-05T10:33:57"/>
    <d v="2025-05-30T04:00:00"/>
    <s v="PW4000"/>
    <s v="Ferdin Mustafa"/>
    <s v="50%"/>
  </r>
  <r>
    <s v="Cases &amp; Composites"/>
    <s v="CAS-233056-Q1C1R7"/>
    <x v="1"/>
    <s v="Adam Lozon"/>
    <x v="194"/>
    <x v="0"/>
    <x v="6"/>
    <s v="false"/>
    <s v="25KC062"/>
    <s v="Repair-EA"/>
    <s v="OTC"/>
    <s v="Complete"/>
    <s v="2-Routine"/>
    <n v="20"/>
    <d v="2024-11-05T10:33:57"/>
    <d v="2025-05-30T04:00:00"/>
    <s v="PW4000"/>
    <s v="Ferdin Mustafa"/>
    <s v="50%"/>
  </r>
  <r>
    <s v="Cases &amp; Composites"/>
    <s v="CAS-233056-Q1C1R7"/>
    <x v="1"/>
    <s v="Adam Lozon"/>
    <x v="195"/>
    <x v="3"/>
    <x v="3"/>
    <s v="false"/>
    <s v="25KC062"/>
    <s v="Repair-EA"/>
    <s v="OTC"/>
    <s v="Complete"/>
    <s v="2-Routine"/>
    <n v="20"/>
    <d v="2024-11-05T10:33:57"/>
    <d v="2025-05-30T04:00:00"/>
    <s v="PW4000"/>
    <s v="Ferdin Mustafa"/>
    <s v="50%"/>
  </r>
  <r>
    <s v="Cases &amp; Composites"/>
    <s v="CAS-233056-Q1C1R7"/>
    <x v="1"/>
    <s v="Adam Lozon"/>
    <x v="196"/>
    <x v="0"/>
    <x v="6"/>
    <s v="false"/>
    <s v="25KC062"/>
    <s v="Repair-EA"/>
    <s v="OTC"/>
    <s v="Complete"/>
    <s v="2-Routine"/>
    <n v="20"/>
    <d v="2024-11-05T10:33:57"/>
    <d v="2025-05-30T04:00:00"/>
    <s v="PW4000"/>
    <s v="Ferdin Mustafa"/>
    <s v="50%"/>
  </r>
  <r>
    <s v="Cases &amp; Composites"/>
    <s v="CAS-233136-Z0S2N5"/>
    <x v="0"/>
    <s v="Sean Squire"/>
    <x v="197"/>
    <x v="0"/>
    <x v="6"/>
    <s v="true"/>
    <s v="25KC026"/>
    <s v="Repair-EA"/>
    <s v="OTC"/>
    <s v="Complete"/>
    <s v="2-Routine"/>
    <n v="27"/>
    <d v="2024-11-05T21:24:50"/>
    <d v="2025-04-30T04:00:00"/>
    <s v="PW4000"/>
    <s v="Alexander Page"/>
    <s v="50%"/>
  </r>
  <r>
    <s v="Cases &amp; Composites"/>
    <s v="CAS-234013-G6X7T7"/>
    <x v="5"/>
    <s v="Jeremy Thayer"/>
    <x v="198"/>
    <x v="3"/>
    <x v="12"/>
    <s v="false"/>
    <s v="25VG006"/>
    <s v="Repair-EA"/>
    <s v="OTC"/>
    <s v="Complete"/>
    <s v="2-Routine"/>
    <n v="13"/>
    <d v="2024-11-13T20:32:21"/>
    <d v="2025-02-14T05:00:00"/>
    <s v="V2500"/>
    <s v="Orlando Melendez Colon"/>
    <s v="75%"/>
  </r>
  <r>
    <s v="Cases &amp; Composites"/>
    <s v="CAS-234263-P5S9B5"/>
    <x v="2"/>
    <s v="Jorge L Pardo"/>
    <x v="199"/>
    <x v="3"/>
    <x v="3"/>
    <s v="false"/>
    <s v="25VC020"/>
    <s v="Repair-EA"/>
    <s v="OTC"/>
    <s v="Complete"/>
    <s v="2-Routine"/>
    <m/>
    <d v="2024-11-15T09:19:38"/>
    <d v="2025-04-02T04:00:00"/>
    <s v="V2500"/>
    <s v="Orlando Melendez Colon"/>
    <s v="50%"/>
  </r>
  <r>
    <s v="Cases &amp; Composites"/>
    <s v="CAS-234263-P5S9B5"/>
    <x v="2"/>
    <s v="Jorge L Pardo"/>
    <x v="200"/>
    <x v="3"/>
    <x v="3"/>
    <s v="false"/>
    <s v="25VC020"/>
    <s v="Repair-EA"/>
    <s v="OTC"/>
    <s v="Complete"/>
    <s v="2-Routine"/>
    <m/>
    <d v="2024-11-15T09:19:38"/>
    <d v="2025-04-02T04:00:00"/>
    <s v="V2500"/>
    <s v="Orlando Melendez Colon"/>
    <s v="50%"/>
  </r>
  <r>
    <s v="Cases &amp; Composites"/>
    <s v="CAS-234274-Q4Y5B4"/>
    <x v="1"/>
    <s v="Adam Lozon"/>
    <x v="201"/>
    <x v="0"/>
    <x v="6"/>
    <s v="false"/>
    <s v="25KC055"/>
    <s v="Repair-EA"/>
    <s v="OTC"/>
    <s v="Complete"/>
    <s v="2-Routine"/>
    <n v="12"/>
    <d v="2024-11-15T10:16:01"/>
    <d v="2025-05-09T04:00:00"/>
    <s v="PW4000"/>
    <s v="Ferdin Mustafa"/>
    <s v="75%"/>
  </r>
  <r>
    <s v="Cases &amp; Composites"/>
    <s v="CAS-234961-C4B3Z1"/>
    <x v="1"/>
    <s v="Adam Lozon"/>
    <x v="202"/>
    <x v="3"/>
    <x v="3"/>
    <s v="false"/>
    <s v="25KC066"/>
    <s v="Repair-EA"/>
    <s v="OTC"/>
    <s v="Complete"/>
    <s v="2-Routine"/>
    <n v="19"/>
    <d v="2024-11-21T14:21:52"/>
    <d v="2025-02-11T05:00:00"/>
    <s v="PW4000"/>
    <s v="Francisco Astiasaran"/>
    <m/>
  </r>
  <r>
    <s v="Cases &amp; Composites"/>
    <s v="CAS-234961-C4B3Z1"/>
    <x v="1"/>
    <s v="Adam Lozon"/>
    <x v="203"/>
    <x v="1"/>
    <x v="14"/>
    <s v="false"/>
    <s v="25KC066"/>
    <s v="Repair-EA"/>
    <s v="OTC"/>
    <s v="Complete"/>
    <s v="2-Routine"/>
    <n v="19"/>
    <d v="2024-11-21T14:21:52"/>
    <d v="2025-02-11T05:00:00"/>
    <s v="PW4000"/>
    <s v="Francisco Astiasaran"/>
    <m/>
  </r>
  <r>
    <s v="Cases &amp; Composites"/>
    <s v="CAS-234999-V0P6T0"/>
    <x v="0"/>
    <s v="Patton Conroy"/>
    <x v="204"/>
    <x v="4"/>
    <x v="26"/>
    <s v="true"/>
    <s v="25KC099"/>
    <s v="Repair-EA"/>
    <s v="OTC"/>
    <s v="Complete"/>
    <s v="2-Routine"/>
    <m/>
    <d v="2024-11-21T20:47:53"/>
    <d v="2025-05-12T04:00:00"/>
    <s v="PW4000"/>
    <s v="Tyler Abusbah"/>
    <s v="50%"/>
  </r>
  <r>
    <s v="Cases &amp; Composites"/>
    <s v="CAS-234999-V0P6T0"/>
    <x v="2"/>
    <s v="Patton Conroy"/>
    <x v="205"/>
    <x v="3"/>
    <x v="12"/>
    <s v="false"/>
    <s v="25KC099"/>
    <s v="Repair-EA"/>
    <s v="OTC"/>
    <s v="Complete"/>
    <s v="2-Routine"/>
    <m/>
    <d v="2024-11-21T20:47:53"/>
    <d v="2025-05-12T04:00:00"/>
    <s v="PW4000"/>
    <s v="Tyler Abusbah"/>
    <s v="50%"/>
  </r>
  <r>
    <s v="Cases &amp; Composites"/>
    <s v="CAS-235126-D1M2F0"/>
    <x v="1"/>
    <s v="Michael Karnas"/>
    <x v="206"/>
    <x v="0"/>
    <x v="15"/>
    <s v="true"/>
    <s v="25KC065"/>
    <s v="Repair-EA"/>
    <s v="OTC"/>
    <s v="Incomplete"/>
    <s v="2-Routine"/>
    <n v="12"/>
    <d v="2024-12-02T21:06:32"/>
    <d v="2025-08-27T04:00:00"/>
    <s v="PW4000"/>
    <s v="Alexander Page"/>
    <s v="50%"/>
  </r>
  <r>
    <s v="Cases &amp; Composites"/>
    <s v="CAS-235126-D1M2F0"/>
    <x v="2"/>
    <s v="Sean Squire"/>
    <x v="207"/>
    <x v="0"/>
    <x v="6"/>
    <s v="true"/>
    <s v="25KC065"/>
    <s v="Repair-EA"/>
    <s v="OTC"/>
    <s v="Incomplete"/>
    <s v="2-Routine"/>
    <n v="12"/>
    <d v="2024-12-02T21:06:32"/>
    <d v="2025-08-27T04:00:00"/>
    <s v="PW4000"/>
    <s v="Alexander Page"/>
    <s v="50%"/>
  </r>
  <r>
    <s v="Cases &amp; Composites"/>
    <s v="CAS-235126-D1M2F0"/>
    <x v="1"/>
    <s v="Michael Karnas"/>
    <x v="208"/>
    <x v="0"/>
    <x v="6"/>
    <s v="true"/>
    <s v="25KC065"/>
    <s v="Repair-EA"/>
    <s v="OTC"/>
    <s v="Incomplete"/>
    <s v="2-Routine"/>
    <n v="12"/>
    <d v="2024-12-02T21:06:32"/>
    <d v="2025-08-27T04:00:00"/>
    <s v="PW4000"/>
    <s v="Alexander Page"/>
    <s v="50%"/>
  </r>
  <r>
    <s v="Cases &amp; Composites"/>
    <s v="CAS-235126-D1M2F0"/>
    <x v="1"/>
    <s v="Michael Karnas"/>
    <x v="209"/>
    <x v="2"/>
    <x v="2"/>
    <s v="true"/>
    <s v="25KC065"/>
    <s v="Repair-EA"/>
    <s v="OTC"/>
    <s v="Incomplete"/>
    <s v="2-Routine"/>
    <n v="12"/>
    <d v="2024-12-02T21:06:32"/>
    <d v="2025-08-27T04:00:00"/>
    <s v="PW4000"/>
    <s v="Alexander Page"/>
    <s v="50%"/>
  </r>
  <r>
    <s v="Cases &amp; Composites"/>
    <s v="CAS-235134-L1Z0K4"/>
    <x v="0"/>
    <s v="Sean Squire"/>
    <x v="210"/>
    <x v="0"/>
    <x v="6"/>
    <s v="true"/>
    <s v="25CC803"/>
    <s v="Repair-EA"/>
    <s v="OTC"/>
    <s v="Incomplete"/>
    <s v="2-Routine"/>
    <n v="35"/>
    <d v="2024-11-22T20:53:32"/>
    <d v="2025-09-18T04:00:00"/>
    <s v="PW1000G"/>
    <s v="Alexander Page"/>
    <s v="50%"/>
  </r>
  <r>
    <s v="Cases &amp; Composites"/>
    <s v="CAS-235278-V0R5V5"/>
    <x v="1"/>
    <s v="Michael Karnas"/>
    <x v="211"/>
    <x v="2"/>
    <x v="2"/>
    <s v="true"/>
    <s v="24CCX42"/>
    <s v="Repair-EA"/>
    <s v="OTC"/>
    <s v="Complete"/>
    <s v="2-Routine"/>
    <n v="11"/>
    <d v="2024-11-25T13:23:06"/>
    <d v="2025-01-30T05:00:00"/>
    <s v="PW1000G"/>
    <s v="Francisco Astiasaran"/>
    <s v="50%"/>
  </r>
  <r>
    <s v="Cases &amp; Composites"/>
    <s v="CAS-235278-V0R5V5"/>
    <x v="1"/>
    <s v="Michael Karnas"/>
    <x v="212"/>
    <x v="0"/>
    <x v="6"/>
    <s v="true"/>
    <s v="24CCX42"/>
    <s v="Repair-EA"/>
    <s v="OTC"/>
    <s v="Complete"/>
    <s v="2-Routine"/>
    <n v="11"/>
    <d v="2024-11-25T13:23:06"/>
    <d v="2025-01-30T05:00:00"/>
    <s v="PW1000G"/>
    <s v="Francisco Astiasaran"/>
    <s v="50%"/>
  </r>
  <r>
    <s v="Cases &amp; Composites"/>
    <s v="CAS-235285-D6F5Y8"/>
    <x v="1"/>
    <s v="Michael Karnas"/>
    <x v="213"/>
    <x v="1"/>
    <x v="17"/>
    <s v="false"/>
    <s v="24CCX50"/>
    <s v="Repair-EA"/>
    <s v="OTC"/>
    <s v="Complete"/>
    <s v="2-Routine"/>
    <n v="13"/>
    <d v="2024-11-25T14:06:39"/>
    <d v="2025-01-31T05:00:00"/>
    <s v="PW1000G"/>
    <s v="Francisco Astiasaran"/>
    <m/>
  </r>
  <r>
    <s v="Cases &amp; Composites"/>
    <s v="CAS-235285-D6F5Y8"/>
    <x v="1"/>
    <s v="Michael Karnas"/>
    <x v="214"/>
    <x v="0"/>
    <x v="0"/>
    <s v="false"/>
    <s v="24CCX50"/>
    <s v="Repair-EA"/>
    <s v="OTC"/>
    <s v="Complete"/>
    <s v="2-Routine"/>
    <n v="13"/>
    <d v="2024-11-25T14:06:39"/>
    <d v="2025-01-31T05:00:00"/>
    <s v="PW1000G"/>
    <s v="Francisco Astiasaran"/>
    <m/>
  </r>
  <r>
    <s v="Cases &amp; Composites"/>
    <s v="CAS-235286-N4T3Z8"/>
    <x v="2"/>
    <s v="Jorge L Pardo"/>
    <x v="215"/>
    <x v="3"/>
    <x v="3"/>
    <s v="false"/>
    <s v="25KC292"/>
    <s v="Repair-EA"/>
    <s v="OTC"/>
    <s v="Incomplete"/>
    <s v="2-Routine"/>
    <n v="17"/>
    <d v="2024-11-25T05:00:00"/>
    <d v="2025-08-08T04:00:00"/>
    <s v="PW4000"/>
    <s v="Ferdin Mustafa"/>
    <s v="50%"/>
  </r>
  <r>
    <s v="Cases &amp; Composites"/>
    <s v="CAS-235286-N4T3Z8"/>
    <x v="1"/>
    <s v="Thomas A Vetere"/>
    <x v="216"/>
    <x v="2"/>
    <x v="2"/>
    <s v="false"/>
    <s v="25KC292"/>
    <s v="Repair-EA"/>
    <s v="OTC"/>
    <s v="Incomplete"/>
    <s v="2-Routine"/>
    <n v="17"/>
    <d v="2024-11-25T05:00:00"/>
    <d v="2025-08-08T04:00:00"/>
    <s v="PW4000"/>
    <s v="Ferdin Mustafa"/>
    <s v="50%"/>
  </r>
  <r>
    <s v="Cases &amp; Composites"/>
    <s v="CAS-235323-N9M4X8"/>
    <x v="1"/>
    <s v="Adam Lozon"/>
    <x v="217"/>
    <x v="3"/>
    <x v="3"/>
    <s v="false"/>
    <s v="25KC005"/>
    <s v="Repair-EA"/>
    <s v="EM"/>
    <s v="Complete"/>
    <s v="2-Routine"/>
    <n v="20"/>
    <d v="2024-11-25T20:05:56"/>
    <d v="2025-03-07T05:00:00"/>
    <s v="PW4000"/>
    <s v="Francisco Astiasaran"/>
    <s v="50%"/>
  </r>
  <r>
    <s v="Cases &amp; Composites"/>
    <s v="CAS-235323-N9M4X8"/>
    <x v="1"/>
    <s v="Adam Lozon"/>
    <x v="218"/>
    <x v="0"/>
    <x v="0"/>
    <s v="true"/>
    <s v="25KC005"/>
    <s v="Repair-EA"/>
    <s v="EM"/>
    <s v="Complete"/>
    <s v="2-Routine"/>
    <n v="20"/>
    <d v="2024-11-25T20:05:56"/>
    <d v="2025-03-07T05:00:00"/>
    <s v="PW4000"/>
    <s v="Francisco Astiasaran"/>
    <s v="50%"/>
  </r>
  <r>
    <s v="Cases &amp; Composites"/>
    <s v="CAS-235452-Z9Y2Y2"/>
    <x v="0"/>
    <s v="Patton Conroy"/>
    <x v="219"/>
    <x v="3"/>
    <x v="12"/>
    <s v="false"/>
    <s v="25CC862"/>
    <s v="Repair-EA"/>
    <s v="OTC"/>
    <s v="Incomplete"/>
    <s v="2-Routine"/>
    <n v="28"/>
    <d v="2024-11-26T18:48:47"/>
    <d v="2025-09-05T04:00:00"/>
    <s v="PW1000G"/>
    <s v="Alexander Page"/>
    <s v="75%"/>
  </r>
  <r>
    <s v="Cases &amp; Composites"/>
    <s v="CAS-236047-G8C6R0"/>
    <x v="5"/>
    <s v="Nathaniel Drisdelle"/>
    <x v="220"/>
    <x v="4"/>
    <x v="26"/>
    <s v="true"/>
    <s v="25VC078"/>
    <s v="Repair-EA"/>
    <s v="OTC"/>
    <s v="Complete"/>
    <s v="2-Routine"/>
    <n v="14"/>
    <d v="2024-12-03T14:42:11"/>
    <d v="2025-06-13T04:00:00"/>
    <s v="V2500"/>
    <s v="Orlando Melendez Colon"/>
    <s v="75%"/>
  </r>
  <r>
    <s v="Cases &amp; Composites"/>
    <s v="CAS-236063-K6K9W7"/>
    <x v="0"/>
    <s v="Sean Squire"/>
    <x v="221"/>
    <x v="0"/>
    <x v="10"/>
    <s v="true"/>
    <s v="25AC009"/>
    <s v="Repair-EA"/>
    <s v="EM"/>
    <s v="Complete"/>
    <s v="2-Routine"/>
    <m/>
    <d v="2024-12-03T16:34:56"/>
    <d v="2025-03-25T04:00:00"/>
    <s v="GP7000"/>
    <s v="Ferdin Mustafa"/>
    <s v="75%"/>
  </r>
  <r>
    <s v="Cases &amp; Composites"/>
    <s v="CAS-236068-H0M9H5"/>
    <x v="1"/>
    <s v="Adam Lozon"/>
    <x v="222"/>
    <x v="0"/>
    <x v="0"/>
    <s v="false"/>
    <s v="14CC326F"/>
    <s v="Repair-EA"/>
    <s v="EM"/>
    <s v="Complete"/>
    <s v="2-Routine"/>
    <n v="29"/>
    <d v="2024-12-03T17:10:52"/>
    <d v="2025-02-10T05:00:00"/>
    <s v="PW1000G"/>
    <s v="Francisco Astiasaran"/>
    <s v="75%"/>
  </r>
  <r>
    <s v="Cases &amp; Composites"/>
    <s v="CAS-236068-H0M9H5"/>
    <x v="1"/>
    <s v="Adam Lozon"/>
    <x v="223"/>
    <x v="1"/>
    <x v="17"/>
    <s v="false"/>
    <s v="14CC326F"/>
    <s v="Repair-EA"/>
    <s v="EM"/>
    <s v="Complete"/>
    <s v="2-Routine"/>
    <n v="29"/>
    <d v="2024-12-03T17:10:52"/>
    <d v="2025-02-10T05:00:00"/>
    <s v="PW1000G"/>
    <s v="Francisco Astiasaran"/>
    <s v="75%"/>
  </r>
  <r>
    <s v="Cases &amp; Composites"/>
    <s v="CAS-236068-H0M9H5"/>
    <x v="1"/>
    <s v="Adam Lozon"/>
    <x v="224"/>
    <x v="0"/>
    <x v="10"/>
    <s v="false"/>
    <s v="14CC326F"/>
    <s v="Repair-EA"/>
    <s v="EM"/>
    <s v="Complete"/>
    <s v="2-Routine"/>
    <n v="29"/>
    <d v="2024-12-03T17:10:52"/>
    <d v="2025-02-10T05:00:00"/>
    <s v="PW1000G"/>
    <s v="Francisco Astiasaran"/>
    <s v="75%"/>
  </r>
  <r>
    <s v="Cases &amp; Composites"/>
    <s v="CAS-236068-H0M9H5"/>
    <x v="1"/>
    <s v="Adam Lozon"/>
    <x v="225"/>
    <x v="2"/>
    <x v="2"/>
    <s v="false"/>
    <s v="14CC326F"/>
    <s v="Repair-EA"/>
    <s v="EM"/>
    <s v="Complete"/>
    <s v="2-Routine"/>
    <n v="29"/>
    <d v="2024-12-03T17:10:52"/>
    <d v="2025-02-10T05:00:00"/>
    <s v="PW1000G"/>
    <s v="Francisco Astiasaran"/>
    <s v="75%"/>
  </r>
  <r>
    <s v="Cases &amp; Composites"/>
    <s v="CAS-236209-X2W7Y8"/>
    <x v="0"/>
    <s v="Patton Conroy"/>
    <x v="226"/>
    <x v="4"/>
    <x v="4"/>
    <s v="true"/>
    <s v="25KC032"/>
    <s v="Repair-EA"/>
    <s v="OTC"/>
    <s v="Complete"/>
    <s v="2-Routine"/>
    <m/>
    <d v="2024-12-04T20:11:50"/>
    <d v="2025-06-27T04:00:00"/>
    <s v="PW4000"/>
    <s v="Alexander Page"/>
    <s v="75%"/>
  </r>
  <r>
    <s v="Cases &amp; Composites"/>
    <s v="CAS-236209-X2W7Y8"/>
    <x v="0"/>
    <s v="Patton Conroy"/>
    <x v="227"/>
    <x v="4"/>
    <x v="26"/>
    <s v="false"/>
    <s v="25KC032"/>
    <s v="Repair-EA"/>
    <s v="OTC"/>
    <s v="Complete"/>
    <s v="2-Routine"/>
    <m/>
    <d v="2024-12-04T20:11:50"/>
    <d v="2025-06-27T04:00:00"/>
    <s v="PW4000"/>
    <s v="Alexander Page"/>
    <s v="75%"/>
  </r>
  <r>
    <s v="Cases &amp; Composites"/>
    <s v="CAS-236209-X2W7Y8"/>
    <x v="2"/>
    <s v="Patton Conroy"/>
    <x v="228"/>
    <x v="2"/>
    <x v="2"/>
    <s v="false"/>
    <s v="25KC032"/>
    <s v="Repair-EA"/>
    <s v="OTC"/>
    <s v="Complete"/>
    <s v="2-Routine"/>
    <m/>
    <d v="2024-12-04T20:11:50"/>
    <d v="2025-06-27T04:00:00"/>
    <s v="PW4000"/>
    <s v="Alexander Page"/>
    <s v="75%"/>
  </r>
  <r>
    <s v="Cases &amp; Composites"/>
    <s v="CAS-236766-H3Z3H0"/>
    <x v="0"/>
    <s v="Chase Poage"/>
    <x v="229"/>
    <x v="4"/>
    <x v="5"/>
    <s v="false"/>
    <s v="25KC093"/>
    <s v="Repair-EA"/>
    <s v="OTC"/>
    <s v="Complete"/>
    <s v="2-Routine"/>
    <n v="22"/>
    <d v="2024-12-10T19:17:40"/>
    <d v="2025-04-30T04:00:00"/>
    <s v="PW4000"/>
    <s v="Alexander Page"/>
    <s v="75%"/>
  </r>
  <r>
    <s v="Cases &amp; Composites"/>
    <s v="CAS-236766-H3Z3H0"/>
    <x v="1"/>
    <s v="Paul A DeCrescente"/>
    <x v="230"/>
    <x v="2"/>
    <x v="8"/>
    <s v="false"/>
    <s v="25KC093"/>
    <s v="Repair-EA"/>
    <s v="OTC"/>
    <s v="Complete"/>
    <s v="2-Routine"/>
    <n v="22"/>
    <d v="2024-12-10T19:17:40"/>
    <d v="2025-04-30T04:00:00"/>
    <s v="PW4000"/>
    <s v="Alexander Page"/>
    <s v="75%"/>
  </r>
  <r>
    <s v="Cases &amp; Composites"/>
    <s v="CAS-236908-Q6S5D8"/>
    <x v="1"/>
    <s v="Michael Karnas"/>
    <x v="231"/>
    <x v="1"/>
    <x v="17"/>
    <s v="false"/>
    <s v="24CCY60"/>
    <s v="Repair-EA"/>
    <s v="OTC"/>
    <s v="Complete"/>
    <s v="2-Routine"/>
    <m/>
    <d v="2024-12-11T16:01:40"/>
    <d v="2025-01-17T05:00:00"/>
    <s v="PW1000G"/>
    <s v="Francisco Astiasaran"/>
    <s v="75%"/>
  </r>
  <r>
    <s v="Cases &amp; Composites"/>
    <s v="CAS-236908-Q6S5D8"/>
    <x v="1"/>
    <s v="Michael Karnas"/>
    <x v="232"/>
    <x v="0"/>
    <x v="6"/>
    <s v="true"/>
    <s v="24CCY60"/>
    <s v="Repair-EA"/>
    <s v="OTC"/>
    <s v="Complete"/>
    <s v="2-Routine"/>
    <m/>
    <d v="2024-12-11T16:01:40"/>
    <d v="2025-01-17T05:00:00"/>
    <s v="PW1000G"/>
    <s v="Francisco Astiasaran"/>
    <s v="75%"/>
  </r>
  <r>
    <s v="Cases &amp; Composites"/>
    <s v="CAS-236908-Q6S5D8"/>
    <x v="1"/>
    <s v="Michael Karnas"/>
    <x v="233"/>
    <x v="0"/>
    <x v="10"/>
    <s v="true"/>
    <s v="24CCY60"/>
    <s v="Repair-EA"/>
    <s v="OTC"/>
    <s v="Complete"/>
    <s v="2-Routine"/>
    <m/>
    <d v="2024-12-11T16:01:40"/>
    <d v="2025-01-17T05:00:00"/>
    <s v="PW1000G"/>
    <s v="Francisco Astiasaran"/>
    <s v="75%"/>
  </r>
  <r>
    <s v="Cases &amp; Composites"/>
    <s v="CAS-236908-Q6S5D8"/>
    <x v="1"/>
    <s v="Michael Karnas"/>
    <x v="234"/>
    <x v="2"/>
    <x v="2"/>
    <s v="false"/>
    <s v="24CCY60"/>
    <s v="Repair-EA"/>
    <s v="OTC"/>
    <s v="Complete"/>
    <s v="2-Routine"/>
    <m/>
    <d v="2024-12-11T16:01:40"/>
    <d v="2025-01-17T05:00:00"/>
    <s v="PW1000G"/>
    <s v="Francisco Astiasaran"/>
    <s v="75%"/>
  </r>
  <r>
    <s v="Cases &amp; Composites"/>
    <s v="CAS-236908-Q6S5D8"/>
    <x v="1"/>
    <s v="Michael Karnas"/>
    <x v="235"/>
    <x v="2"/>
    <x v="2"/>
    <s v="true"/>
    <s v="24CCY60"/>
    <s v="Repair-EA"/>
    <s v="OTC"/>
    <s v="Complete"/>
    <s v="2-Routine"/>
    <m/>
    <d v="2024-12-11T16:01:40"/>
    <d v="2025-01-17T05:00:00"/>
    <s v="PW1000G"/>
    <s v="Francisco Astiasaran"/>
    <s v="75%"/>
  </r>
  <r>
    <s v="Cases &amp; Composites"/>
    <s v="CAS-236948-F1Z4V5"/>
    <x v="0"/>
    <s v="Sean Squire"/>
    <x v="236"/>
    <x v="2"/>
    <x v="2"/>
    <s v="true"/>
    <s v="25KC056"/>
    <s v="Repair-EA"/>
    <s v="OTC"/>
    <s v="Complete"/>
    <s v="2-Routine"/>
    <n v="20"/>
    <d v="2024-12-12T14:03:01"/>
    <d v="2025-05-12T04:00:00"/>
    <s v="PW4000"/>
    <s v="Tyler Abusbah"/>
    <s v="50%"/>
  </r>
  <r>
    <s v="Cases &amp; Composites"/>
    <s v="CAS-236948-F1Z4V5"/>
    <x v="0"/>
    <s v="Sean Squire"/>
    <x v="237"/>
    <x v="2"/>
    <x v="2"/>
    <s v="true"/>
    <s v="25KC056"/>
    <s v="Repair-EA"/>
    <s v="OTC"/>
    <s v="Complete"/>
    <s v="2-Routine"/>
    <n v="20"/>
    <d v="2024-12-12T14:03:01"/>
    <d v="2025-05-12T04:00:00"/>
    <s v="PW4000"/>
    <s v="Tyler Abusbah"/>
    <s v="50%"/>
  </r>
  <r>
    <s v="Cases &amp; Composites"/>
    <s v="CAS-237062-Z0G8J6"/>
    <x v="1"/>
    <s v="Paul A DeCrescente"/>
    <x v="238"/>
    <x v="2"/>
    <x v="2"/>
    <s v="false"/>
    <s v="25KC147"/>
    <s v="Repair-EA"/>
    <s v="OTC"/>
    <s v="Complete"/>
    <s v="2-Routine"/>
    <n v="20"/>
    <d v="2024-12-12T15:02:35"/>
    <d v="2025-06-13T04:00:00"/>
    <s v="PW4000"/>
    <s v="Alexander Page"/>
    <s v="75%"/>
  </r>
  <r>
    <s v="Cases &amp; Composites"/>
    <s v="CAS-237062-Z0G8J6"/>
    <x v="1"/>
    <s v="Paul A DeCrescente"/>
    <x v="239"/>
    <x v="0"/>
    <x v="0"/>
    <s v="true"/>
    <s v="25KC147"/>
    <s v="Repair-EA"/>
    <s v="OTC"/>
    <s v="Complete"/>
    <s v="2-Routine"/>
    <n v="20"/>
    <d v="2024-12-12T15:02:35"/>
    <d v="2025-06-13T04:00:00"/>
    <s v="PW4000"/>
    <s v="Alexander Page"/>
    <s v="75%"/>
  </r>
  <r>
    <s v="Cases &amp; Composites"/>
    <s v="CAS-237062-Z0G8J6"/>
    <x v="1"/>
    <s v="Paul A DeCrescente"/>
    <x v="240"/>
    <x v="0"/>
    <x v="6"/>
    <s v="true"/>
    <s v="25KC147"/>
    <s v="Repair-EA"/>
    <s v="OTC"/>
    <s v="Complete"/>
    <s v="2-Routine"/>
    <n v="20"/>
    <d v="2024-12-12T15:02:35"/>
    <d v="2025-06-13T04:00:00"/>
    <s v="PW4000"/>
    <s v="Alexander Page"/>
    <s v="75%"/>
  </r>
  <r>
    <s v="Cases &amp; Composites"/>
    <s v="CAS-237615-J5V1Z8"/>
    <x v="2"/>
    <s v="Jorge L Pardo"/>
    <x v="241"/>
    <x v="3"/>
    <x v="3"/>
    <s v="false"/>
    <s v="25KC341"/>
    <s v="Repair-EA"/>
    <s v="OTC"/>
    <s v="Incomplete"/>
    <s v="2-Routine"/>
    <m/>
    <d v="2024-12-18T07:33:23"/>
    <d v="2025-08-04T04:00:00"/>
    <s v="PW4000"/>
    <s v="Ferdin Mustafa"/>
    <s v="75%"/>
  </r>
  <r>
    <s v="Cases &amp; Composites"/>
    <s v="CAS-237615-J5V1Z8"/>
    <x v="2"/>
    <s v="Jorge L Pardo"/>
    <x v="242"/>
    <x v="3"/>
    <x v="3"/>
    <s v="false"/>
    <s v="25KC341"/>
    <s v="Repair-EA"/>
    <s v="OTC"/>
    <s v="Incomplete"/>
    <s v="2-Routine"/>
    <m/>
    <d v="2024-12-18T07:33:23"/>
    <d v="2025-08-04T04:00:00"/>
    <s v="PW4000"/>
    <s v="Ferdin Mustafa"/>
    <s v="75%"/>
  </r>
  <r>
    <s v="Cases &amp; Composites"/>
    <s v="CAS-237959-Y4V7W9"/>
    <x v="0"/>
    <s v="Chase Poage"/>
    <x v="243"/>
    <x v="4"/>
    <x v="5"/>
    <s v="true"/>
    <s v="25KC232"/>
    <s v="Repair-EA"/>
    <s v="OTC"/>
    <s v="Complete"/>
    <s v="2-Routine"/>
    <m/>
    <d v="2024-12-20T15:40:13"/>
    <d v="2025-06-20T04:00:00"/>
    <s v="PW4000"/>
    <s v="Alexander Page"/>
    <s v="75%"/>
  </r>
  <r>
    <s v="Cases &amp; Composites"/>
    <s v="CAS-237967-D6Z9L0"/>
    <x v="1"/>
    <s v="Michael Karnas"/>
    <x v="244"/>
    <x v="2"/>
    <x v="2"/>
    <s v="false"/>
    <s v="25CC029"/>
    <s v="Repair-EA"/>
    <s v="OTC"/>
    <s v="Complete"/>
    <s v="2-Routine"/>
    <m/>
    <d v="2024-12-20T16:45:42"/>
    <d v="2025-01-17T05:00:00"/>
    <s v="PW1000G"/>
    <s v="Francisco Astiasaran"/>
    <m/>
  </r>
  <r>
    <s v="Cases &amp; Composites"/>
    <s v="CAS-237967-D6Z9L0"/>
    <x v="1"/>
    <s v="Michael Karnas"/>
    <x v="245"/>
    <x v="1"/>
    <x v="17"/>
    <s v="false"/>
    <s v="25CC029"/>
    <s v="Repair-EA"/>
    <s v="OTC"/>
    <s v="Complete"/>
    <s v="2-Routine"/>
    <m/>
    <d v="2024-12-20T16:45:42"/>
    <d v="2025-01-17T05:00:00"/>
    <s v="PW1000G"/>
    <s v="Francisco Astiasaran"/>
    <m/>
  </r>
  <r>
    <s v="Cases &amp; Composites"/>
    <s v="CAS-237967-D6Z9L0"/>
    <x v="1"/>
    <s v="Michael Karnas"/>
    <x v="246"/>
    <x v="2"/>
    <x v="2"/>
    <s v="true"/>
    <s v="25CC029"/>
    <s v="Repair-EA"/>
    <s v="OTC"/>
    <s v="Complete"/>
    <s v="2-Routine"/>
    <m/>
    <d v="2024-12-20T16:45:42"/>
    <d v="2025-01-17T05:00:00"/>
    <s v="PW1000G"/>
    <s v="Francisco Astiasaran"/>
    <m/>
  </r>
  <r>
    <s v="Cases &amp; Composites"/>
    <s v="CAS-237967-D6Z9L0"/>
    <x v="1"/>
    <s v="Michael Karnas"/>
    <x v="247"/>
    <x v="2"/>
    <x v="2"/>
    <s v="false"/>
    <s v="25CC029"/>
    <s v="Repair-EA"/>
    <s v="OTC"/>
    <s v="Complete"/>
    <s v="2-Routine"/>
    <m/>
    <d v="2024-12-20T16:45:42"/>
    <d v="2025-01-17T05:00:00"/>
    <s v="PW1000G"/>
    <s v="Francisco Astiasaran"/>
    <m/>
  </r>
  <r>
    <s v="Cases &amp; Composites"/>
    <s v="CAS-238114-N6K9C1"/>
    <x v="1"/>
    <s v="Adam Lozon"/>
    <x v="248"/>
    <x v="3"/>
    <x v="3"/>
    <s v="false"/>
    <s v="20CCD50A"/>
    <s v="Repair-EA"/>
    <s v="MR"/>
    <s v="Complete"/>
    <s v="Backlog"/>
    <m/>
    <d v="2024-12-23T13:58:13"/>
    <m/>
    <s v="PW1000G"/>
    <s v="Francisco Astiasaran"/>
    <s v="75%"/>
  </r>
  <r>
    <s v="Cases &amp; Composites"/>
    <s v="CAS-238114-N6K9C1"/>
    <x v="1"/>
    <s v="Adam Lozon"/>
    <x v="249"/>
    <x v="0"/>
    <x v="22"/>
    <s v="false"/>
    <s v="20CCD50A"/>
    <s v="Repair-EA"/>
    <s v="MR"/>
    <s v="Complete"/>
    <s v="Backlog"/>
    <m/>
    <d v="2024-12-23T13:58:13"/>
    <m/>
    <s v="PW1000G"/>
    <s v="Francisco Astiasaran"/>
    <s v="75%"/>
  </r>
  <r>
    <s v="Cases &amp; Composites"/>
    <s v="CAS-238114-N6K9C1"/>
    <x v="1"/>
    <s v="Adam Lozon"/>
    <x v="250"/>
    <x v="3"/>
    <x v="3"/>
    <s v="false"/>
    <s v="20CCD50A"/>
    <s v="Repair-EA"/>
    <s v="MR"/>
    <s v="Complete"/>
    <s v="Backlog"/>
    <m/>
    <d v="2024-12-23T13:58:13"/>
    <m/>
    <s v="PW1000G"/>
    <s v="Francisco Astiasaran"/>
    <s v="75%"/>
  </r>
  <r>
    <s v="Cases &amp; Composites"/>
    <s v="CAS-238114-N6K9C1"/>
    <x v="1"/>
    <s v="Adam Lozon"/>
    <x v="251"/>
    <x v="0"/>
    <x v="29"/>
    <s v="false"/>
    <s v="20CCD50A"/>
    <s v="Repair-EA"/>
    <s v="MR"/>
    <s v="Complete"/>
    <s v="Backlog"/>
    <m/>
    <d v="2024-12-23T13:58:13"/>
    <m/>
    <s v="PW1000G"/>
    <s v="Francisco Astiasaran"/>
    <s v="75%"/>
  </r>
  <r>
    <s v="Cases &amp; Composites"/>
    <s v="CAS-238771-P8Q1L4"/>
    <x v="1"/>
    <s v="Adam Lozon"/>
    <x v="252"/>
    <x v="2"/>
    <x v="8"/>
    <s v="false"/>
    <s v="25KC060"/>
    <s v="Repair-EA"/>
    <s v="Discretionary"/>
    <s v="Complete"/>
    <s v="2-Routine"/>
    <m/>
    <d v="2025-01-03T16:32:35"/>
    <d v="2025-02-04T05:00:00"/>
    <s v="PW4000"/>
    <s v="Francisco Astiasaran"/>
    <s v="75%"/>
  </r>
  <r>
    <s v="Cases &amp; Composites"/>
    <s v="CAS-238771-P8Q1L4"/>
    <x v="1"/>
    <s v="Adam Lozon"/>
    <x v="253"/>
    <x v="2"/>
    <x v="11"/>
    <s v="false"/>
    <s v="25KC060"/>
    <s v="Repair-EA"/>
    <s v="Discretionary"/>
    <s v="Complete"/>
    <s v="2-Routine"/>
    <m/>
    <d v="2025-01-03T16:32:35"/>
    <d v="2025-02-04T05:00:00"/>
    <s v="PW4000"/>
    <s v="Francisco Astiasaran"/>
    <s v="75%"/>
  </r>
  <r>
    <s v="Cases &amp; Composites"/>
    <s v="CAS-238783-X9Q1S8"/>
    <x v="0"/>
    <s v="Patton Conroy"/>
    <x v="254"/>
    <x v="4"/>
    <x v="4"/>
    <s v="true"/>
    <s v="25KC189"/>
    <s v="Repair-EA"/>
    <s v="OTC"/>
    <s v="Incomplete"/>
    <s v="2-Routine"/>
    <n v="21"/>
    <d v="2025-01-06T21:51:29"/>
    <d v="2025-08-27T04:00:00"/>
    <s v="PW4000"/>
    <s v="Jia Chen"/>
    <s v="75%"/>
  </r>
  <r>
    <s v="Cases &amp; Composites"/>
    <s v="CAS-239036-W5Q5P3"/>
    <x v="2"/>
    <s v="Jorge L Pardo"/>
    <x v="255"/>
    <x v="3"/>
    <x v="3"/>
    <s v="false"/>
    <s v="25KC312"/>
    <s v="Repair-EA"/>
    <s v="OTC"/>
    <s v="Complete"/>
    <s v="2-Routine"/>
    <m/>
    <d v="2025-01-07T14:24:32"/>
    <d v="2025-08-08T04:00:00"/>
    <s v="PW4000"/>
    <s v="Ferdin Mustafa"/>
    <m/>
  </r>
  <r>
    <s v="Cases &amp; Composites"/>
    <s v="CAS-239247-D6G9D9"/>
    <x v="1"/>
    <s v="Adam Lozon"/>
    <x v="256"/>
    <x v="1"/>
    <x v="1"/>
    <s v="false"/>
    <s v="25CC111"/>
    <s v="Repair-EA"/>
    <s v="OTC"/>
    <s v="Complete"/>
    <s v="Backlog"/>
    <m/>
    <d v="2025-01-08T19:44:02"/>
    <m/>
    <s v="PW1000G"/>
    <s v="Francisco Astiasaran"/>
    <s v="75%"/>
  </r>
  <r>
    <s v="Cases &amp; Composites"/>
    <s v="CAS-239247-D6G9D9"/>
    <x v="1"/>
    <s v="Adam Lozon"/>
    <x v="257"/>
    <x v="2"/>
    <x v="11"/>
    <s v="false"/>
    <s v="25CC111"/>
    <s v="Repair-EA"/>
    <s v="OTC"/>
    <s v="Complete"/>
    <s v="Backlog"/>
    <m/>
    <d v="2025-01-08T19:44:02"/>
    <m/>
    <s v="PW1000G"/>
    <s v="Francisco Astiasaran"/>
    <s v="75%"/>
  </r>
  <r>
    <s v="Cases &amp; Composites"/>
    <s v="CAS-239259-K3N5X1"/>
    <x v="1"/>
    <s v="Adam Lozon"/>
    <x v="258"/>
    <x v="1"/>
    <x v="14"/>
    <s v="false"/>
    <s v="25KC034"/>
    <s v="Repair-EA"/>
    <s v="OTC"/>
    <s v="Complete"/>
    <s v="2-Routine"/>
    <n v="27"/>
    <d v="2025-01-08T20:19:08"/>
    <d v="2025-01-22T05:00:00"/>
    <s v="PW4000"/>
    <s v="Francisco Astiasaran"/>
    <s v="75%"/>
  </r>
  <r>
    <s v="Cases &amp; Composites"/>
    <s v="CAS-239524-J7D2H8"/>
    <x v="2"/>
    <s v="Brian K Holland"/>
    <x v="259"/>
    <x v="1"/>
    <x v="14"/>
    <s v="true"/>
    <s v="25CC077"/>
    <s v="Repair-EA"/>
    <s v="EM"/>
    <s v="Incomplete"/>
    <s v="2-Routine"/>
    <n v="15"/>
    <d v="2025-01-10T14:55:45"/>
    <d v="2025-08-08T04:00:00"/>
    <s v="PW1000G"/>
    <s v="Francisco Astiasaran"/>
    <m/>
  </r>
  <r>
    <s v="Cases &amp; Composites"/>
    <s v="CAS-239524-J7D2H8"/>
    <x v="2"/>
    <s v="Brian K Holland"/>
    <x v="260"/>
    <x v="0"/>
    <x v="29"/>
    <s v="true"/>
    <s v="25CC077"/>
    <s v="Repair-EA"/>
    <s v="EM"/>
    <s v="Incomplete"/>
    <s v="2-Routine"/>
    <n v="15"/>
    <d v="2025-01-10T14:55:45"/>
    <d v="2025-08-08T04:00:00"/>
    <s v="PW1000G"/>
    <s v="Francisco Astiasaran"/>
    <m/>
  </r>
  <r>
    <s v="Cases &amp; Composites"/>
    <s v="CAS-239524-J7D2H8"/>
    <x v="1"/>
    <s v="Adam Lozon"/>
    <x v="261"/>
    <x v="0"/>
    <x v="0"/>
    <s v="false"/>
    <s v="25CC077"/>
    <s v="Repair-EA"/>
    <s v="EM"/>
    <s v="Incomplete"/>
    <s v="2-Routine"/>
    <n v="15"/>
    <d v="2025-01-10T14:55:45"/>
    <d v="2025-08-08T04:00:00"/>
    <s v="PW1000G"/>
    <s v="Francisco Astiasaran"/>
    <m/>
  </r>
  <r>
    <s v="Cases &amp; Composites"/>
    <s v="CAS-239524-J7D2H8"/>
    <x v="1"/>
    <s v="Adam Lozon"/>
    <x v="262"/>
    <x v="3"/>
    <x v="3"/>
    <s v="false"/>
    <s v="25CC077"/>
    <s v="Repair-EA"/>
    <s v="EM"/>
    <s v="Incomplete"/>
    <s v="2-Routine"/>
    <n v="15"/>
    <d v="2025-01-10T14:55:45"/>
    <d v="2025-08-08T04:00:00"/>
    <s v="PW1000G"/>
    <s v="Francisco Astiasaran"/>
    <m/>
  </r>
  <r>
    <s v="Cases &amp; Composites"/>
    <s v="CAS-239524-J7D2H8"/>
    <x v="1"/>
    <s v="Adam Lozon"/>
    <x v="263"/>
    <x v="3"/>
    <x v="3"/>
    <s v="false"/>
    <s v="25CC077"/>
    <s v="Repair-EA"/>
    <s v="EM"/>
    <s v="Incomplete"/>
    <s v="2-Routine"/>
    <n v="15"/>
    <d v="2025-01-10T14:55:45"/>
    <d v="2025-08-08T04:00:00"/>
    <s v="PW1000G"/>
    <s v="Francisco Astiasaran"/>
    <m/>
  </r>
  <r>
    <s v="Cases &amp; Composites"/>
    <s v="CAS-239524-J7D2H8"/>
    <x v="1"/>
    <s v="Adam Lozon"/>
    <x v="264"/>
    <x v="2"/>
    <x v="2"/>
    <s v="false"/>
    <s v="25CC077"/>
    <s v="Repair-EA"/>
    <s v="EM"/>
    <s v="Incomplete"/>
    <s v="2-Routine"/>
    <n v="15"/>
    <d v="2025-01-10T14:55:45"/>
    <d v="2025-08-08T04:00:00"/>
    <s v="PW1000G"/>
    <s v="Francisco Astiasaran"/>
    <m/>
  </r>
  <r>
    <s v="Cases &amp; Composites"/>
    <s v="CAS-239524-J7D2H8"/>
    <x v="1"/>
    <s v="Adam Lozon"/>
    <x v="265"/>
    <x v="0"/>
    <x v="15"/>
    <s v="false"/>
    <s v="25CC077"/>
    <s v="Repair-EA"/>
    <s v="EM"/>
    <s v="Incomplete"/>
    <s v="2-Routine"/>
    <n v="15"/>
    <d v="2025-01-10T14:55:45"/>
    <d v="2025-08-08T04:00:00"/>
    <s v="PW1000G"/>
    <s v="Francisco Astiasaran"/>
    <m/>
  </r>
  <r>
    <s v="Cases &amp; Composites"/>
    <s v="CAS-239524-J7D2H8"/>
    <x v="1"/>
    <s v="Adam Lozon"/>
    <x v="266"/>
    <x v="2"/>
    <x v="2"/>
    <s v="false"/>
    <s v="25CC077"/>
    <s v="Repair-EA"/>
    <s v="EM"/>
    <s v="Incomplete"/>
    <s v="2-Routine"/>
    <n v="15"/>
    <d v="2025-01-10T14:55:45"/>
    <d v="2025-08-08T04:00:00"/>
    <s v="PW1000G"/>
    <s v="Francisco Astiasaran"/>
    <m/>
  </r>
  <r>
    <s v="Cases &amp; Composites"/>
    <s v="CAS-239524-J7D2H8"/>
    <x v="1"/>
    <s v="Adam Lozon"/>
    <x v="267"/>
    <x v="0"/>
    <x v="6"/>
    <s v="false"/>
    <s v="25CC077"/>
    <s v="Repair-EA"/>
    <s v="EM"/>
    <s v="Incomplete"/>
    <s v="2-Routine"/>
    <n v="15"/>
    <d v="2025-01-10T14:55:45"/>
    <d v="2025-08-08T04:00:00"/>
    <s v="PW1000G"/>
    <s v="Francisco Astiasaran"/>
    <m/>
  </r>
  <r>
    <s v="Cases &amp; Composites"/>
    <s v="CAS-239524-J7D2H8"/>
    <x v="1"/>
    <s v="Adam Lozon"/>
    <x v="268"/>
    <x v="0"/>
    <x v="6"/>
    <s v="false"/>
    <s v="25CC077"/>
    <s v="Repair-EA"/>
    <s v="EM"/>
    <s v="Incomplete"/>
    <s v="2-Routine"/>
    <n v="15"/>
    <d v="2025-01-10T14:55:45"/>
    <d v="2025-08-08T04:00:00"/>
    <s v="PW1000G"/>
    <s v="Francisco Astiasaran"/>
    <m/>
  </r>
  <r>
    <s v="Cases &amp; Composites"/>
    <s v="CAS-239524-J7D2H8"/>
    <x v="1"/>
    <s v="Adam Lozon"/>
    <x v="269"/>
    <x v="3"/>
    <x v="3"/>
    <s v="false"/>
    <s v="25CC077"/>
    <s v="Repair-EA"/>
    <s v="EM"/>
    <s v="Incomplete"/>
    <s v="2-Routine"/>
    <n v="15"/>
    <d v="2025-01-10T14:55:45"/>
    <d v="2025-08-08T04:00:00"/>
    <s v="PW1000G"/>
    <s v="Francisco Astiasaran"/>
    <m/>
  </r>
  <r>
    <s v="Cases &amp; Composites"/>
    <s v="CAS-239530-J8H6Z3"/>
    <x v="2"/>
    <s v="Peter Morell"/>
    <x v="270"/>
    <x v="0"/>
    <x v="7"/>
    <s v="false"/>
    <s v="25KC102"/>
    <s v="Repair-EA"/>
    <s v="EM"/>
    <s v="Incomplete"/>
    <s v="2-Routine"/>
    <m/>
    <d v="2025-01-10T15:18:11"/>
    <d v="2025-06-25T04:00:00"/>
    <s v="PW4000"/>
    <s v="Francisco Astiasaran"/>
    <s v="75%"/>
  </r>
  <r>
    <s v="Cases &amp; Composites"/>
    <s v="CAS-239530-J8H6Z3"/>
    <x v="2"/>
    <s v="Peter Morell"/>
    <x v="271"/>
    <x v="0"/>
    <x v="16"/>
    <s v="false"/>
    <s v="25KC102"/>
    <s v="Repair-EA"/>
    <s v="EM"/>
    <s v="Incomplete"/>
    <s v="2-Routine"/>
    <m/>
    <d v="2025-01-10T15:18:11"/>
    <d v="2025-06-25T04:00:00"/>
    <s v="PW4000"/>
    <s v="Francisco Astiasaran"/>
    <s v="75%"/>
  </r>
  <r>
    <s v="Cases &amp; Composites"/>
    <s v="CAS-239530-J8H6Z3"/>
    <x v="2"/>
    <s v="Peter Morell"/>
    <x v="272"/>
    <x v="2"/>
    <x v="2"/>
    <s v="false"/>
    <s v="25KC102"/>
    <s v="Repair-EA"/>
    <s v="EM"/>
    <s v="Incomplete"/>
    <s v="2-Routine"/>
    <m/>
    <d v="2025-01-10T15:18:11"/>
    <d v="2025-06-25T04:00:00"/>
    <s v="PW4000"/>
    <s v="Francisco Astiasaran"/>
    <s v="75%"/>
  </r>
  <r>
    <s v="Cases &amp; Composites"/>
    <s v="CAS-239994-P3G5F7"/>
    <x v="1"/>
    <s v="Adam Lozon"/>
    <x v="273"/>
    <x v="3"/>
    <x v="3"/>
    <s v="false"/>
    <s v="25CC486"/>
    <s v="Repair-EA"/>
    <s v="OTC"/>
    <s v="Complete"/>
    <s v="2-Routine"/>
    <m/>
    <d v="2025-01-15T14:48:17"/>
    <d v="2025-03-31T04:00:00"/>
    <s v="PW1000G"/>
    <s v="Francisco Astiasaran"/>
    <s v="75%"/>
  </r>
  <r>
    <s v="Cases &amp; Composites"/>
    <s v="CAS-240013-H0C9K8"/>
    <x v="1"/>
    <s v="Adam Lozon"/>
    <x v="274"/>
    <x v="2"/>
    <x v="9"/>
    <s v="false"/>
    <s v="25AC017"/>
    <s v="Repair-EA"/>
    <s v="OTC"/>
    <s v="Complete"/>
    <s v="2-Routine"/>
    <n v="11"/>
    <d v="2025-01-15T18:25:40"/>
    <d v="2025-05-02T04:00:00"/>
    <s v="GP7000"/>
    <s v="Francisco Astiasaran"/>
    <s v="50%"/>
  </r>
  <r>
    <s v="Cases &amp; Composites"/>
    <s v="CAS-240013-H0C9K8"/>
    <x v="1"/>
    <s v="Adam Lozon"/>
    <x v="275"/>
    <x v="1"/>
    <x v="17"/>
    <s v="false"/>
    <s v="25AC017"/>
    <s v="Repair-EA"/>
    <s v="OTC"/>
    <s v="Complete"/>
    <s v="2-Routine"/>
    <n v="11"/>
    <d v="2025-01-15T18:25:40"/>
    <d v="2025-05-02T04:00:00"/>
    <s v="GP7000"/>
    <s v="Francisco Astiasaran"/>
    <s v="50%"/>
  </r>
  <r>
    <s v="Cases &amp; Composites"/>
    <s v="CAS-240013-H0C9K8"/>
    <x v="1"/>
    <s v="Adam Lozon"/>
    <x v="276"/>
    <x v="3"/>
    <x v="3"/>
    <s v="false"/>
    <s v="25AC017"/>
    <s v="Repair-EA"/>
    <s v="OTC"/>
    <s v="Complete"/>
    <s v="2-Routine"/>
    <n v="11"/>
    <d v="2025-01-15T18:25:40"/>
    <d v="2025-05-02T04:00:00"/>
    <s v="GP7000"/>
    <s v="Francisco Astiasaran"/>
    <s v="50%"/>
  </r>
  <r>
    <s v="Cases &amp; Composites"/>
    <s v="CAS-240013-H0C9K8"/>
    <x v="1"/>
    <s v="Adam Lozon"/>
    <x v="277"/>
    <x v="3"/>
    <x v="3"/>
    <s v="false"/>
    <s v="25AC017"/>
    <s v="Repair-EA"/>
    <s v="OTC"/>
    <s v="Complete"/>
    <s v="2-Routine"/>
    <n v="11"/>
    <d v="2025-01-15T18:25:40"/>
    <d v="2025-05-02T04:00:00"/>
    <s v="GP7000"/>
    <s v="Francisco Astiasaran"/>
    <s v="50%"/>
  </r>
  <r>
    <s v="Cases &amp; Composites"/>
    <s v="CAS-240013-H0C9K8"/>
    <x v="1"/>
    <s v="Adam Lozon"/>
    <x v="278"/>
    <x v="0"/>
    <x v="15"/>
    <s v="false"/>
    <s v="25AC017"/>
    <s v="Repair-EA"/>
    <s v="OTC"/>
    <s v="Complete"/>
    <s v="2-Routine"/>
    <n v="11"/>
    <d v="2025-01-15T18:25:40"/>
    <d v="2025-05-02T04:00:00"/>
    <s v="GP7000"/>
    <s v="Francisco Astiasaran"/>
    <s v="50%"/>
  </r>
  <r>
    <s v="Cases &amp; Composites"/>
    <s v="CAS-240174-X4Z2Z1"/>
    <x v="2"/>
    <s v="Chase Poage"/>
    <x v="279"/>
    <x v="2"/>
    <x v="2"/>
    <s v="false"/>
    <s v="25KC109"/>
    <s v="Repair-EA"/>
    <s v="OTC"/>
    <s v="Complete"/>
    <s v="2-Routine"/>
    <m/>
    <d v="2025-01-16T20:33:49"/>
    <d v="2025-05-30T04:00:00"/>
    <s v="PW4000"/>
    <s v="Alexander Page"/>
    <s v="75%"/>
  </r>
  <r>
    <s v="Cases &amp; Composites"/>
    <s v="CAS-240193-H1P2V1"/>
    <x v="1"/>
    <s v="Adam Lozon"/>
    <x v="280"/>
    <x v="1"/>
    <x v="1"/>
    <s v="false"/>
    <s v="25KC052"/>
    <s v="Repair-EA"/>
    <s v="Discretionary"/>
    <s v="Complete"/>
    <s v="2-Routine"/>
    <m/>
    <d v="2025-01-17T01:38:22"/>
    <d v="2025-02-14T05:00:00"/>
    <s v="PW4000"/>
    <s v="Francisco Astiasaran"/>
    <s v="75%"/>
  </r>
  <r>
    <s v="Cases &amp; Composites"/>
    <s v="CAS-240814-K0N5J7"/>
    <x v="2"/>
    <s v="Brian K Holland"/>
    <x v="281"/>
    <x v="0"/>
    <x v="15"/>
    <s v="true"/>
    <s v="25KC095"/>
    <s v="Repair-EA"/>
    <s v="OTC"/>
    <s v="Incomplete"/>
    <s v="2-Routine"/>
    <m/>
    <d v="2025-01-22T19:46:01"/>
    <d v="2025-07-31T04:00:00"/>
    <s v="PW4000"/>
    <s v="Francisco Astiasaran"/>
    <s v="50%"/>
  </r>
  <r>
    <s v="Cases &amp; Composites"/>
    <s v="CAS-240814-K0N5J7"/>
    <x v="2"/>
    <s v="Brian K Holland"/>
    <x v="282"/>
    <x v="3"/>
    <x v="3"/>
    <s v="false"/>
    <s v="25KC095"/>
    <s v="Repair-EA"/>
    <s v="OTC"/>
    <s v="Incomplete"/>
    <s v="2-Routine"/>
    <m/>
    <d v="2025-01-22T19:46:01"/>
    <d v="2025-07-31T04:00:00"/>
    <s v="PW4000"/>
    <s v="Francisco Astiasaran"/>
    <s v="50%"/>
  </r>
  <r>
    <s v="Cases &amp; Composites"/>
    <s v="CAS-240814-K0N5J7"/>
    <x v="2"/>
    <s v="Brian K Holland"/>
    <x v="283"/>
    <x v="0"/>
    <x v="10"/>
    <s v="true"/>
    <s v="25KC095"/>
    <s v="Repair-EA"/>
    <s v="OTC"/>
    <s v="Incomplete"/>
    <s v="2-Routine"/>
    <m/>
    <d v="2025-01-22T19:46:01"/>
    <d v="2025-07-31T04:00:00"/>
    <s v="PW4000"/>
    <s v="Francisco Astiasaran"/>
    <s v="50%"/>
  </r>
  <r>
    <s v="Cases &amp; Composites"/>
    <s v="CAS-241467-W7Y2S0"/>
    <x v="5"/>
    <s v="Jeremy Thayer"/>
    <x v="284"/>
    <x v="0"/>
    <x v="15"/>
    <s v="false"/>
    <s v="25VG061"/>
    <s v="Repair-EA"/>
    <s v="OTC"/>
    <s v="Incomplete"/>
    <s v="Hold"/>
    <m/>
    <d v="2025-01-29T07:35:48"/>
    <m/>
    <s v="V2500"/>
    <s v="Orlando Melendez Colon"/>
    <s v="50%"/>
  </r>
  <r>
    <s v="Cases &amp; Composites"/>
    <s v="CAS-241504-K8D4Q0"/>
    <x v="1"/>
    <s v="Thomas A Vetere"/>
    <x v="285"/>
    <x v="1"/>
    <x v="17"/>
    <s v="false"/>
    <s v="25KC090"/>
    <s v="Repair-EA"/>
    <s v="OTC"/>
    <s v="Complete"/>
    <s v="2-Routine"/>
    <n v="5"/>
    <d v="2025-01-29T14:59:23"/>
    <d v="2025-03-17T04:00:00"/>
    <s v="PW4000"/>
    <s v="Bruce Zoyaar"/>
    <s v="75%"/>
  </r>
  <r>
    <s v="Cases &amp; Composites"/>
    <s v="CAS-241572-F5G8T2"/>
    <x v="1"/>
    <s v="Adam Lozon"/>
    <x v="286"/>
    <x v="0"/>
    <x v="0"/>
    <s v="false"/>
    <s v="23CCF32A"/>
    <s v="Repair-EA"/>
    <s v="EM"/>
    <s v="Complete"/>
    <s v="2-Routine"/>
    <m/>
    <d v="2025-01-30T10:04:02"/>
    <d v="2025-06-13T04:00:00"/>
    <s v="PW1000G"/>
    <s v="Francisco Astiasaran"/>
    <s v="75%"/>
  </r>
  <r>
    <s v="Cases &amp; Composites"/>
    <s v="CAS-241572-F5G8T2"/>
    <x v="1"/>
    <s v="Adam Lozon"/>
    <x v="287"/>
    <x v="3"/>
    <x v="3"/>
    <s v="false"/>
    <s v="23CCF32A"/>
    <s v="Repair-EA"/>
    <s v="EM"/>
    <s v="Complete"/>
    <s v="2-Routine"/>
    <m/>
    <d v="2025-01-30T10:04:02"/>
    <d v="2025-06-13T04:00:00"/>
    <s v="PW1000G"/>
    <s v="Francisco Astiasaran"/>
    <s v="75%"/>
  </r>
  <r>
    <s v="Cases &amp; Composites"/>
    <s v="CAS-241634-W6K5S0"/>
    <x v="0"/>
    <s v="Chase Poage"/>
    <x v="288"/>
    <x v="4"/>
    <x v="4"/>
    <s v="false"/>
    <s v="25KC106"/>
    <s v="Repair-EA"/>
    <s v="OTC"/>
    <s v="Complete"/>
    <s v="2-Routine"/>
    <m/>
    <d v="2025-01-30T21:59:26"/>
    <d v="2025-04-17T04:00:00"/>
    <s v="PW4000"/>
    <s v="Jia Chen"/>
    <s v="75%"/>
  </r>
  <r>
    <s v="Cases &amp; Composites"/>
    <s v="CAS-241717-P5L9H1"/>
    <x v="0"/>
    <s v="Patton Conroy"/>
    <x v="289"/>
    <x v="4"/>
    <x v="26"/>
    <s v="true"/>
    <s v="25KC130"/>
    <s v="Repair-EA"/>
    <s v="OTC"/>
    <s v="Complete"/>
    <s v="2-Routine"/>
    <n v="22"/>
    <d v="2025-01-31T20:01:02"/>
    <d v="2025-06-20T04:00:00"/>
    <s v="PW4000"/>
    <s v="Alexander Page"/>
    <s v="50%"/>
  </r>
  <r>
    <s v="Cases &amp; Composites"/>
    <s v="CAS-241717-P5L9H1"/>
    <x v="0"/>
    <s v="Patton Conroy"/>
    <x v="290"/>
    <x v="4"/>
    <x v="4"/>
    <s v="false"/>
    <s v="25KC130"/>
    <s v="Repair-EA"/>
    <s v="OTC"/>
    <s v="Complete"/>
    <s v="2-Routine"/>
    <n v="22"/>
    <d v="2025-01-31T20:01:02"/>
    <d v="2025-06-20T04:00:00"/>
    <s v="PW4000"/>
    <s v="Alexander Page"/>
    <s v="50%"/>
  </r>
  <r>
    <s v="Cases &amp; Composites"/>
    <s v="CAS-241717-P5L9H1"/>
    <x v="2"/>
    <s v="Patton Conroy"/>
    <x v="291"/>
    <x v="3"/>
    <x v="12"/>
    <s v="false"/>
    <s v="25KC130"/>
    <s v="Repair-EA"/>
    <s v="OTC"/>
    <s v="Complete"/>
    <s v="2-Routine"/>
    <n v="22"/>
    <d v="2025-01-31T20:01:02"/>
    <d v="2025-06-20T04:00:00"/>
    <s v="PW4000"/>
    <s v="Alexander Page"/>
    <s v="50%"/>
  </r>
  <r>
    <s v="Cases &amp; Composites"/>
    <s v="CAS-241717-P5L9H1"/>
    <x v="2"/>
    <s v="Patton Conroy"/>
    <x v="292"/>
    <x v="2"/>
    <x v="2"/>
    <s v="false"/>
    <s v="25KC130"/>
    <s v="Repair-EA"/>
    <s v="OTC"/>
    <s v="Complete"/>
    <s v="2-Routine"/>
    <n v="22"/>
    <d v="2025-01-31T20:01:02"/>
    <d v="2025-06-20T04:00:00"/>
    <s v="PW4000"/>
    <s v="Alexander Page"/>
    <s v="50%"/>
  </r>
  <r>
    <s v="Cases &amp; Composites"/>
    <s v="CAS-241717-P5L9H1"/>
    <x v="1"/>
    <s v="Paul A DeCrescente"/>
    <x v="293"/>
    <x v="2"/>
    <x v="8"/>
    <s v="false"/>
    <s v="25KC130"/>
    <s v="Repair-EA"/>
    <s v="OTC"/>
    <s v="Complete"/>
    <s v="2-Routine"/>
    <n v="22"/>
    <d v="2025-01-31T20:01:02"/>
    <d v="2025-06-20T04:00:00"/>
    <s v="PW4000"/>
    <s v="Alexander Page"/>
    <s v="50%"/>
  </r>
  <r>
    <s v="Cases &amp; Composites"/>
    <s v="CAS-241830-D6H4S7"/>
    <x v="0"/>
    <s v="Chase Poage"/>
    <x v="294"/>
    <x v="4"/>
    <x v="5"/>
    <s v="true"/>
    <s v="14CCQ28A"/>
    <s v="Repair-EA"/>
    <s v="MR"/>
    <s v="Complete"/>
    <s v="2-Routine"/>
    <n v="21"/>
    <d v="2025-02-03T13:38:21"/>
    <d v="2025-06-03T04:00:00"/>
    <s v="PW1000G"/>
    <s v="Tyler Abusbah"/>
    <s v="75%"/>
  </r>
  <r>
    <s v="Cases &amp; Composites"/>
    <s v="CAS-241830-D6H4S7"/>
    <x v="2"/>
    <s v="Chase Poage"/>
    <x v="295"/>
    <x v="1"/>
    <x v="17"/>
    <s v="false"/>
    <s v="14CCQ28A"/>
    <s v="Repair-EA"/>
    <s v="MR"/>
    <s v="Complete"/>
    <s v="2-Routine"/>
    <n v="21"/>
    <d v="2025-02-03T13:38:21"/>
    <d v="2025-06-03T04:00:00"/>
    <s v="PW1000G"/>
    <s v="Tyler Abusbah"/>
    <s v="75%"/>
  </r>
  <r>
    <s v="Cases &amp; Composites"/>
    <s v="CAS-241830-D6H4S7"/>
    <x v="1"/>
    <s v="Michael Karnas"/>
    <x v="296"/>
    <x v="0"/>
    <x v="15"/>
    <s v="true"/>
    <s v="14CCQ28A"/>
    <s v="Repair-EA"/>
    <s v="MR"/>
    <s v="Complete"/>
    <s v="2-Routine"/>
    <n v="21"/>
    <d v="2025-02-03T13:38:21"/>
    <d v="2025-06-03T04:00:00"/>
    <s v="PW1000G"/>
    <s v="Tyler Abusbah"/>
    <s v="75%"/>
  </r>
  <r>
    <s v="Cases &amp; Composites"/>
    <s v="CAS-241830-D6H4S7"/>
    <x v="1"/>
    <s v="Michael Karnas"/>
    <x v="297"/>
    <x v="0"/>
    <x v="6"/>
    <s v="false"/>
    <s v="14CCQ28A"/>
    <s v="Repair-EA"/>
    <s v="MR"/>
    <s v="Complete"/>
    <s v="2-Routine"/>
    <n v="21"/>
    <d v="2025-02-03T13:38:21"/>
    <d v="2025-06-03T04:00:00"/>
    <s v="PW1000G"/>
    <s v="Tyler Abusbah"/>
    <s v="75%"/>
  </r>
  <r>
    <s v="Cases &amp; Composites"/>
    <s v="CAS-241830-D6H4S7"/>
    <x v="1"/>
    <s v="Michael Karnas"/>
    <x v="298"/>
    <x v="2"/>
    <x v="2"/>
    <s v="true"/>
    <s v="14CCQ28A"/>
    <s v="Repair-EA"/>
    <s v="MR"/>
    <s v="Complete"/>
    <s v="2-Routine"/>
    <n v="21"/>
    <d v="2025-02-03T13:38:21"/>
    <d v="2025-06-03T04:00:00"/>
    <s v="PW1000G"/>
    <s v="Tyler Abusbah"/>
    <s v="75%"/>
  </r>
  <r>
    <s v="Cases &amp; Composites"/>
    <s v="CAS-241995-P1P4M6"/>
    <x v="1"/>
    <s v="Roldan Guillen"/>
    <x v="299"/>
    <x v="3"/>
    <x v="3"/>
    <s v="false"/>
    <s v="25KC134"/>
    <s v="Repair-EA"/>
    <s v="EM"/>
    <s v="Incomplete"/>
    <s v="2-Routine"/>
    <n v="22"/>
    <d v="2025-02-04T16:53:29"/>
    <d v="2025-08-15T04:00:00"/>
    <s v="PW4000"/>
    <s v="Francisco Astiasaran"/>
    <s v="75%"/>
  </r>
  <r>
    <s v="Cases &amp; Composites"/>
    <s v="CAS-241995-P1P4M6"/>
    <x v="1"/>
    <s v="Roldan Guillen"/>
    <x v="300"/>
    <x v="3"/>
    <x v="3"/>
    <s v="false"/>
    <s v="25KC134"/>
    <s v="Repair-EA"/>
    <s v="EM"/>
    <s v="Incomplete"/>
    <s v="2-Routine"/>
    <n v="22"/>
    <d v="2025-02-04T16:53:29"/>
    <d v="2025-08-15T04:00:00"/>
    <s v="PW4000"/>
    <s v="Francisco Astiasaran"/>
    <s v="75%"/>
  </r>
  <r>
    <s v="Cases &amp; Composites"/>
    <s v="CAS-242010-P1N2F6"/>
    <x v="1"/>
    <s v="Adam Lozon"/>
    <x v="301"/>
    <x v="3"/>
    <x v="3"/>
    <s v="false"/>
    <s v="25KC101"/>
    <s v="Repair-EA"/>
    <s v="OTC"/>
    <s v="Complete"/>
    <s v="2-Routine"/>
    <n v="11"/>
    <d v="2025-02-04T22:44:56"/>
    <d v="2025-02-28T05:00:00"/>
    <s v="PW4000"/>
    <s v="Francisco Astiasaran"/>
    <s v="75%"/>
  </r>
  <r>
    <s v="Cases &amp; Composites"/>
    <s v="CAS-242010-P1N2F6"/>
    <x v="1"/>
    <s v="Adam Lozon"/>
    <x v="302"/>
    <x v="0"/>
    <x v="15"/>
    <s v="false"/>
    <s v="25KC101"/>
    <s v="Repair-EA"/>
    <s v="OTC"/>
    <s v="Complete"/>
    <s v="2-Routine"/>
    <n v="11"/>
    <d v="2025-02-04T22:44:56"/>
    <d v="2025-02-28T05:00:00"/>
    <s v="PW4000"/>
    <s v="Francisco Astiasaran"/>
    <s v="75%"/>
  </r>
  <r>
    <s v="Cases &amp; Composites"/>
    <s v="CAS-242010-P1N2F6"/>
    <x v="1"/>
    <s v="Adam Lozon"/>
    <x v="303"/>
    <x v="0"/>
    <x v="15"/>
    <s v="false"/>
    <s v="25KC101"/>
    <s v="Repair-EA"/>
    <s v="OTC"/>
    <s v="Complete"/>
    <s v="2-Routine"/>
    <n v="11"/>
    <d v="2025-02-04T22:44:56"/>
    <d v="2025-02-28T05:00:00"/>
    <s v="PW4000"/>
    <s v="Francisco Astiasaran"/>
    <s v="75%"/>
  </r>
  <r>
    <s v="Cases &amp; Composites"/>
    <s v="CAS-242013-X7X9J4"/>
    <x v="0"/>
    <s v="Jorge L Pardo"/>
    <x v="304"/>
    <x v="3"/>
    <x v="3"/>
    <s v="false"/>
    <s v="25KC182"/>
    <s v="Repair-EA"/>
    <s v="OTC"/>
    <s v="Complete"/>
    <s v="2-Routine"/>
    <n v="26"/>
    <d v="2025-02-04T20:50:30"/>
    <d v="2025-06-13T04:00:00"/>
    <s v="PW4000"/>
    <s v="Tyler Abusbah"/>
    <s v="75%"/>
  </r>
  <r>
    <s v="Cases &amp; Composites"/>
    <s v="CAS-242014-G6L7P5"/>
    <x v="0"/>
    <s v="Chase Poage"/>
    <x v="305"/>
    <x v="4"/>
    <x v="4"/>
    <s v="false"/>
    <s v="25KC204"/>
    <s v="Repair-EA"/>
    <s v="OTC"/>
    <s v="Complete"/>
    <s v="2-Routine"/>
    <n v="16"/>
    <d v="2025-02-18T20:17:10"/>
    <d v="2025-05-28T04:00:00"/>
    <s v="PW4000"/>
    <s v="Tyler Abusbah"/>
    <s v="75%"/>
  </r>
  <r>
    <s v="Cases &amp; Composites"/>
    <s v="CAS-242014-G6L7P5"/>
    <x v="2"/>
    <s v="Chase Poage"/>
    <x v="306"/>
    <x v="2"/>
    <x v="2"/>
    <s v="false"/>
    <s v="25KC204"/>
    <s v="Repair-EA"/>
    <s v="OTC"/>
    <s v="Complete"/>
    <s v="2-Routine"/>
    <n v="16"/>
    <d v="2025-02-18T20:17:10"/>
    <d v="2025-05-28T04:00:00"/>
    <s v="PW4000"/>
    <s v="Tyler Abusbah"/>
    <s v="75%"/>
  </r>
  <r>
    <s v="Cases &amp; Composites"/>
    <s v="CAS-242105-L9H8G4"/>
    <x v="2"/>
    <s v="Peter Morell"/>
    <x v="307"/>
    <x v="1"/>
    <x v="1"/>
    <s v="true"/>
    <s v="22KC329E"/>
    <s v="Repair-EA"/>
    <s v="EM"/>
    <s v="Complete"/>
    <s v="2-Routine"/>
    <n v="21"/>
    <d v="2025-02-05T11:58:42"/>
    <d v="2025-06-20T04:00:00"/>
    <s v="PW4000"/>
    <s v="Francisco Astiasaran"/>
    <s v="50%"/>
  </r>
  <r>
    <s v="Cases &amp; Composites"/>
    <s v="CAS-242105-L9H8G4"/>
    <x v="2"/>
    <s v="Peter Morell"/>
    <x v="308"/>
    <x v="1"/>
    <x v="30"/>
    <s v="false"/>
    <s v="22KC329E"/>
    <s v="Repair-EA"/>
    <s v="EM"/>
    <s v="Complete"/>
    <s v="2-Routine"/>
    <n v="21"/>
    <d v="2025-02-05T11:58:42"/>
    <d v="2025-06-20T04:00:00"/>
    <s v="PW4000"/>
    <s v="Francisco Astiasaran"/>
    <s v="50%"/>
  </r>
  <r>
    <s v="Cases &amp; Composites"/>
    <s v="CAS-242105-L9H8G4"/>
    <x v="2"/>
    <s v="Peter Morell"/>
    <x v="309"/>
    <x v="2"/>
    <x v="8"/>
    <s v="false"/>
    <s v="22KC329E"/>
    <s v="Repair-EA"/>
    <s v="EM"/>
    <s v="Complete"/>
    <s v="2-Routine"/>
    <n v="21"/>
    <d v="2025-02-05T11:58:42"/>
    <d v="2025-06-20T04:00:00"/>
    <s v="PW4000"/>
    <s v="Francisco Astiasaran"/>
    <s v="50%"/>
  </r>
  <r>
    <s v="Cases &amp; Composites"/>
    <s v="CAS-242105-L9H8G4"/>
    <x v="2"/>
    <s v="Peter Morell"/>
    <x v="310"/>
    <x v="2"/>
    <x v="11"/>
    <s v="false"/>
    <s v="22KC329E"/>
    <s v="Repair-EA"/>
    <s v="EM"/>
    <s v="Complete"/>
    <s v="2-Routine"/>
    <n v="21"/>
    <d v="2025-02-05T11:58:42"/>
    <d v="2025-06-20T04:00:00"/>
    <s v="PW4000"/>
    <s v="Francisco Astiasaran"/>
    <s v="50%"/>
  </r>
  <r>
    <s v="Cases &amp; Composites"/>
    <s v="CAS-242105-L9H8G4"/>
    <x v="2"/>
    <s v="Peter Morell"/>
    <x v="311"/>
    <x v="2"/>
    <x v="11"/>
    <s v="false"/>
    <s v="22KC329E"/>
    <s v="Repair-EA"/>
    <s v="EM"/>
    <s v="Complete"/>
    <s v="2-Routine"/>
    <n v="21"/>
    <d v="2025-02-05T11:58:42"/>
    <d v="2025-06-20T04:00:00"/>
    <s v="PW4000"/>
    <s v="Francisco Astiasaran"/>
    <s v="50%"/>
  </r>
  <r>
    <s v="Cases &amp; Composites"/>
    <s v="CAS-242105-L9H8G4"/>
    <x v="1"/>
    <s v="Adam Lozon"/>
    <x v="312"/>
    <x v="1"/>
    <x v="21"/>
    <s v="false"/>
    <s v="22KC329E"/>
    <s v="Repair-EA"/>
    <s v="EM"/>
    <s v="Complete"/>
    <s v="2-Routine"/>
    <n v="21"/>
    <d v="2025-02-05T11:58:42"/>
    <d v="2025-06-20T04:00:00"/>
    <s v="PW4000"/>
    <s v="Francisco Astiasaran"/>
    <s v="50%"/>
  </r>
  <r>
    <s v="Cases &amp; Composites"/>
    <s v="CAS-242105-L9H8G4"/>
    <x v="1"/>
    <s v="Adam Lozon"/>
    <x v="313"/>
    <x v="3"/>
    <x v="3"/>
    <s v="false"/>
    <s v="22KC329E"/>
    <s v="Repair-EA"/>
    <s v="EM"/>
    <s v="Complete"/>
    <s v="2-Routine"/>
    <n v="21"/>
    <d v="2025-02-05T11:58:42"/>
    <d v="2025-06-20T04:00:00"/>
    <s v="PW4000"/>
    <s v="Francisco Astiasaran"/>
    <s v="50%"/>
  </r>
  <r>
    <s v="Cases &amp; Composites"/>
    <s v="CAS-242168-D1G7V1"/>
    <x v="1"/>
    <s v="Peter Boudreau"/>
    <x v="314"/>
    <x v="3"/>
    <x v="12"/>
    <s v="false"/>
    <s v="25KC123"/>
    <s v="Repair-EA"/>
    <s v="OTC"/>
    <s v="Incomplete"/>
    <s v="2-Routine"/>
    <m/>
    <d v="2025-02-05T18:18:26"/>
    <d v="2025-06-27T04:00:00"/>
    <s v="PW4000"/>
    <s v="Francisco Astiasaran"/>
    <s v="75%"/>
  </r>
  <r>
    <s v="Cases &amp; Composites"/>
    <s v="CAS-242245-K3M2L8"/>
    <x v="2"/>
    <s v="Jorge L Pardo"/>
    <x v="315"/>
    <x v="3"/>
    <x v="3"/>
    <s v="false"/>
    <s v="25KC198"/>
    <s v="Repair-EA"/>
    <s v="OTC"/>
    <s v="Complete"/>
    <s v="2-Routine"/>
    <n v="11"/>
    <d v="2025-02-06T09:33:51"/>
    <d v="2025-05-19T04:00:00"/>
    <s v="PW4000"/>
    <s v="Bruce Zoyaar"/>
    <s v="75%"/>
  </r>
  <r>
    <s v="Cases &amp; Composites"/>
    <s v="CAS-242617-B7W1N8"/>
    <x v="2"/>
    <s v="Jorge L Pardo"/>
    <x v="316"/>
    <x v="3"/>
    <x v="3"/>
    <s v="false"/>
    <s v="25KC258"/>
    <s v="Repair-EA"/>
    <s v="OTC"/>
    <s v="Complete"/>
    <s v="2-Routine"/>
    <n v="19"/>
    <d v="2025-02-10T13:34:50"/>
    <d v="2025-07-31T04:00:00"/>
    <s v="PW4000"/>
    <s v="Ferdin Mustafa"/>
    <s v="75%"/>
  </r>
  <r>
    <s v="Cases &amp; Composites"/>
    <s v="CAS-242617-B7W1N8"/>
    <x v="1"/>
    <s v="Thomas A Vetere"/>
    <x v="317"/>
    <x v="1"/>
    <x v="17"/>
    <s v="false"/>
    <s v="25KC258"/>
    <s v="Repair-EA"/>
    <s v="OTC"/>
    <s v="Complete"/>
    <s v="2-Routine"/>
    <n v="19"/>
    <d v="2025-02-10T13:34:50"/>
    <d v="2025-07-31T04:00:00"/>
    <s v="PW4000"/>
    <s v="Ferdin Mustafa"/>
    <s v="75%"/>
  </r>
  <r>
    <s v="Cases &amp; Composites"/>
    <s v="CAS-242617-B7W1N8"/>
    <x v="1"/>
    <s v="Thomas A Vetere"/>
    <x v="318"/>
    <x v="2"/>
    <x v="2"/>
    <s v="false"/>
    <s v="25KC258"/>
    <s v="Repair-EA"/>
    <s v="OTC"/>
    <s v="Complete"/>
    <s v="2-Routine"/>
    <n v="19"/>
    <d v="2025-02-10T13:34:50"/>
    <d v="2025-07-31T04:00:00"/>
    <s v="PW4000"/>
    <s v="Ferdin Mustafa"/>
    <s v="75%"/>
  </r>
  <r>
    <s v="Cases &amp; Composites"/>
    <s v="CAS-242917-K1P0D6"/>
    <x v="1"/>
    <s v="Michael Karnas"/>
    <x v="319"/>
    <x v="0"/>
    <x v="15"/>
    <s v="true"/>
    <s v="25CC407"/>
    <s v="Repair-EA"/>
    <s v="OTC"/>
    <s v="Complete"/>
    <s v="2-Routine"/>
    <n v="19"/>
    <d v="2025-02-12T15:41:02"/>
    <d v="2025-03-14T04:00:00"/>
    <s v="PW1000G"/>
    <s v="Francisco Astiasaran"/>
    <s v="75%"/>
  </r>
  <r>
    <s v="Cases &amp; Composites"/>
    <s v="CAS-242917-K1P0D6"/>
    <x v="1"/>
    <s v="Michael Karnas"/>
    <x v="320"/>
    <x v="0"/>
    <x v="15"/>
    <s v="true"/>
    <s v="25CC407"/>
    <s v="Repair-EA"/>
    <s v="OTC"/>
    <s v="Complete"/>
    <s v="2-Routine"/>
    <n v="19"/>
    <d v="2025-02-12T15:41:02"/>
    <d v="2025-03-14T04:00:00"/>
    <s v="PW1000G"/>
    <s v="Francisco Astiasaran"/>
    <s v="75%"/>
  </r>
  <r>
    <s v="Cases &amp; Composites"/>
    <s v="CAS-242922-K3T7B9"/>
    <x v="2"/>
    <s v="Peter Morell"/>
    <x v="321"/>
    <x v="1"/>
    <x v="17"/>
    <s v="false"/>
    <s v="23FC181A"/>
    <s v="Repair-EA"/>
    <s v="EM"/>
    <s v="Complete"/>
    <s v="2-Routine"/>
    <m/>
    <d v="2025-02-12T16:05:50"/>
    <d v="2025-06-20T04:00:00"/>
    <s v="PW2000"/>
    <s v="Francisco Astiasaran"/>
    <s v="50%"/>
  </r>
  <r>
    <s v="Cases &amp; Composites"/>
    <s v="CAS-242922-K3T7B9"/>
    <x v="2"/>
    <s v="Peter Morell"/>
    <x v="322"/>
    <x v="2"/>
    <x v="11"/>
    <s v="false"/>
    <s v="23FC181A"/>
    <s v="Repair-EA"/>
    <s v="EM"/>
    <s v="Complete"/>
    <s v="2-Routine"/>
    <m/>
    <d v="2025-02-12T16:05:50"/>
    <d v="2025-06-20T04:00:00"/>
    <s v="PW2000"/>
    <s v="Francisco Astiasaran"/>
    <s v="50%"/>
  </r>
  <r>
    <s v="Cases &amp; Composites"/>
    <s v="CAS-242922-K3T7B9"/>
    <x v="2"/>
    <s v="Peter Morell"/>
    <x v="323"/>
    <x v="0"/>
    <x v="15"/>
    <s v="true"/>
    <s v="23FC181A"/>
    <s v="Repair-EA"/>
    <s v="EM"/>
    <s v="Complete"/>
    <s v="2-Routine"/>
    <m/>
    <d v="2025-02-12T16:05:50"/>
    <d v="2025-06-20T04:00:00"/>
    <s v="PW2000"/>
    <s v="Francisco Astiasaran"/>
    <s v="50%"/>
  </r>
  <r>
    <s v="Cases &amp; Composites"/>
    <s v="CAS-242922-K3T7B9"/>
    <x v="2"/>
    <s v="Peter Morell"/>
    <x v="324"/>
    <x v="2"/>
    <x v="8"/>
    <s v="false"/>
    <s v="23FC181A"/>
    <s v="Repair-EA"/>
    <s v="EM"/>
    <s v="Complete"/>
    <s v="2-Routine"/>
    <m/>
    <d v="2025-02-12T16:05:50"/>
    <d v="2025-06-20T04:00:00"/>
    <s v="PW2000"/>
    <s v="Francisco Astiasaran"/>
    <s v="50%"/>
  </r>
  <r>
    <s v="Cases &amp; Composites"/>
    <s v="CAS-242922-K3T7B9"/>
    <x v="2"/>
    <s v="Peter Morell"/>
    <x v="325"/>
    <x v="1"/>
    <x v="1"/>
    <s v="true"/>
    <s v="23FC181A"/>
    <s v="Repair-EA"/>
    <s v="EM"/>
    <s v="Complete"/>
    <s v="2-Routine"/>
    <m/>
    <d v="2025-02-12T16:05:50"/>
    <d v="2025-06-20T04:00:00"/>
    <s v="PW2000"/>
    <s v="Francisco Astiasaran"/>
    <s v="50%"/>
  </r>
  <r>
    <s v="Cases &amp; Composites"/>
    <s v="CAS-242922-K3T7B9"/>
    <x v="2"/>
    <s v="Peter Morell"/>
    <x v="326"/>
    <x v="1"/>
    <x v="30"/>
    <s v="false"/>
    <s v="23FC181A"/>
    <s v="Repair-EA"/>
    <s v="EM"/>
    <s v="Complete"/>
    <s v="2-Routine"/>
    <m/>
    <d v="2025-02-12T16:05:50"/>
    <d v="2025-06-20T04:00:00"/>
    <s v="PW2000"/>
    <s v="Francisco Astiasaran"/>
    <s v="50%"/>
  </r>
  <r>
    <s v="Cases &amp; Composites"/>
    <s v="CAS-242922-K3T7B9"/>
    <x v="2"/>
    <s v="Peter Morell"/>
    <x v="327"/>
    <x v="2"/>
    <x v="11"/>
    <s v="false"/>
    <s v="23FC181A"/>
    <s v="Repair-EA"/>
    <s v="EM"/>
    <s v="Complete"/>
    <s v="2-Routine"/>
    <m/>
    <d v="2025-02-12T16:05:50"/>
    <d v="2025-06-20T04:00:00"/>
    <s v="PW2000"/>
    <s v="Francisco Astiasaran"/>
    <s v="50%"/>
  </r>
  <r>
    <s v="Cases &amp; Composites"/>
    <s v="CAS-242922-K3T7B9"/>
    <x v="2"/>
    <s v="Peter Morell"/>
    <x v="328"/>
    <x v="2"/>
    <x v="8"/>
    <s v="false"/>
    <s v="23FC181A"/>
    <s v="Repair-EA"/>
    <s v="EM"/>
    <s v="Complete"/>
    <s v="2-Routine"/>
    <m/>
    <d v="2025-02-12T16:05:50"/>
    <d v="2025-06-20T04:00:00"/>
    <s v="PW2000"/>
    <s v="Francisco Astiasaran"/>
    <s v="50%"/>
  </r>
  <r>
    <s v="Cases &amp; Composites"/>
    <s v="CAS-242924-M2N8L5"/>
    <x v="2"/>
    <s v="Peter Morell"/>
    <x v="329"/>
    <x v="1"/>
    <x v="1"/>
    <s v="true"/>
    <s v="22AC041D"/>
    <s v="Repair-EA"/>
    <s v="EM"/>
    <s v="Complete"/>
    <s v="2-Routine"/>
    <m/>
    <d v="2025-02-12T16:12:07"/>
    <d v="2025-06-20T04:00:00"/>
    <s v="GP7000"/>
    <s v="Francisco Astiasaran"/>
    <s v="50%"/>
  </r>
  <r>
    <s v="Cases &amp; Composites"/>
    <s v="CAS-242924-M2N8L5"/>
    <x v="2"/>
    <s v="Peter Morell"/>
    <x v="330"/>
    <x v="1"/>
    <x v="30"/>
    <s v="false"/>
    <s v="22AC041D"/>
    <s v="Repair-EA"/>
    <s v="EM"/>
    <s v="Complete"/>
    <s v="2-Routine"/>
    <m/>
    <d v="2025-02-12T16:12:07"/>
    <d v="2025-06-20T04:00:00"/>
    <s v="GP7000"/>
    <s v="Francisco Astiasaran"/>
    <s v="50%"/>
  </r>
  <r>
    <s v="Cases &amp; Composites"/>
    <s v="CAS-242924-M2N8L5"/>
    <x v="2"/>
    <s v="Peter Morell"/>
    <x v="331"/>
    <x v="2"/>
    <x v="11"/>
    <s v="false"/>
    <s v="22AC041D"/>
    <s v="Repair-EA"/>
    <s v="EM"/>
    <s v="Complete"/>
    <s v="2-Routine"/>
    <m/>
    <d v="2025-02-12T16:12:07"/>
    <d v="2025-06-20T04:00:00"/>
    <s v="GP7000"/>
    <s v="Francisco Astiasaran"/>
    <s v="50%"/>
  </r>
  <r>
    <s v="Cases &amp; Composites"/>
    <s v="CAS-242924-M2N8L5"/>
    <x v="2"/>
    <s v="Peter Morell"/>
    <x v="332"/>
    <x v="2"/>
    <x v="8"/>
    <s v="false"/>
    <s v="22AC041D"/>
    <s v="Repair-EA"/>
    <s v="EM"/>
    <s v="Complete"/>
    <s v="2-Routine"/>
    <m/>
    <d v="2025-02-12T16:12:07"/>
    <d v="2025-06-20T04:00:00"/>
    <s v="GP7000"/>
    <s v="Francisco Astiasaran"/>
    <s v="50%"/>
  </r>
  <r>
    <s v="Cases &amp; Composites"/>
    <s v="CAS-242930-S1B2J5"/>
    <x v="2"/>
    <s v="Brian K Holland"/>
    <x v="333"/>
    <x v="3"/>
    <x v="3"/>
    <s v="false"/>
    <s v="25KC172"/>
    <s v="Repair-EA"/>
    <s v="OTC"/>
    <s v="Incomplete"/>
    <s v="2-Routine"/>
    <m/>
    <d v="2025-02-12T17:31:29"/>
    <d v="2025-08-08T04:00:00"/>
    <s v="PW4000"/>
    <s v="Francisco Astiasaran"/>
    <s v="50%"/>
  </r>
  <r>
    <s v="Cases &amp; Composites"/>
    <s v="CAS-242930-S1B2J5"/>
    <x v="2"/>
    <s v="Brian K Holland"/>
    <x v="334"/>
    <x v="0"/>
    <x v="15"/>
    <s v="false"/>
    <s v="25KC172"/>
    <s v="Repair-EA"/>
    <s v="OTC"/>
    <s v="Incomplete"/>
    <s v="2-Routine"/>
    <m/>
    <d v="2025-02-12T17:31:29"/>
    <d v="2025-08-08T04:00:00"/>
    <s v="PW4000"/>
    <s v="Francisco Astiasaran"/>
    <s v="50%"/>
  </r>
  <r>
    <s v="Cases &amp; Composites"/>
    <s v="CAS-243400-T2N9Q8"/>
    <x v="1"/>
    <s v="Adam Lozon"/>
    <x v="335"/>
    <x v="1"/>
    <x v="18"/>
    <s v="false"/>
    <s v="15CC044C"/>
    <s v="Repair-EA"/>
    <s v="EM"/>
    <s v="Complete"/>
    <s v="2-Routine"/>
    <n v="17"/>
    <d v="2025-02-17T19:47:44"/>
    <d v="2025-05-07T04:00:00"/>
    <s v="PW1000G"/>
    <s v="Francisco Astiasaran"/>
    <s v="75%"/>
  </r>
  <r>
    <s v="Cases &amp; Composites"/>
    <s v="CAS-243400-T2N9Q8"/>
    <x v="1"/>
    <s v="Adam Lozon"/>
    <x v="336"/>
    <x v="2"/>
    <x v="2"/>
    <s v="false"/>
    <s v="15CC044C"/>
    <s v="Repair-EA"/>
    <s v="EM"/>
    <s v="Complete"/>
    <s v="2-Routine"/>
    <n v="17"/>
    <d v="2025-02-17T19:47:44"/>
    <d v="2025-05-07T04:00:00"/>
    <s v="PW1000G"/>
    <s v="Francisco Astiasaran"/>
    <s v="75%"/>
  </r>
  <r>
    <s v="Cases &amp; Composites"/>
    <s v="CAS-243400-T2N9Q8"/>
    <x v="1"/>
    <s v="Adam Lozon"/>
    <x v="337"/>
    <x v="0"/>
    <x v="0"/>
    <s v="false"/>
    <s v="15CC044C"/>
    <s v="Repair-EA"/>
    <s v="EM"/>
    <s v="Complete"/>
    <s v="2-Routine"/>
    <n v="17"/>
    <d v="2025-02-17T19:47:44"/>
    <d v="2025-05-07T04:00:00"/>
    <s v="PW1000G"/>
    <s v="Francisco Astiasaran"/>
    <s v="75%"/>
  </r>
  <r>
    <s v="Cases &amp; Composites"/>
    <s v="CAS-243405-P9F6R8"/>
    <x v="1"/>
    <s v="Michael Karnas"/>
    <x v="338"/>
    <x v="0"/>
    <x v="6"/>
    <s v="true"/>
    <s v="25CC430"/>
    <s v="Repair-EA"/>
    <s v="OTC"/>
    <s v="Complete"/>
    <s v="2-Routine"/>
    <m/>
    <d v="2025-02-17T20:59:19"/>
    <d v="2025-02-28T05:00:00"/>
    <s v="PW1000G"/>
    <s v="Francisco Astiasaran"/>
    <s v="75%"/>
  </r>
  <r>
    <s v="Cases &amp; Composites"/>
    <s v="CAS-243955-X4Q8Y4"/>
    <x v="0"/>
    <s v="Patton Conroy"/>
    <x v="339"/>
    <x v="4"/>
    <x v="26"/>
    <s v="true"/>
    <s v="25CC875"/>
    <s v="Repair-EA"/>
    <s v="OTC"/>
    <s v="Complete"/>
    <s v="2-Routine"/>
    <n v="21"/>
    <d v="2025-02-21T15:41:44"/>
    <d v="2025-07-11T04:00:00"/>
    <s v="PW1000G"/>
    <s v="Tyler Abusbah"/>
    <s v="75%"/>
  </r>
  <r>
    <s v="Cases &amp; Composites"/>
    <s v="CAS-243955-X4Q8Y4"/>
    <x v="2"/>
    <s v="Patton Conroy"/>
    <x v="340"/>
    <x v="1"/>
    <x v="21"/>
    <s v="false"/>
    <s v="25CC875"/>
    <s v="Repair-EA"/>
    <s v="OTC"/>
    <s v="Complete"/>
    <s v="2-Routine"/>
    <n v="21"/>
    <d v="2025-02-21T15:41:44"/>
    <d v="2025-07-11T04:00:00"/>
    <s v="PW1000G"/>
    <s v="Tyler Abusbah"/>
    <s v="75%"/>
  </r>
  <r>
    <s v="Cases &amp; Composites"/>
    <s v="CAS-244176-T4N4M8"/>
    <x v="2"/>
    <s v="Chase Poage"/>
    <x v="341"/>
    <x v="2"/>
    <x v="2"/>
    <s v="false"/>
    <s v="25KC145"/>
    <s v="Repair-EA"/>
    <s v="OTC"/>
    <s v="Complete"/>
    <s v="2-Routine"/>
    <m/>
    <d v="2025-02-24T19:05:17"/>
    <d v="2025-06-11T04:00:00"/>
    <s v="PW4000"/>
    <s v="Tyler Abusbah"/>
    <s v="75%"/>
  </r>
  <r>
    <s v="Cases &amp; Composites"/>
    <s v="CAS-245227-F3D8V2"/>
    <x v="0"/>
    <s v="Sean Squire"/>
    <x v="342"/>
    <x v="0"/>
    <x v="6"/>
    <s v="true"/>
    <s v="25VC127"/>
    <s v="Repair-EA"/>
    <s v="EM"/>
    <s v="Incomplete"/>
    <s v="2-Routine"/>
    <n v="49"/>
    <d v="2025-03-05T18:16:09"/>
    <d v="2025-09-12T04:00:00"/>
    <s v="V2500"/>
    <s v="Nathan Winger"/>
    <s v="75%"/>
  </r>
  <r>
    <s v="Cases &amp; Composites"/>
    <s v="CAS-245227-F3D8V2"/>
    <x v="0"/>
    <s v="Sean Squire"/>
    <x v="343"/>
    <x v="0"/>
    <x v="10"/>
    <s v="true"/>
    <s v="25VC127"/>
    <s v="Repair-EA"/>
    <s v="EM"/>
    <s v="Incomplete"/>
    <s v="2-Routine"/>
    <n v="49"/>
    <d v="2025-03-05T18:16:09"/>
    <d v="2025-09-12T04:00:00"/>
    <s v="V2500"/>
    <s v="Nathan Winger"/>
    <s v="75%"/>
  </r>
  <r>
    <s v="Cases &amp; Composites"/>
    <s v="CAS-245227-F3D8V2"/>
    <x v="0"/>
    <s v="Sean Squire"/>
    <x v="344"/>
    <x v="0"/>
    <x v="6"/>
    <s v="true"/>
    <s v="25VC127"/>
    <s v="Repair-EA"/>
    <s v="EM"/>
    <s v="Incomplete"/>
    <s v="2-Routine"/>
    <n v="49"/>
    <d v="2025-03-05T18:16:09"/>
    <d v="2025-09-12T04:00:00"/>
    <s v="V2500"/>
    <s v="Nathan Winger"/>
    <s v="75%"/>
  </r>
  <r>
    <s v="Cases &amp; Composites"/>
    <s v="CAS-245227-F3D8V2"/>
    <x v="0"/>
    <s v="Sean Squire"/>
    <x v="345"/>
    <x v="0"/>
    <x v="6"/>
    <s v="true"/>
    <s v="25VC127"/>
    <s v="Repair-EA"/>
    <s v="EM"/>
    <s v="Incomplete"/>
    <s v="2-Routine"/>
    <n v="49"/>
    <d v="2025-03-05T18:16:09"/>
    <d v="2025-09-12T04:00:00"/>
    <s v="V2500"/>
    <s v="Nathan Winger"/>
    <s v="75%"/>
  </r>
  <r>
    <s v="Cases &amp; Composites"/>
    <s v="CAS-245702-W7M0Q3"/>
    <x v="1"/>
    <s v="Paul A DeCrescente"/>
    <x v="346"/>
    <x v="2"/>
    <x v="2"/>
    <s v="false"/>
    <s v="24KC692A"/>
    <s v="Repair-EA"/>
    <s v="EM"/>
    <s v="Complete"/>
    <s v="2-Routine"/>
    <m/>
    <d v="2025-03-10T17:07:06"/>
    <d v="2025-04-09T04:00:00"/>
    <s v="PW4000"/>
    <s v="Francisco Astiasaran"/>
    <s v="75%"/>
  </r>
  <r>
    <s v="Cases &amp; Composites"/>
    <s v="CAS-245712-B7M3F3"/>
    <x v="1"/>
    <s v="Roldan Guillen"/>
    <x v="347"/>
    <x v="3"/>
    <x v="3"/>
    <s v="false"/>
    <s v="25KC230"/>
    <s v="Repair-EA"/>
    <s v="OTC"/>
    <s v="Complete"/>
    <s v="2-Routine"/>
    <m/>
    <d v="2025-03-10T19:03:51"/>
    <d v="2025-05-30T04:00:00"/>
    <s v="PW4000"/>
    <s v="Francisco Astiasaran"/>
    <s v="50%"/>
  </r>
  <r>
    <s v="Cases &amp; Composites"/>
    <s v="CAS-245813-G6F5F3"/>
    <x v="1"/>
    <s v="Adam Lozon"/>
    <x v="348"/>
    <x v="1"/>
    <x v="30"/>
    <s v="false"/>
    <s v="25KC195"/>
    <s v="Repair-EA"/>
    <s v="EM"/>
    <s v="Complete"/>
    <s v="2-Routine"/>
    <n v="26"/>
    <d v="2025-03-11T13:12:28"/>
    <d v="2025-04-04T04:00:00"/>
    <s v="PW4000"/>
    <s v="Francisco Astiasaran"/>
    <s v="75%"/>
  </r>
  <r>
    <s v="Cases &amp; Composites"/>
    <s v="CAS-245813-G6F5F3"/>
    <x v="1"/>
    <s v="Adam Lozon"/>
    <x v="349"/>
    <x v="3"/>
    <x v="3"/>
    <s v="false"/>
    <s v="25KC195"/>
    <s v="Repair-EA"/>
    <s v="EM"/>
    <s v="Complete"/>
    <s v="2-Routine"/>
    <n v="26"/>
    <d v="2025-03-11T13:12:28"/>
    <d v="2025-04-04T04:00:00"/>
    <s v="PW4000"/>
    <s v="Francisco Astiasaran"/>
    <s v="75%"/>
  </r>
  <r>
    <s v="Cases &amp; Composites"/>
    <s v="CAS-245813-G6F5F3"/>
    <x v="1"/>
    <s v="Adam Lozon"/>
    <x v="350"/>
    <x v="3"/>
    <x v="3"/>
    <s v="false"/>
    <s v="25KC195"/>
    <s v="Repair-EA"/>
    <s v="EM"/>
    <s v="Complete"/>
    <s v="2-Routine"/>
    <n v="26"/>
    <d v="2025-03-11T13:12:28"/>
    <d v="2025-04-04T04:00:00"/>
    <s v="PW4000"/>
    <s v="Francisco Astiasaran"/>
    <s v="75%"/>
  </r>
  <r>
    <s v="Cases &amp; Composites"/>
    <s v="CAS-245978-Y8Q5J4"/>
    <x v="1"/>
    <s v="Adam Lozon"/>
    <x v="351"/>
    <x v="0"/>
    <x v="0"/>
    <s v="false"/>
    <s v="24KC622A"/>
    <s v="Repair-EA"/>
    <s v="OTC"/>
    <s v="Complete"/>
    <s v="2-Routine"/>
    <n v="16"/>
    <d v="2025-03-12T14:20:49"/>
    <d v="2025-04-17T04:00:00"/>
    <s v="PW4000"/>
    <s v="Ferdin Mustafa"/>
    <s v="75%"/>
  </r>
  <r>
    <s v="Cases &amp; Composites"/>
    <s v="CAS-246085-W8F6F6"/>
    <x v="2"/>
    <s v="David Ahrens"/>
    <x v="352"/>
    <x v="3"/>
    <x v="12"/>
    <s v="true"/>
    <s v="25VC131"/>
    <s v="Repair-EA"/>
    <s v="OTC"/>
    <s v="Complete"/>
    <s v="2-Routine"/>
    <n v="15"/>
    <d v="2025-03-13T10:37:55"/>
    <d v="2025-06-25T04:00:00"/>
    <s v="V2500"/>
    <s v="Orlando Melendez Colon"/>
    <s v="50%"/>
  </r>
  <r>
    <s v="Cases &amp; Composites"/>
    <s v="CAS-246290-Y6Z4F3"/>
    <x v="1"/>
    <s v="Adam Lozon"/>
    <x v="353"/>
    <x v="2"/>
    <x v="2"/>
    <s v="false"/>
    <s v="25CC681"/>
    <s v="Repair-EA"/>
    <s v="OTC"/>
    <s v="Complete"/>
    <s v="1-Urgent"/>
    <m/>
    <d v="2025-03-15T12:15:46"/>
    <d v="2025-03-21T04:00:00"/>
    <s v="PW1000G"/>
    <s v="Francisco Astiasaran"/>
    <s v="75%"/>
  </r>
  <r>
    <s v="Cases &amp; Composites"/>
    <s v="CAS-246427-W1S4P5"/>
    <x v="0"/>
    <s v="Patton Conroy"/>
    <x v="354"/>
    <x v="4"/>
    <x v="26"/>
    <s v="true"/>
    <s v="25VC192"/>
    <s v="Repair-EA"/>
    <s v="OTC"/>
    <s v="Incomplete"/>
    <s v="2-Routine"/>
    <n v="14"/>
    <d v="2025-03-17T15:35:07"/>
    <d v="2025-08-28T04:00:00"/>
    <s v="V2500"/>
    <s v="Nathan Winger"/>
    <s v="75%"/>
  </r>
  <r>
    <s v="Cases &amp; Composites"/>
    <s v="CAS-246427-W1S4P5"/>
    <x v="0"/>
    <s v="Patton Conroy"/>
    <x v="355"/>
    <x v="4"/>
    <x v="26"/>
    <s v="false"/>
    <s v="25VC192"/>
    <s v="Repair-EA"/>
    <s v="OTC"/>
    <s v="Incomplete"/>
    <s v="2-Routine"/>
    <n v="14"/>
    <d v="2025-03-17T15:35:07"/>
    <d v="2025-08-28T04:00:00"/>
    <s v="V2500"/>
    <s v="Nathan Winger"/>
    <s v="75%"/>
  </r>
  <r>
    <s v="Cases &amp; Composites"/>
    <s v="CAS-246568-G4T9N1"/>
    <x v="2"/>
    <s v="Peter Morell"/>
    <x v="356"/>
    <x v="1"/>
    <x v="17"/>
    <s v="false"/>
    <s v="17CCI96J"/>
    <s v="Repair-EA"/>
    <s v="EM"/>
    <s v="Incomplete"/>
    <s v="2-Routine"/>
    <n v="13"/>
    <d v="2025-03-18T19:48:20"/>
    <d v="2025-08-22T04:00:00"/>
    <s v="PW1000G"/>
    <s v="Francisco Astiasaran"/>
    <s v="75%"/>
  </r>
  <r>
    <s v="Cases &amp; Composites"/>
    <s v="CAS-246568-G4T9N1"/>
    <x v="2"/>
    <s v="Peter Morell"/>
    <x v="357"/>
    <x v="2"/>
    <x v="8"/>
    <s v="false"/>
    <s v="17CCI96J"/>
    <s v="Repair-EA"/>
    <s v="EM"/>
    <s v="Incomplete"/>
    <s v="2-Routine"/>
    <n v="13"/>
    <d v="2025-03-18T19:48:20"/>
    <d v="2025-08-22T04:00:00"/>
    <s v="PW1000G"/>
    <s v="Francisco Astiasaran"/>
    <s v="75%"/>
  </r>
  <r>
    <s v="Cases &amp; Composites"/>
    <s v="CAS-246568-G4T9N1"/>
    <x v="2"/>
    <s v="Peter Morell"/>
    <x v="358"/>
    <x v="0"/>
    <x v="15"/>
    <s v="false"/>
    <s v="17CCI96J"/>
    <s v="Repair-EA"/>
    <s v="EM"/>
    <s v="Incomplete"/>
    <s v="2-Routine"/>
    <n v="13"/>
    <d v="2025-03-18T19:48:20"/>
    <d v="2025-08-22T04:00:00"/>
    <s v="PW1000G"/>
    <s v="Francisco Astiasaran"/>
    <s v="75%"/>
  </r>
  <r>
    <s v="Cases &amp; Composites"/>
    <s v="CAS-246568-G4T9N1"/>
    <x v="2"/>
    <s v="Peter Morell"/>
    <x v="359"/>
    <x v="3"/>
    <x v="3"/>
    <s v="false"/>
    <s v="17CCI96J"/>
    <s v="Repair-EA"/>
    <s v="EM"/>
    <s v="Incomplete"/>
    <s v="2-Routine"/>
    <n v="13"/>
    <d v="2025-03-18T19:48:20"/>
    <d v="2025-08-22T04:00:00"/>
    <s v="PW1000G"/>
    <s v="Francisco Astiasaran"/>
    <s v="75%"/>
  </r>
  <r>
    <s v="Cases &amp; Composites"/>
    <s v="CAS-246953-N1L8C3"/>
    <x v="0"/>
    <s v="Patton Conroy"/>
    <x v="360"/>
    <x v="4"/>
    <x v="26"/>
    <s v="false"/>
    <s v="25KC422"/>
    <s v="Repair-EA"/>
    <s v="OTC"/>
    <s v="Incomplete"/>
    <s v="2-Routine"/>
    <n v="29"/>
    <d v="2025-03-21T17:46:05"/>
    <d v="2025-11-05T05:00:00"/>
    <s v="PW4000"/>
    <s v="Jia Chen"/>
    <s v="75%"/>
  </r>
  <r>
    <s v="Cases &amp; Composites"/>
    <s v="CAS-247241-B8S3D3"/>
    <x v="2"/>
    <s v="Vincent Ybanez"/>
    <x v="361"/>
    <x v="1"/>
    <x v="1"/>
    <s v="false"/>
    <s v="25KC253"/>
    <s v="Repair-EA"/>
    <s v="OTC"/>
    <s v="Incomplete"/>
    <s v="2-Routine"/>
    <n v="28"/>
    <d v="2025-03-25T14:17:49"/>
    <d v="2025-08-08T04:00:00"/>
    <s v="PW4000"/>
    <s v="Ferdin Mustafa"/>
    <s v="75%"/>
  </r>
  <r>
    <s v="Cases &amp; Composites"/>
    <s v="CAS-247241-B8S3D3"/>
    <x v="2"/>
    <s v="Vincent Ybanez"/>
    <x v="362"/>
    <x v="0"/>
    <x v="15"/>
    <s v="false"/>
    <s v="25KC253"/>
    <s v="Repair-EA"/>
    <s v="OTC"/>
    <s v="Incomplete"/>
    <s v="2-Routine"/>
    <n v="28"/>
    <d v="2025-03-25T14:17:49"/>
    <d v="2025-08-08T04:00:00"/>
    <s v="PW4000"/>
    <s v="Ferdin Mustafa"/>
    <s v="75%"/>
  </r>
  <r>
    <s v="Cases &amp; Composites"/>
    <s v="CAS-247241-B8S3D3"/>
    <x v="2"/>
    <s v="Vincent Ybanez"/>
    <x v="363"/>
    <x v="0"/>
    <x v="10"/>
    <s v="false"/>
    <s v="25KC253"/>
    <s v="Repair-EA"/>
    <s v="OTC"/>
    <s v="Incomplete"/>
    <s v="2-Routine"/>
    <n v="28"/>
    <d v="2025-03-25T14:17:49"/>
    <d v="2025-08-08T04:00:00"/>
    <s v="PW4000"/>
    <s v="Ferdin Mustafa"/>
    <s v="75%"/>
  </r>
  <r>
    <s v="Cases &amp; Composites"/>
    <s v="CAS-247241-B8S3D3"/>
    <x v="2"/>
    <s v="Vincent Ybanez"/>
    <x v="364"/>
    <x v="0"/>
    <x v="6"/>
    <s v="false"/>
    <s v="25KC253"/>
    <s v="Repair-EA"/>
    <s v="OTC"/>
    <s v="Incomplete"/>
    <s v="2-Routine"/>
    <n v="28"/>
    <d v="2025-03-25T14:17:49"/>
    <d v="2025-08-08T04:00:00"/>
    <s v="PW4000"/>
    <s v="Ferdin Mustafa"/>
    <s v="75%"/>
  </r>
  <r>
    <s v="Cases &amp; Composites"/>
    <s v="CAS-247241-B8S3D3"/>
    <x v="2"/>
    <s v="Vincent Ybanez"/>
    <x v="365"/>
    <x v="2"/>
    <x v="11"/>
    <s v="false"/>
    <s v="25KC253"/>
    <s v="Repair-EA"/>
    <s v="OTC"/>
    <s v="Incomplete"/>
    <s v="2-Routine"/>
    <n v="28"/>
    <d v="2025-03-25T14:17:49"/>
    <d v="2025-08-08T04:00:00"/>
    <s v="PW4000"/>
    <s v="Ferdin Mustafa"/>
    <s v="75%"/>
  </r>
  <r>
    <s v="Cases &amp; Composites"/>
    <s v="CAS-247241-B8S3D3"/>
    <x v="2"/>
    <s v="Vincent Ybanez"/>
    <x v="366"/>
    <x v="2"/>
    <x v="2"/>
    <s v="false"/>
    <s v="25KC253"/>
    <s v="Repair-EA"/>
    <s v="OTC"/>
    <s v="Incomplete"/>
    <s v="2-Routine"/>
    <n v="28"/>
    <d v="2025-03-25T14:17:49"/>
    <d v="2025-08-08T04:00:00"/>
    <s v="PW4000"/>
    <s v="Ferdin Mustafa"/>
    <s v="75%"/>
  </r>
  <r>
    <s v="Cases &amp; Composites"/>
    <s v="CAS-247241-B8S3D3"/>
    <x v="2"/>
    <s v="Vincent Ybanez"/>
    <x v="367"/>
    <x v="2"/>
    <x v="8"/>
    <s v="false"/>
    <s v="25KC253"/>
    <s v="Repair-EA"/>
    <s v="OTC"/>
    <s v="Incomplete"/>
    <s v="2-Routine"/>
    <n v="28"/>
    <d v="2025-03-25T14:17:49"/>
    <d v="2025-08-08T04:00:00"/>
    <s v="PW4000"/>
    <s v="Ferdin Mustafa"/>
    <s v="75%"/>
  </r>
  <r>
    <s v="Cases &amp; Composites"/>
    <s v="CAS-247241-B8S3D3"/>
    <x v="2"/>
    <s v="Vincent Ybanez"/>
    <x v="368"/>
    <x v="3"/>
    <x v="3"/>
    <s v="false"/>
    <s v="25KC253"/>
    <s v="Repair-EA"/>
    <s v="OTC"/>
    <s v="Incomplete"/>
    <s v="2-Routine"/>
    <n v="28"/>
    <d v="2025-03-25T14:17:49"/>
    <d v="2025-08-08T04:00:00"/>
    <s v="PW4000"/>
    <s v="Ferdin Mustafa"/>
    <s v="75%"/>
  </r>
  <r>
    <s v="Cases &amp; Composites"/>
    <s v="CAS-247249-V9B8K3"/>
    <x v="0"/>
    <s v="Patton Conroy"/>
    <x v="369"/>
    <x v="4"/>
    <x v="26"/>
    <s v="false"/>
    <s v="25KC353"/>
    <s v="Repair-EA"/>
    <s v="OTC"/>
    <s v="Incomplete"/>
    <s v="2-Routine"/>
    <n v="25"/>
    <d v="2025-03-25T15:36:50"/>
    <d v="2025-09-04T04:00:00"/>
    <s v="PW4000"/>
    <s v="Jia Chen"/>
    <s v="75%"/>
  </r>
  <r>
    <s v="Cases &amp; Composites"/>
    <s v="CAS-247249-V9B8K3"/>
    <x v="0"/>
    <s v="Patton Conroy"/>
    <x v="370"/>
    <x v="4"/>
    <x v="5"/>
    <s v="false"/>
    <s v="25KC353"/>
    <s v="Repair-EA"/>
    <s v="OTC"/>
    <s v="Incomplete"/>
    <s v="2-Routine"/>
    <n v="25"/>
    <d v="2025-03-25T15:36:50"/>
    <d v="2025-09-04T04:00:00"/>
    <s v="PW4000"/>
    <s v="Jia Chen"/>
    <s v="75%"/>
  </r>
  <r>
    <s v="Cases &amp; Composites"/>
    <s v="CAS-247249-V9B8K3"/>
    <x v="2"/>
    <s v="Patton Conroy"/>
    <x v="371"/>
    <x v="0"/>
    <x v="10"/>
    <s v="false"/>
    <s v="25KC353"/>
    <s v="Repair-EA"/>
    <s v="OTC"/>
    <s v="Incomplete"/>
    <s v="2-Routine"/>
    <n v="25"/>
    <d v="2025-03-25T15:36:50"/>
    <d v="2025-09-04T04:00:00"/>
    <s v="PW4000"/>
    <s v="Jia Chen"/>
    <s v="75%"/>
  </r>
  <r>
    <s v="Cases &amp; Composites"/>
    <s v="CAS-247358-W6W6D9"/>
    <x v="1"/>
    <s v="Adam Lozon"/>
    <x v="372"/>
    <x v="0"/>
    <x v="6"/>
    <s v="false"/>
    <s v="25CC872"/>
    <s v="Repair-EA"/>
    <s v="OTC"/>
    <s v="Complete"/>
    <s v="2-Routine"/>
    <n v="9"/>
    <d v="2025-03-26T13:04:08"/>
    <d v="2025-05-28T04:00:00"/>
    <s v="PW1000G"/>
    <s v="Francisco Astiasaran"/>
    <s v="75%"/>
  </r>
  <r>
    <s v="Cases &amp; Composites"/>
    <s v="CAS-247358-W6W6D9"/>
    <x v="1"/>
    <s v="Adam Lozon"/>
    <x v="373"/>
    <x v="0"/>
    <x v="6"/>
    <s v="false"/>
    <s v="25CC872"/>
    <s v="Repair-EA"/>
    <s v="OTC"/>
    <s v="Complete"/>
    <s v="2-Routine"/>
    <n v="9"/>
    <d v="2025-03-26T13:04:08"/>
    <d v="2025-05-28T04:00:00"/>
    <s v="PW1000G"/>
    <s v="Francisco Astiasaran"/>
    <s v="75%"/>
  </r>
  <r>
    <s v="Cases &amp; Composites"/>
    <s v="CAS-247358-W6W6D9"/>
    <x v="1"/>
    <s v="Adam Lozon"/>
    <x v="374"/>
    <x v="3"/>
    <x v="3"/>
    <s v="false"/>
    <s v="25CC872"/>
    <s v="Repair-EA"/>
    <s v="OTC"/>
    <s v="Complete"/>
    <s v="2-Routine"/>
    <n v="9"/>
    <d v="2025-03-26T13:04:08"/>
    <d v="2025-05-28T04:00:00"/>
    <s v="PW1000G"/>
    <s v="Francisco Astiasaran"/>
    <s v="75%"/>
  </r>
  <r>
    <s v="Cases &amp; Composites"/>
    <s v="CAS-247522-C9B6C1"/>
    <x v="2"/>
    <s v="Vincent Ybanez"/>
    <x v="375"/>
    <x v="1"/>
    <x v="17"/>
    <s v="false"/>
    <s v="25KC267"/>
    <s v="Repair-EA"/>
    <s v="OTC"/>
    <s v="Complete"/>
    <s v="2-Routine"/>
    <n v="13"/>
    <d v="2025-03-27T13:24:21"/>
    <d v="2025-07-25T04:00:00"/>
    <s v="PW4000"/>
    <s v="Ferdin Mustafa"/>
    <s v="75%"/>
  </r>
  <r>
    <s v="Cases &amp; Composites"/>
    <s v="CAS-247522-C9B6C1"/>
    <x v="2"/>
    <s v="Vincent Ybanez"/>
    <x v="376"/>
    <x v="0"/>
    <x v="15"/>
    <s v="false"/>
    <s v="25KC267"/>
    <s v="Repair-EA"/>
    <s v="OTC"/>
    <s v="Complete"/>
    <s v="2-Routine"/>
    <n v="13"/>
    <d v="2025-03-27T13:24:21"/>
    <d v="2025-07-25T04:00:00"/>
    <s v="PW4000"/>
    <s v="Ferdin Mustafa"/>
    <s v="75%"/>
  </r>
  <r>
    <s v="Cases &amp; Composites"/>
    <s v="CAS-247522-C9B6C1"/>
    <x v="2"/>
    <s v="Vincent Ybanez"/>
    <x v="377"/>
    <x v="0"/>
    <x v="10"/>
    <s v="false"/>
    <s v="25KC267"/>
    <s v="Repair-EA"/>
    <s v="OTC"/>
    <s v="Complete"/>
    <s v="2-Routine"/>
    <n v="13"/>
    <d v="2025-03-27T13:24:21"/>
    <d v="2025-07-25T04:00:00"/>
    <s v="PW4000"/>
    <s v="Ferdin Mustafa"/>
    <s v="75%"/>
  </r>
  <r>
    <s v="Cases &amp; Composites"/>
    <s v="CAS-247522-C9B6C1"/>
    <x v="2"/>
    <s v="Vincent Ybanez"/>
    <x v="378"/>
    <x v="0"/>
    <x v="6"/>
    <s v="false"/>
    <s v="25KC267"/>
    <s v="Repair-EA"/>
    <s v="OTC"/>
    <s v="Complete"/>
    <s v="2-Routine"/>
    <n v="13"/>
    <d v="2025-03-27T13:24:21"/>
    <d v="2025-07-25T04:00:00"/>
    <s v="PW4000"/>
    <s v="Ferdin Mustafa"/>
    <s v="75%"/>
  </r>
  <r>
    <s v="Cases &amp; Composites"/>
    <s v="CAS-247522-C9B6C1"/>
    <x v="2"/>
    <s v="Vincent Ybanez"/>
    <x v="379"/>
    <x v="2"/>
    <x v="2"/>
    <s v="false"/>
    <s v="25KC267"/>
    <s v="Repair-EA"/>
    <s v="OTC"/>
    <s v="Complete"/>
    <s v="2-Routine"/>
    <n v="13"/>
    <d v="2025-03-27T13:24:21"/>
    <d v="2025-07-25T04:00:00"/>
    <s v="PW4000"/>
    <s v="Ferdin Mustafa"/>
    <s v="75%"/>
  </r>
  <r>
    <s v="Cases &amp; Composites"/>
    <s v="CAS-247522-C9B6C1"/>
    <x v="2"/>
    <s v="Vincent Ybanez"/>
    <x v="380"/>
    <x v="2"/>
    <x v="8"/>
    <s v="false"/>
    <s v="25KC267"/>
    <s v="Repair-EA"/>
    <s v="OTC"/>
    <s v="Complete"/>
    <s v="2-Routine"/>
    <n v="13"/>
    <d v="2025-03-27T13:24:21"/>
    <d v="2025-07-25T04:00:00"/>
    <s v="PW4000"/>
    <s v="Ferdin Mustafa"/>
    <s v="75%"/>
  </r>
  <r>
    <s v="Cases &amp; Composites"/>
    <s v="CAS-247522-C9B6C1"/>
    <x v="2"/>
    <s v="Vincent Ybanez"/>
    <x v="381"/>
    <x v="3"/>
    <x v="3"/>
    <s v="false"/>
    <s v="25KC267"/>
    <s v="Repair-EA"/>
    <s v="OTC"/>
    <s v="Complete"/>
    <s v="2-Routine"/>
    <n v="13"/>
    <d v="2025-03-27T13:24:21"/>
    <d v="2025-07-25T04:00:00"/>
    <s v="PW4000"/>
    <s v="Ferdin Mustafa"/>
    <s v="75%"/>
  </r>
  <r>
    <s v="Cases &amp; Composites"/>
    <s v="CAS-247692-T1L6J1"/>
    <x v="1"/>
    <s v="Andres Cedeno"/>
    <x v="382"/>
    <x v="2"/>
    <x v="8"/>
    <s v="false"/>
    <s v="25VC120"/>
    <s v="Repair-EA"/>
    <s v="OTC"/>
    <s v="Complete"/>
    <s v="2-Routine"/>
    <n v="15"/>
    <d v="2025-03-28T19:00:58"/>
    <d v="2025-05-09T04:00:00"/>
    <s v="V2500"/>
    <s v="Ibraheem Farajat"/>
    <s v="75%"/>
  </r>
  <r>
    <s v="Cases &amp; Composites"/>
    <s v="CAS-248241-P8Y5N4"/>
    <x v="1"/>
    <s v="Andres Cedeno"/>
    <x v="383"/>
    <x v="0"/>
    <x v="22"/>
    <s v="true"/>
    <s v="19CC141A"/>
    <s v="Repair-EA"/>
    <s v="EM"/>
    <s v="Complete"/>
    <s v="2-Routine"/>
    <n v="37"/>
    <d v="2025-04-03T18:19:57"/>
    <d v="2025-08-06T04:00:00"/>
    <s v="PW1000G"/>
    <s v="Francisco Astiasaran"/>
    <s v="75%"/>
  </r>
  <r>
    <s v="Cases &amp; Composites"/>
    <s v="CAS-248531-Q7B9M9"/>
    <x v="1"/>
    <s v="Michael Karnas"/>
    <x v="384"/>
    <x v="0"/>
    <x v="6"/>
    <s v="true"/>
    <s v="25CC841"/>
    <s v="Repair-EA"/>
    <s v="OTC"/>
    <s v="Complete"/>
    <s v="2-Routine"/>
    <n v="25"/>
    <d v="2025-04-07T14:58:21"/>
    <d v="2025-04-18T04:00:00"/>
    <s v="PW1000G"/>
    <s v="Francisco Astiasaran"/>
    <s v="75%"/>
  </r>
  <r>
    <s v="Cases &amp; Composites"/>
    <s v="CAS-248540-R7D5Y4"/>
    <x v="1"/>
    <s v="Michael Karnas"/>
    <x v="385"/>
    <x v="0"/>
    <x v="6"/>
    <s v="true"/>
    <s v="25CC847"/>
    <s v="Repair-EA"/>
    <s v="OTC"/>
    <s v="Complete"/>
    <s v="2-Routine"/>
    <n v="16"/>
    <d v="2025-04-07T16:27:57"/>
    <d v="2025-04-25T04:00:00"/>
    <s v="PW1000G"/>
    <s v="Francisco Astiasaran"/>
    <s v="75%"/>
  </r>
  <r>
    <s v="Cases &amp; Composites"/>
    <s v="CAS-248540-R7D5Y4"/>
    <x v="1"/>
    <s v="Michael Karnas"/>
    <x v="386"/>
    <x v="2"/>
    <x v="2"/>
    <s v="true"/>
    <s v="25CC847"/>
    <s v="Repair-EA"/>
    <s v="OTC"/>
    <s v="Complete"/>
    <s v="2-Routine"/>
    <n v="16"/>
    <d v="2025-04-07T16:27:57"/>
    <d v="2025-04-25T04:00:00"/>
    <s v="PW1000G"/>
    <s v="Francisco Astiasaran"/>
    <s v="75%"/>
  </r>
  <r>
    <s v="Cases &amp; Composites"/>
    <s v="CAS-248566-R0P9G0"/>
    <x v="0"/>
    <s v="Patton Conroy"/>
    <x v="387"/>
    <x v="4"/>
    <x v="5"/>
    <s v="false"/>
    <s v="25VC155"/>
    <s v="Repair-EA"/>
    <s v="OTC"/>
    <s v="Incomplete"/>
    <s v="2-Routine"/>
    <m/>
    <d v="2025-04-07T20:17:14"/>
    <d v="2025-10-17T04:00:00"/>
    <s v="V2500"/>
    <s v="Nathan Winger"/>
    <m/>
  </r>
  <r>
    <s v="Cases &amp; Composites"/>
    <s v="CAS-248566-R0P9G0"/>
    <x v="0"/>
    <s v="Patton Conroy"/>
    <x v="388"/>
    <x v="4"/>
    <x v="5"/>
    <s v="false"/>
    <s v="25VC155"/>
    <s v="Repair-EA"/>
    <s v="OTC"/>
    <s v="Incomplete"/>
    <s v="2-Routine"/>
    <m/>
    <d v="2025-04-07T20:17:14"/>
    <d v="2025-10-17T04:00:00"/>
    <s v="V2500"/>
    <s v="Nathan Winger"/>
    <m/>
  </r>
  <r>
    <s v="Cases &amp; Composites"/>
    <s v="CAS-248726-F5K6L6"/>
    <x v="0"/>
    <s v="Patton Conroy"/>
    <x v="389"/>
    <x v="4"/>
    <x v="5"/>
    <s v="false"/>
    <s v="25CCB26"/>
    <s v="Repair-EA"/>
    <s v="OTC"/>
    <s v="Incomplete"/>
    <s v="2-Routine"/>
    <n v="22"/>
    <d v="2025-04-08T19:28:36"/>
    <d v="2025-09-30T04:00:00"/>
    <s v="PW1000G"/>
    <s v="Alexander Page"/>
    <s v="75%"/>
  </r>
  <r>
    <s v="Cases &amp; Composites"/>
    <s v="CAS-248726-F5K6L6"/>
    <x v="0"/>
    <s v="Patton Conroy"/>
    <x v="390"/>
    <x v="4"/>
    <x v="26"/>
    <s v="false"/>
    <s v="25CCB26"/>
    <s v="Repair-EA"/>
    <s v="OTC"/>
    <s v="Incomplete"/>
    <s v="2-Routine"/>
    <n v="22"/>
    <d v="2025-04-08T19:28:36"/>
    <d v="2025-09-30T04:00:00"/>
    <s v="PW1000G"/>
    <s v="Alexander Page"/>
    <s v="75%"/>
  </r>
  <r>
    <s v="Cases &amp; Composites"/>
    <s v="CAS-248726-F5K6L6"/>
    <x v="0"/>
    <s v="Patton Conroy"/>
    <x v="391"/>
    <x v="4"/>
    <x v="26"/>
    <s v="false"/>
    <s v="25CCB26"/>
    <s v="Repair-EA"/>
    <s v="OTC"/>
    <s v="Incomplete"/>
    <s v="2-Routine"/>
    <n v="22"/>
    <d v="2025-04-08T19:28:36"/>
    <d v="2025-09-30T04:00:00"/>
    <s v="PW1000G"/>
    <s v="Alexander Page"/>
    <s v="75%"/>
  </r>
  <r>
    <s v="Cases &amp; Composites"/>
    <s v="CAS-249276-C4Y3H9"/>
    <x v="1"/>
    <s v="Michael Karnas"/>
    <x v="392"/>
    <x v="0"/>
    <x v="6"/>
    <s v="true"/>
    <s v="25CC882"/>
    <s v="Repair-EA"/>
    <s v="OTC"/>
    <s v="Complete"/>
    <s v="2-Routine"/>
    <n v="15"/>
    <d v="2025-04-14T12:40:22"/>
    <d v="2025-04-25T04:00:00"/>
    <s v="PW1000G"/>
    <s v="Francisco Astiasaran"/>
    <s v="75%"/>
  </r>
  <r>
    <s v="Cases &amp; Composites"/>
    <s v="CAS-249956-F1G7N2"/>
    <x v="1"/>
    <s v="Michael Karnas"/>
    <x v="393"/>
    <x v="1"/>
    <x v="20"/>
    <s v="false"/>
    <s v="25CC937"/>
    <s v="Repair-EA"/>
    <s v="OTC"/>
    <s v="Complete"/>
    <s v="2-Routine"/>
    <n v="22"/>
    <d v="2025-04-21T12:35:02"/>
    <d v="2025-04-30T04:00:00"/>
    <s v="PW1000G"/>
    <s v="Francisco Astiasaran"/>
    <s v="75%"/>
  </r>
  <r>
    <s v="Cases &amp; Composites"/>
    <s v="CAS-249956-F1G7N2"/>
    <x v="1"/>
    <s v="Michael Karnas"/>
    <x v="394"/>
    <x v="0"/>
    <x v="29"/>
    <s v="false"/>
    <s v="25CC937"/>
    <s v="Repair-EA"/>
    <s v="OTC"/>
    <s v="Complete"/>
    <s v="2-Routine"/>
    <n v="22"/>
    <d v="2025-04-21T12:35:02"/>
    <d v="2025-04-30T04:00:00"/>
    <s v="PW1000G"/>
    <s v="Francisco Astiasaran"/>
    <s v="75%"/>
  </r>
  <r>
    <s v="Cases &amp; Composites"/>
    <s v="CAS-249956-F1G7N2"/>
    <x v="1"/>
    <s v="Michael Karnas"/>
    <x v="395"/>
    <x v="0"/>
    <x v="6"/>
    <s v="true"/>
    <s v="25CC937"/>
    <s v="Repair-EA"/>
    <s v="OTC"/>
    <s v="Complete"/>
    <s v="2-Routine"/>
    <n v="22"/>
    <d v="2025-04-21T12:35:02"/>
    <d v="2025-04-30T04:00:00"/>
    <s v="PW1000G"/>
    <s v="Francisco Astiasaran"/>
    <s v="75%"/>
  </r>
  <r>
    <s v="Cases &amp; Composites"/>
    <s v="CAS-249956-F1G7N2"/>
    <x v="1"/>
    <s v="Michael Karnas"/>
    <x v="396"/>
    <x v="2"/>
    <x v="2"/>
    <s v="false"/>
    <s v="25CC937"/>
    <s v="Repair-EA"/>
    <s v="OTC"/>
    <s v="Complete"/>
    <s v="2-Routine"/>
    <n v="22"/>
    <d v="2025-04-21T12:35:02"/>
    <d v="2025-04-30T04:00:00"/>
    <s v="PW1000G"/>
    <s v="Francisco Astiasaran"/>
    <s v="75%"/>
  </r>
  <r>
    <s v="Cases &amp; Composites"/>
    <s v="CAS-249976-M5W9D6"/>
    <x v="1"/>
    <s v="Adam Lozon"/>
    <x v="397"/>
    <x v="0"/>
    <x v="0"/>
    <s v="false"/>
    <s v="25KC265"/>
    <s v="Repair-EA"/>
    <s v="OTC"/>
    <s v="Complete"/>
    <s v="2-Routine"/>
    <m/>
    <d v="2025-04-21T18:20:22"/>
    <d v="2025-05-28T04:00:00"/>
    <s v="PW4000"/>
    <s v="Francisco Astiasaran"/>
    <s v="75%"/>
  </r>
  <r>
    <s v="Cases &amp; Composites"/>
    <s v="CAS-250244-J3V2R7"/>
    <x v="2"/>
    <s v="Jorge L Pardo"/>
    <x v="398"/>
    <x v="3"/>
    <x v="3"/>
    <s v="false"/>
    <s v="25KC294"/>
    <s v="Repair-EA"/>
    <s v="OTC"/>
    <s v="Complete"/>
    <s v="2-Routine"/>
    <n v="11"/>
    <d v="2025-04-23T16:08:58"/>
    <d v="2025-06-20T04:00:00"/>
    <s v="PW4000"/>
    <s v="Bruce Zoyaar"/>
    <s v="75%"/>
  </r>
  <r>
    <s v="Cases &amp; Composites"/>
    <s v="CAS-250244-J3V2R7"/>
    <x v="1"/>
    <s v="Adam Lozon"/>
    <x v="399"/>
    <x v="2"/>
    <x v="2"/>
    <s v="false"/>
    <s v="25KC294"/>
    <s v="Repair-EA"/>
    <s v="OTC"/>
    <s v="Complete"/>
    <s v="2-Routine"/>
    <n v="11"/>
    <d v="2025-04-23T16:08:58"/>
    <d v="2025-06-20T04:00:00"/>
    <s v="PW4000"/>
    <s v="Bruce Zoyaar"/>
    <s v="75%"/>
  </r>
  <r>
    <s v="Cases &amp; Composites"/>
    <s v="CAS-250257-G4H5R9"/>
    <x v="0"/>
    <s v="Sean Squire"/>
    <x v="400"/>
    <x v="0"/>
    <x v="0"/>
    <s v="false"/>
    <s v="25KC357"/>
    <s v="Repair-EA"/>
    <s v="OTC"/>
    <s v="Incomplete"/>
    <s v="2-Routine"/>
    <m/>
    <d v="2025-04-23T17:40:47"/>
    <d v="2025-09-05T04:00:00"/>
    <s v="PW4000"/>
    <s v="Alexander Page"/>
    <m/>
  </r>
  <r>
    <s v="Cases &amp; Composites"/>
    <s v="CAS-250351-J0H3B1"/>
    <x v="1"/>
    <s v="Adam Lozon"/>
    <x v="401"/>
    <x v="1"/>
    <x v="1"/>
    <s v="false"/>
    <s v="25CCA53"/>
    <s v="Repair-EA"/>
    <s v="OTC"/>
    <s v="Complete"/>
    <s v="2-Routine"/>
    <m/>
    <d v="2025-04-24T10:28:36"/>
    <d v="2025-05-15T04:00:00"/>
    <s v="PW1000G"/>
    <s v="Francisco Astiasaran"/>
    <s v="75%"/>
  </r>
  <r>
    <s v="Cases &amp; Composites"/>
    <s v="CAS-250351-J0H3B1"/>
    <x v="1"/>
    <s v="Adam Lozon"/>
    <x v="402"/>
    <x v="1"/>
    <x v="1"/>
    <s v="false"/>
    <s v="25CCA53"/>
    <s v="Repair-EA"/>
    <s v="OTC"/>
    <s v="Complete"/>
    <s v="2-Routine"/>
    <m/>
    <d v="2025-04-24T10:28:36"/>
    <d v="2025-05-15T04:00:00"/>
    <s v="PW1000G"/>
    <s v="Francisco Astiasaran"/>
    <s v="75%"/>
  </r>
  <r>
    <s v="Cases &amp; Composites"/>
    <s v="CAS-250631-C1J9K1"/>
    <x v="2"/>
    <s v="Peter Morell"/>
    <x v="403"/>
    <x v="6"/>
    <x v="31"/>
    <s v="true"/>
    <s v="25CCD08"/>
    <s v="Repair-EA"/>
    <s v="OTC"/>
    <s v="Incomplete"/>
    <s v="2-Routine"/>
    <n v="36"/>
    <d v="2025-04-28T10:52:50"/>
    <d v="2025-08-15T04:00:00"/>
    <s v="PW1000G"/>
    <s v="Francisco Astiasaran"/>
    <s v="75%"/>
  </r>
  <r>
    <s v="Cases &amp; Composites"/>
    <s v="CAS-250631-C1J9K1"/>
    <x v="1"/>
    <s v="Adam Lozon"/>
    <x v="404"/>
    <x v="1"/>
    <x v="1"/>
    <s v="false"/>
    <s v="25CCD08"/>
    <s v="Repair-EA"/>
    <s v="OTC"/>
    <s v="Incomplete"/>
    <s v="2-Routine"/>
    <n v="36"/>
    <d v="2025-04-28T10:52:50"/>
    <d v="2025-08-15T04:00:00"/>
    <s v="PW1000G"/>
    <s v="Francisco Astiasaran"/>
    <s v="75%"/>
  </r>
  <r>
    <s v="Cases &amp; Composites"/>
    <s v="CAS-250631-C1J9K1"/>
    <x v="1"/>
    <s v="Adam Lozon"/>
    <x v="405"/>
    <x v="2"/>
    <x v="2"/>
    <s v="false"/>
    <s v="25CCD08"/>
    <s v="Repair-EA"/>
    <s v="OTC"/>
    <s v="Incomplete"/>
    <s v="2-Routine"/>
    <n v="36"/>
    <d v="2025-04-28T10:52:50"/>
    <d v="2025-08-15T04:00:00"/>
    <s v="PW1000G"/>
    <s v="Francisco Astiasaran"/>
    <s v="75%"/>
  </r>
  <r>
    <s v="Cases &amp; Composites"/>
    <s v="CAS-250631-C1J9K1"/>
    <x v="1"/>
    <s v="Adam Lozon"/>
    <x v="406"/>
    <x v="2"/>
    <x v="2"/>
    <s v="false"/>
    <s v="25CCD08"/>
    <s v="Repair-EA"/>
    <s v="OTC"/>
    <s v="Incomplete"/>
    <s v="2-Routine"/>
    <n v="36"/>
    <d v="2025-04-28T10:52:50"/>
    <d v="2025-08-15T04:00:00"/>
    <s v="PW1000G"/>
    <s v="Francisco Astiasaran"/>
    <s v="75%"/>
  </r>
  <r>
    <s v="Cases &amp; Composites"/>
    <s v="CAS-250667-C5R6N6"/>
    <x v="2"/>
    <s v="Patton Conroy"/>
    <x v="407"/>
    <x v="3"/>
    <x v="12"/>
    <s v="false"/>
    <s v="24CCG87A"/>
    <s v="Repair-EA"/>
    <s v="OTC"/>
    <s v="Complete"/>
    <s v="2-Routine"/>
    <m/>
    <d v="2025-04-28T16:38:06"/>
    <d v="2025-06-18T04:00:00"/>
    <s v="PW1000G"/>
    <s v="Tyler Abusbah"/>
    <s v="75%"/>
  </r>
  <r>
    <s v="Cases &amp; Composites"/>
    <s v="CAS-250691-C2P6V8"/>
    <x v="0"/>
    <s v="Peter Morell"/>
    <x v="408"/>
    <x v="2"/>
    <x v="2"/>
    <s v="false"/>
    <s v="25CCA13"/>
    <s v="Repair-EA"/>
    <s v="OTC"/>
    <s v="Complete"/>
    <s v="2-Routine"/>
    <n v="22"/>
    <d v="2025-04-28T20:11:38"/>
    <d v="2025-05-15T04:00:00"/>
    <s v="PW1000G"/>
    <s v="Francisco Astiasaran"/>
    <s v="75%"/>
  </r>
  <r>
    <s v="Cases &amp; Composites"/>
    <s v="CAS-250691-C2P6V8"/>
    <x v="0"/>
    <s v="Peter Morell"/>
    <x v="409"/>
    <x v="0"/>
    <x v="29"/>
    <s v="false"/>
    <s v="25CCA13"/>
    <s v="Repair-EA"/>
    <s v="OTC"/>
    <s v="Complete"/>
    <s v="2-Routine"/>
    <n v="22"/>
    <d v="2025-04-28T20:11:38"/>
    <d v="2025-05-15T04:00:00"/>
    <s v="PW1000G"/>
    <s v="Francisco Astiasaran"/>
    <s v="75%"/>
  </r>
  <r>
    <s v="Cases &amp; Composites"/>
    <s v="CAS-250793-H3Z8S3"/>
    <x v="0"/>
    <s v="Patton Conroy"/>
    <x v="410"/>
    <x v="4"/>
    <x v="5"/>
    <s v="false"/>
    <s v="25KC314"/>
    <s v="Repair-EA"/>
    <s v="OTC"/>
    <s v="Incomplete"/>
    <s v="2-Routine"/>
    <m/>
    <d v="2025-04-29T15:29:11"/>
    <d v="2025-08-08T04:00:00"/>
    <s v="PW4000"/>
    <s v="Alexander Page"/>
    <s v="75%"/>
  </r>
  <r>
    <s v="Cases &amp; Composites"/>
    <s v="CAS-250804-X1Q6W5"/>
    <x v="1"/>
    <s v="Andres Cedeno"/>
    <x v="411"/>
    <x v="2"/>
    <x v="8"/>
    <s v="false"/>
    <s v="25CCE98"/>
    <s v="Repair-EA"/>
    <s v="OTC"/>
    <s v="Complete"/>
    <s v="2-Routine"/>
    <n v="21"/>
    <d v="2025-04-29T17:25:41"/>
    <d v="2025-07-31T04:00:00"/>
    <s v="PW1000G"/>
    <s v="Francisco Astiasaran"/>
    <s v="75%"/>
  </r>
  <r>
    <s v="Cases &amp; Composites"/>
    <s v="CAS-251201-F1K1N3"/>
    <x v="5"/>
    <s v="Nathaniel Drisdelle"/>
    <x v="412"/>
    <x v="3"/>
    <x v="12"/>
    <s v="true"/>
    <s v="25KC339"/>
    <s v="Repair-EA"/>
    <s v="OTC"/>
    <s v="Incomplete"/>
    <s v="2-Routine"/>
    <m/>
    <d v="2025-05-05T04:00:00"/>
    <d v="2025-08-29T04:00:00"/>
    <s v="PW4000"/>
    <s v="Ferdin Mustafa"/>
    <s v="75%"/>
  </r>
  <r>
    <s v="Cases &amp; Composites"/>
    <s v="CAS-251215-T4H8K6"/>
    <x v="2"/>
    <s v="Peter Morell"/>
    <x v="413"/>
    <x v="1"/>
    <x v="17"/>
    <s v="false"/>
    <s v="25AC083"/>
    <s v="Repair-EA"/>
    <s v="OTC"/>
    <s v="Complete"/>
    <s v="2-Routine"/>
    <n v="11"/>
    <d v="2025-05-05T12:41:52"/>
    <d v="2025-07-11T04:00:00"/>
    <s v="GP7000"/>
    <s v="Francisco Astiasaran"/>
    <s v="75%"/>
  </r>
  <r>
    <s v="Cases &amp; Composites"/>
    <s v="CAS-251215-T4H8K6"/>
    <x v="2"/>
    <s v="Peter Morell"/>
    <x v="414"/>
    <x v="2"/>
    <x v="2"/>
    <s v="false"/>
    <s v="25AC083"/>
    <s v="Repair-EA"/>
    <s v="OTC"/>
    <s v="Complete"/>
    <s v="2-Routine"/>
    <n v="11"/>
    <d v="2025-05-05T12:41:52"/>
    <d v="2025-07-11T04:00:00"/>
    <s v="GP7000"/>
    <s v="Francisco Astiasaran"/>
    <s v="75%"/>
  </r>
  <r>
    <s v="Cases &amp; Composites"/>
    <s v="CAS-251215-T4H8K6"/>
    <x v="2"/>
    <s v="Peter Morell"/>
    <x v="415"/>
    <x v="2"/>
    <x v="11"/>
    <s v="false"/>
    <s v="25AC083"/>
    <s v="Repair-EA"/>
    <s v="OTC"/>
    <s v="Complete"/>
    <s v="2-Routine"/>
    <n v="11"/>
    <d v="2025-05-05T12:41:52"/>
    <d v="2025-07-11T04:00:00"/>
    <s v="GP7000"/>
    <s v="Francisco Astiasaran"/>
    <s v="75%"/>
  </r>
  <r>
    <s v="Cases &amp; Composites"/>
    <s v="CAS-251215-T4H8K6"/>
    <x v="2"/>
    <s v="Peter Morell"/>
    <x v="416"/>
    <x v="1"/>
    <x v="30"/>
    <s v="false"/>
    <s v="25AC083"/>
    <s v="Repair-EA"/>
    <s v="OTC"/>
    <s v="Complete"/>
    <s v="2-Routine"/>
    <n v="11"/>
    <d v="2025-05-05T12:41:52"/>
    <d v="2025-07-11T04:00:00"/>
    <s v="GP7000"/>
    <s v="Francisco Astiasaran"/>
    <s v="75%"/>
  </r>
  <r>
    <s v="Cases &amp; Composites"/>
    <s v="CAS-251242-F2D7B3"/>
    <x v="0"/>
    <s v="Sean Squire"/>
    <x v="417"/>
    <x v="0"/>
    <x v="6"/>
    <s v="true"/>
    <s v="24AC058A"/>
    <s v="Repair-EA"/>
    <s v="OTC"/>
    <s v="Incomplete"/>
    <s v="2-Routine"/>
    <m/>
    <d v="2025-05-05T16:07:52"/>
    <d v="2025-10-23T04:00:00"/>
    <s v="GP7000"/>
    <s v="Jia Chen"/>
    <s v="50%"/>
  </r>
  <r>
    <s v="Cases &amp; Composites"/>
    <s v="CAS-251247-C4C7M2"/>
    <x v="0"/>
    <s v="Patton Conroy"/>
    <x v="418"/>
    <x v="4"/>
    <x v="26"/>
    <s v="false"/>
    <s v="25KC402"/>
    <s v="Repair-EA"/>
    <s v="OTC"/>
    <s v="Incomplete"/>
    <s v="2-Routine"/>
    <m/>
    <d v="2025-05-05T18:11:04"/>
    <d v="2025-10-21T04:00:00"/>
    <s v="PW4000"/>
    <s v="Jia Chen"/>
    <s v="75%"/>
  </r>
  <r>
    <s v="Cases &amp; Composites"/>
    <s v="CAS-251247-C4C7M2"/>
    <x v="0"/>
    <s v="Patton Conroy"/>
    <x v="419"/>
    <x v="4"/>
    <x v="4"/>
    <s v="true"/>
    <s v="25KC402"/>
    <s v="Repair-EA"/>
    <s v="OTC"/>
    <s v="Incomplete"/>
    <s v="2-Routine"/>
    <m/>
    <d v="2025-05-05T18:11:04"/>
    <d v="2025-10-21T04:00:00"/>
    <s v="PW4000"/>
    <s v="Jia Chen"/>
    <s v="75%"/>
  </r>
  <r>
    <s v="Cases &amp; Composites"/>
    <s v="CAS-251254-P0R0B1"/>
    <x v="0"/>
    <s v="Patton Conroy"/>
    <x v="420"/>
    <x v="3"/>
    <x v="12"/>
    <s v="false"/>
    <s v="25CCC18"/>
    <s v="Repair-EA"/>
    <s v="OTC"/>
    <s v="Incomplete"/>
    <s v="2-Routine"/>
    <n v="27"/>
    <d v="2025-05-05T20:16:19"/>
    <d v="2025-10-31T04:00:00"/>
    <s v="PW1000G"/>
    <s v="Alexander Page"/>
    <s v="75%"/>
  </r>
  <r>
    <s v="Cases &amp; Composites"/>
    <s v="CAS-251591-J9H8J4"/>
    <x v="2"/>
    <s v="Peter Morell"/>
    <x v="421"/>
    <x v="1"/>
    <x v="1"/>
    <s v="true"/>
    <s v="20CCK95D"/>
    <s v="Repair-EA"/>
    <s v="EM"/>
    <s v="Complete"/>
    <s v="2-Routine"/>
    <n v="16"/>
    <d v="2025-05-08T09:57:03"/>
    <d v="2025-06-20T04:00:00"/>
    <s v="PW1000G"/>
    <s v="Francisco Astiasaran"/>
    <s v="75%"/>
  </r>
  <r>
    <s v="Cases &amp; Composites"/>
    <s v="CAS-251591-J9H8J4"/>
    <x v="2"/>
    <s v="Peter Morell"/>
    <x v="422"/>
    <x v="0"/>
    <x v="15"/>
    <s v="true"/>
    <s v="20CCK95D"/>
    <s v="Repair-EA"/>
    <s v="EM"/>
    <s v="Complete"/>
    <s v="2-Routine"/>
    <n v="16"/>
    <d v="2025-05-08T09:57:03"/>
    <d v="2025-06-20T04:00:00"/>
    <s v="PW1000G"/>
    <s v="Francisco Astiasaran"/>
    <s v="75%"/>
  </r>
  <r>
    <s v="Cases &amp; Composites"/>
    <s v="CAS-251591-J9H8J4"/>
    <x v="2"/>
    <s v="Peter Morell"/>
    <x v="423"/>
    <x v="2"/>
    <x v="11"/>
    <s v="false"/>
    <s v="20CCK95D"/>
    <s v="Repair-EA"/>
    <s v="EM"/>
    <s v="Complete"/>
    <s v="2-Routine"/>
    <n v="16"/>
    <d v="2025-05-08T09:57:03"/>
    <d v="2025-06-20T04:00:00"/>
    <s v="PW1000G"/>
    <s v="Francisco Astiasaran"/>
    <s v="75%"/>
  </r>
  <r>
    <s v="Cases &amp; Composites"/>
    <s v="CAS-251591-J9H8J4"/>
    <x v="2"/>
    <s v="Peter Morell"/>
    <x v="424"/>
    <x v="2"/>
    <x v="2"/>
    <s v="false"/>
    <s v="20CCK95D"/>
    <s v="Repair-EA"/>
    <s v="EM"/>
    <s v="Complete"/>
    <s v="2-Routine"/>
    <n v="16"/>
    <d v="2025-05-08T09:57:03"/>
    <d v="2025-06-20T04:00:00"/>
    <s v="PW1000G"/>
    <s v="Francisco Astiasaran"/>
    <s v="75%"/>
  </r>
  <r>
    <s v="Cases &amp; Composites"/>
    <s v="CAS-251591-J9H8J4"/>
    <x v="2"/>
    <s v="Peter Morell"/>
    <x v="425"/>
    <x v="0"/>
    <x v="29"/>
    <s v="false"/>
    <s v="20CCK95D"/>
    <s v="Repair-EA"/>
    <s v="EM"/>
    <s v="Complete"/>
    <s v="2-Routine"/>
    <n v="16"/>
    <d v="2025-05-08T09:57:03"/>
    <d v="2025-06-20T04:00:00"/>
    <s v="PW1000G"/>
    <s v="Francisco Astiasaran"/>
    <s v="75%"/>
  </r>
  <r>
    <s v="Cases &amp; Composites"/>
    <s v="CAS-251591-J9H8J4"/>
    <x v="1"/>
    <s v="Adam Lozon"/>
    <x v="426"/>
    <x v="1"/>
    <x v="14"/>
    <s v="false"/>
    <s v="20CCK95D"/>
    <s v="Repair-EA"/>
    <s v="EM"/>
    <s v="Complete"/>
    <s v="2-Routine"/>
    <n v="16"/>
    <d v="2025-05-08T09:57:03"/>
    <d v="2025-06-20T04:00:00"/>
    <s v="PW1000G"/>
    <s v="Francisco Astiasaran"/>
    <s v="75%"/>
  </r>
  <r>
    <s v="Cases &amp; Composites"/>
    <s v="CAS-251591-J9H8J4"/>
    <x v="1"/>
    <s v="Adam Lozon"/>
    <x v="427"/>
    <x v="2"/>
    <x v="2"/>
    <s v="false"/>
    <s v="20CCK95D"/>
    <s v="Repair-EA"/>
    <s v="EM"/>
    <s v="Complete"/>
    <s v="2-Routine"/>
    <n v="16"/>
    <d v="2025-05-08T09:57:03"/>
    <d v="2025-06-20T04:00:00"/>
    <s v="PW1000G"/>
    <s v="Francisco Astiasaran"/>
    <s v="75%"/>
  </r>
  <r>
    <s v="Cases &amp; Composites"/>
    <s v="CAS-251591-J9H8J4"/>
    <x v="1"/>
    <s v="Adam Lozon"/>
    <x v="428"/>
    <x v="2"/>
    <x v="8"/>
    <s v="false"/>
    <s v="20CCK95D"/>
    <s v="Repair-EA"/>
    <s v="EM"/>
    <s v="Complete"/>
    <s v="2-Routine"/>
    <n v="16"/>
    <d v="2025-05-08T09:57:03"/>
    <d v="2025-06-20T04:00:00"/>
    <s v="PW1000G"/>
    <s v="Francisco Astiasaran"/>
    <s v="75%"/>
  </r>
  <r>
    <s v="Cases &amp; Composites"/>
    <s v="CAS-251780-Y6W7X5"/>
    <x v="0"/>
    <s v="Patton Conroy"/>
    <x v="429"/>
    <x v="4"/>
    <x v="26"/>
    <s v="false"/>
    <s v="25KC345"/>
    <s v="Repair-EA"/>
    <s v="OTC"/>
    <s v="Incomplete"/>
    <s v="2-Routine"/>
    <m/>
    <d v="2025-05-09T15:50:01"/>
    <d v="2025-09-05T04:00:00"/>
    <s v="PW4000"/>
    <s v="Alexander Page"/>
    <s v="75%"/>
  </r>
  <r>
    <s v="Cases &amp; Composites"/>
    <s v="CAS-251780-Y6W7X5"/>
    <x v="0"/>
    <s v="Patton Conroy"/>
    <x v="430"/>
    <x v="4"/>
    <x v="26"/>
    <s v="false"/>
    <s v="25KC345"/>
    <s v="Repair-EA"/>
    <s v="OTC"/>
    <s v="Incomplete"/>
    <s v="2-Routine"/>
    <m/>
    <d v="2025-05-09T15:50:01"/>
    <d v="2025-09-05T04:00:00"/>
    <s v="PW4000"/>
    <s v="Alexander Page"/>
    <s v="75%"/>
  </r>
  <r>
    <s v="Cases &amp; Composites"/>
    <s v="CAS-251791-X2S4G6"/>
    <x v="1"/>
    <s v="Adam Lozon"/>
    <x v="431"/>
    <x v="0"/>
    <x v="0"/>
    <s v="false"/>
    <s v="25KC332"/>
    <s v="Repair-EA"/>
    <s v="OTC"/>
    <s v="Complete"/>
    <s v="2-Routine"/>
    <n v="6"/>
    <d v="2025-05-09T21:34:44"/>
    <d v="2025-06-18T04:00:00"/>
    <s v="PW4000"/>
    <s v="Francisco Astiasaran"/>
    <s v="75%"/>
  </r>
  <r>
    <s v="Cases &amp; Composites"/>
    <s v="CAS-251991-Y3G0Z4"/>
    <x v="0"/>
    <s v="Patton Conroy"/>
    <x v="432"/>
    <x v="4"/>
    <x v="26"/>
    <s v="false"/>
    <s v="25VC237"/>
    <s v="Repair-EA"/>
    <s v="OTC"/>
    <s v="Incomplete"/>
    <s v="2-Routine"/>
    <m/>
    <d v="2025-05-13T17:47:24"/>
    <d v="2025-10-10T04:00:00"/>
    <s v="V2500"/>
    <s v="Nathan Winger"/>
    <s v="75%"/>
  </r>
  <r>
    <s v="Cases &amp; Composites"/>
    <s v="CAS-252101-Z0P3T2"/>
    <x v="5"/>
    <s v="Jesse Os"/>
    <x v="433"/>
    <x v="0"/>
    <x v="7"/>
    <s v="true"/>
    <s v="22KC329F"/>
    <s v="Repair-EA"/>
    <s v="EM"/>
    <s v="Incomplete"/>
    <s v="2-Routine"/>
    <m/>
    <d v="2025-05-13T14:14:06"/>
    <d v="2025-09-12T04:00:00"/>
    <s v="PW4000"/>
    <s v="Francisco Astiasaran"/>
    <s v="50%"/>
  </r>
  <r>
    <s v="Cases &amp; Composites"/>
    <s v="CAS-252305-J6N0W5"/>
    <x v="0"/>
    <s v="Patton Conroy"/>
    <x v="434"/>
    <x v="4"/>
    <x v="5"/>
    <s v="true"/>
    <s v="17KC562A"/>
    <s v="Repair-EA"/>
    <s v="Discretionary"/>
    <s v="Incomplete"/>
    <s v="2-Routine"/>
    <n v="10"/>
    <d v="2025-05-14T20:11:35"/>
    <d v="2025-09-17T04:00:00"/>
    <s v="PW4000"/>
    <s v="Jia Chen"/>
    <s v="75%"/>
  </r>
  <r>
    <s v="Cases &amp; Composites"/>
    <s v="CAS-252305-J6N0W5"/>
    <x v="0"/>
    <s v="Patton Conroy"/>
    <x v="435"/>
    <x v="4"/>
    <x v="26"/>
    <s v="true"/>
    <s v="17KC562A"/>
    <s v="Repair-EA"/>
    <s v="Discretionary"/>
    <s v="Incomplete"/>
    <s v="2-Routine"/>
    <n v="10"/>
    <d v="2025-05-14T20:11:35"/>
    <d v="2025-09-17T04:00:00"/>
    <s v="PW4000"/>
    <s v="Jia Chen"/>
    <s v="75%"/>
  </r>
  <r>
    <s v="Cases &amp; Composites"/>
    <s v="CAS-252777-L9T8J9"/>
    <x v="0"/>
    <s v="Patton Conroy"/>
    <x v="436"/>
    <x v="4"/>
    <x v="26"/>
    <s v="false"/>
    <s v="25KC395"/>
    <s v="Repair-EA"/>
    <s v="OTC"/>
    <s v="Incomplete"/>
    <s v="2-Routine"/>
    <m/>
    <d v="2025-05-21T16:00:31"/>
    <d v="2025-09-10T04:00:00"/>
    <s v="PW4000"/>
    <s v="Jia Chen"/>
    <s v="75%"/>
  </r>
  <r>
    <s v="Cases &amp; Composites"/>
    <s v="CAS-253193-W3N7Z5"/>
    <x v="1"/>
    <s v="Michael Karnas"/>
    <x v="437"/>
    <x v="0"/>
    <x v="29"/>
    <s v="true"/>
    <s v="25CCC88"/>
    <s v="Repair-EA"/>
    <s v="OTC"/>
    <s v="Complete"/>
    <s v="2-Routine"/>
    <n v="38"/>
    <d v="2025-05-22T13:45:47"/>
    <d v="2025-07-16T04:00:00"/>
    <s v="PW1000G"/>
    <s v="Francisco Astiasaran"/>
    <s v="75%"/>
  </r>
  <r>
    <s v="Cases &amp; Composites"/>
    <s v="CAS-253636-H0Y7P2"/>
    <x v="5"/>
    <s v="Jeremy Thayer"/>
    <x v="438"/>
    <x v="4"/>
    <x v="26"/>
    <s v="false"/>
    <s v="25KC424"/>
    <s v="Repair-EA"/>
    <s v="OTC"/>
    <s v="Incomplete"/>
    <s v="2-Routine"/>
    <m/>
    <d v="2025-05-27T10:59:22"/>
    <d v="2025-10-10T04:00:00"/>
    <s v="PW4000"/>
    <s v="Ferdin Mustafa"/>
    <s v="75%"/>
  </r>
  <r>
    <s v="Cases &amp; Composites"/>
    <s v="CAS-253850-X8Z7H2"/>
    <x v="5"/>
    <s v="Daniel Yebo"/>
    <x v="439"/>
    <x v="3"/>
    <x v="12"/>
    <s v="true"/>
    <s v="25CCE88"/>
    <s v="Repair-EA"/>
    <s v="OTC"/>
    <s v="Complete"/>
    <s v="2-Routine"/>
    <n v="23"/>
    <d v="2025-05-29T16:32:55"/>
    <d v="2025-07-30T04:00:00"/>
    <s v="PW1000G"/>
    <s v="Francisco Astiasaran"/>
    <s v="50%"/>
  </r>
  <r>
    <s v="Cases &amp; Composites"/>
    <s v="CAS-254406-W7B7Y5"/>
    <x v="0"/>
    <s v="Jason Siefker"/>
    <x v="440"/>
    <x v="1"/>
    <x v="18"/>
    <s v="true"/>
    <s v="25KC393"/>
    <s v="Repair-EA"/>
    <s v="OTC"/>
    <s v="Incomplete"/>
    <s v="2-Routine"/>
    <m/>
    <d v="2025-06-03T17:07:05"/>
    <d v="2025-08-28T04:00:00"/>
    <s v="PW4000"/>
    <s v="Jia Chen"/>
    <s v="75%"/>
  </r>
  <r>
    <s v="Cases &amp; Composites"/>
    <s v="CAS-254406-W7B7Y5"/>
    <x v="0"/>
    <s v="Jason Siefker"/>
    <x v="441"/>
    <x v="4"/>
    <x v="26"/>
    <s v="false"/>
    <s v="25KC393"/>
    <s v="Repair-EA"/>
    <s v="OTC"/>
    <s v="Incomplete"/>
    <s v="2-Routine"/>
    <m/>
    <d v="2025-06-03T17:07:05"/>
    <d v="2025-08-28T04:00:00"/>
    <s v="PW4000"/>
    <s v="Jia Chen"/>
    <s v="75%"/>
  </r>
  <r>
    <s v="Cases &amp; Composites"/>
    <s v="CAS-254829-H0M8J4"/>
    <x v="0"/>
    <s v="Jason Siefker"/>
    <x v="442"/>
    <x v="1"/>
    <x v="18"/>
    <s v="false"/>
    <s v="25VC223"/>
    <s v="Repair-EA"/>
    <s v="OTC"/>
    <s v="Incomplete"/>
    <s v="2-Routine"/>
    <n v="44"/>
    <d v="2025-06-06T14:03:30"/>
    <d v="2025-08-29T04:00:00"/>
    <s v="V2500"/>
    <s v="Nathan Winger"/>
    <s v="75%"/>
  </r>
  <r>
    <s v="Cases &amp; Composites"/>
    <s v="CAS-254990-D8P8T1"/>
    <x v="0"/>
    <s v="Jason Siefker"/>
    <x v="443"/>
    <x v="0"/>
    <x v="15"/>
    <s v="false"/>
    <s v="25KC423"/>
    <s v="Repair-EA"/>
    <s v="OTC"/>
    <s v="Incomplete"/>
    <s v="2-Routine"/>
    <m/>
    <d v="2025-06-09T15:21:18"/>
    <d v="2025-11-03T05:00:00"/>
    <s v="PW4000"/>
    <s v="Jia Chen"/>
    <s v="75%"/>
  </r>
  <r>
    <s v="Cases &amp; Composites"/>
    <s v="CAS-255017-D0N7W7"/>
    <x v="0"/>
    <s v="Patton Conroy"/>
    <x v="444"/>
    <x v="4"/>
    <x v="26"/>
    <s v="false"/>
    <s v="25KC418"/>
    <s v="Repair-EA"/>
    <s v="OTC"/>
    <s v="Incomplete"/>
    <s v="2-Routine"/>
    <m/>
    <d v="2025-06-09T20:17:20"/>
    <d v="2025-09-16T04:00:00"/>
    <s v="PW4000"/>
    <s v="Jia Chen"/>
    <s v="75%"/>
  </r>
  <r>
    <s v="Cases &amp; Composites"/>
    <s v="CAS-255017-D0N7W7"/>
    <x v="0"/>
    <s v="Patton Conroy"/>
    <x v="445"/>
    <x v="4"/>
    <x v="26"/>
    <s v="true"/>
    <s v="25KC418"/>
    <s v="Repair-EA"/>
    <s v="OTC"/>
    <s v="Incomplete"/>
    <s v="2-Routine"/>
    <m/>
    <d v="2025-06-09T20:17:20"/>
    <d v="2025-09-16T04:00:00"/>
    <s v="PW4000"/>
    <s v="Jia Chen"/>
    <s v="75%"/>
  </r>
  <r>
    <s v="Cases &amp; Composites"/>
    <s v="CAS-255564-G5X7B8"/>
    <x v="1"/>
    <s v="Michael Karnas"/>
    <x v="446"/>
    <x v="2"/>
    <x v="8"/>
    <s v="false"/>
    <s v="25CCE20"/>
    <s v="Repair-EA"/>
    <s v="OTC"/>
    <s v="Complete"/>
    <s v="2-Routine"/>
    <n v="37"/>
    <d v="2025-06-13T17:35:31"/>
    <d v="2025-07-04T04:00:00"/>
    <s v="PW1000G"/>
    <s v="Francisco Astiasaran"/>
    <s v="75%"/>
  </r>
  <r>
    <s v="Cases &amp; Composites"/>
    <s v="CAS-256045-H6Y7T0"/>
    <x v="0"/>
    <s v="Jason Siefker"/>
    <x v="447"/>
    <x v="0"/>
    <x v="15"/>
    <s v="false"/>
    <s v="25KC398"/>
    <s v="Repair-EA"/>
    <s v="OTC"/>
    <s v="Incomplete"/>
    <s v="2-Routine"/>
    <m/>
    <d v="2025-06-18T13:42:32"/>
    <d v="2025-09-11T04:00:00"/>
    <s v="PW4000"/>
    <s v="Jia Chen"/>
    <s v="75%"/>
  </r>
  <r>
    <s v="Cases &amp; Composites"/>
    <s v="CAS-256188-B9S2B4"/>
    <x v="1"/>
    <s v="Adam Lozon"/>
    <x v="448"/>
    <x v="3"/>
    <x v="3"/>
    <s v="false"/>
    <s v="25AC098"/>
    <s v="Repair-EA"/>
    <s v="OTC"/>
    <s v="Complete"/>
    <s v="2-Routine"/>
    <n v="5"/>
    <d v="2025-06-19T13:47:04"/>
    <d v="2025-06-19T04:00:00"/>
    <s v="GP7000"/>
    <s v="Joshua Desjardins"/>
    <s v="75%"/>
  </r>
  <r>
    <s v="Cases &amp; Composites"/>
    <s v="CAS-256188-B9S2B4"/>
    <x v="1"/>
    <s v="Adam Lozon"/>
    <x v="449"/>
    <x v="1"/>
    <x v="14"/>
    <s v="false"/>
    <s v="25AC098"/>
    <s v="Repair-EA"/>
    <s v="OTC"/>
    <s v="Complete"/>
    <s v="2-Routine"/>
    <n v="5"/>
    <d v="2025-06-19T13:47:04"/>
    <d v="2025-06-19T04:00:00"/>
    <s v="GP7000"/>
    <s v="Joshua Desjardins"/>
    <s v="75%"/>
  </r>
  <r>
    <s v="Cases &amp; Composites"/>
    <s v="CAS-256190-V3N6Y5"/>
    <x v="1"/>
    <s v="Adam Lozon"/>
    <x v="450"/>
    <x v="0"/>
    <x v="15"/>
    <s v="false"/>
    <s v="25AC102"/>
    <s v="Repair-EA"/>
    <s v="OTC"/>
    <s v="Complete"/>
    <s v="1-Urgent"/>
    <m/>
    <d v="2025-06-19T13:56:31"/>
    <d v="2025-06-27T04:00:00"/>
    <s v="GP7000"/>
    <s v="Ferdin Mustafa"/>
    <s v="75%"/>
  </r>
  <r>
    <s v="Cases &amp; Composites"/>
    <s v="CAS-257300-L1Z8X4"/>
    <x v="1"/>
    <s v="Michael Karnas"/>
    <x v="451"/>
    <x v="2"/>
    <x v="8"/>
    <s v="true"/>
    <s v="25CCF37"/>
    <s v="Repair-EA"/>
    <s v="OTC"/>
    <s v="Complete"/>
    <s v="2-Routine"/>
    <n v="30"/>
    <d v="2025-06-30T16:23:00"/>
    <d v="2025-07-09T04:00:00"/>
    <s v="PW1000G"/>
    <s v="Francisco Astiasaran"/>
    <s v="75%"/>
  </r>
  <r>
    <s v="Cases &amp; Composites"/>
    <s v="CAS-258608-V3J5M5"/>
    <x v="4"/>
    <s v="Daniel Yebo"/>
    <x v="452"/>
    <x v="4"/>
    <x v="26"/>
    <s v="true"/>
    <s v="25CCI16"/>
    <s v="Repair-EA"/>
    <s v="OTC"/>
    <s v="Incomplete"/>
    <s v="2-Routine"/>
    <m/>
    <d v="2025-07-11T19:39:48"/>
    <d v="2025-09-30T04:00:00"/>
    <s v="PW1000G"/>
    <s v="Francisco Astiasaran"/>
    <s v="50%"/>
  </r>
  <r>
    <s v="Cases &amp; Composites"/>
    <s v="CAS-258608-V3J5M5"/>
    <x v="5"/>
    <s v="Daniel Yebo"/>
    <x v="453"/>
    <x v="4"/>
    <x v="26"/>
    <s v="true"/>
    <s v="25CCI16"/>
    <s v="Repair-EA"/>
    <s v="OTC"/>
    <s v="Incomplete"/>
    <s v="2-Routine"/>
    <m/>
    <d v="2025-07-11T19:39:48"/>
    <d v="2025-09-30T04:00:00"/>
    <s v="PW1000G"/>
    <s v="Francisco Astiasaran"/>
    <s v="50%"/>
  </r>
  <r>
    <s v="Cases &amp; Composites"/>
    <s v="CAS-258781-G7J9D6"/>
    <x v="1"/>
    <s v="Michael Karnas"/>
    <x v="454"/>
    <x v="1"/>
    <x v="20"/>
    <s v="false"/>
    <s v="25CCG46"/>
    <s v="Limit-EA"/>
    <s v="OTC"/>
    <s v="Complete"/>
    <s v="2-Routine"/>
    <m/>
    <d v="2025-07-14T13:34:02"/>
    <d v="2025-08-01T04:00:00"/>
    <s v="PW1000G"/>
    <s v="Francisco Astiasaran"/>
    <s v="75%"/>
  </r>
  <r>
    <s v="Cases &amp; Composites"/>
    <s v="MSG-231205-EC1B49"/>
    <x v="5"/>
    <s v="Nathaniel Drisdelle"/>
    <x v="455"/>
    <x v="3"/>
    <x v="12"/>
    <s v="true"/>
    <m/>
    <s v="Dialogue"/>
    <s v="Repair Impact Worksheet"/>
    <s v="Complete"/>
    <s v="Hold"/>
    <m/>
    <d v="2023-12-05T05:00:00"/>
    <m/>
    <s v="PW4000"/>
    <s v="Ferdin Mustafa"/>
    <m/>
  </r>
  <r>
    <s v="Cases &amp; Composites"/>
    <s v="MSG-240111-343FFA"/>
    <x v="2"/>
    <s v="Jorge L Pardo"/>
    <x v="456"/>
    <x v="3"/>
    <x v="3"/>
    <s v="false"/>
    <s v="21CCM16C"/>
    <s v="Repair-EA"/>
    <s v="MR"/>
    <s v="Complete"/>
    <s v="2-Routine"/>
    <n v="4"/>
    <d v="2024-01-11T05:00:00"/>
    <d v="2025-02-14T05:00:00"/>
    <s v="PW1000G"/>
    <s v="Bruce Zoyaar"/>
    <m/>
  </r>
  <r>
    <s v="Cases &amp; Composites"/>
    <s v="MSG-240111-343FFA"/>
    <x v="2"/>
    <s v="Jorge L Pardo"/>
    <x v="457"/>
    <x v="3"/>
    <x v="3"/>
    <s v="false"/>
    <s v="21CCM16C"/>
    <s v="Repair-EA"/>
    <s v="MR"/>
    <s v="Complete"/>
    <s v="2-Routine"/>
    <n v="4"/>
    <d v="2024-01-11T05:00:00"/>
    <d v="2025-02-14T05:00:00"/>
    <s v="PW1000G"/>
    <s v="Bruce Zoyaar"/>
    <m/>
  </r>
  <r>
    <s v="Cases &amp; Composites"/>
    <s v="MSG-240126-167421"/>
    <x v="1"/>
    <s v="Paul A DeCrescente"/>
    <x v="458"/>
    <x v="3"/>
    <x v="3"/>
    <s v="true"/>
    <s v="24CCS07"/>
    <s v="Repair-EA"/>
    <s v="MR"/>
    <s v="Complete"/>
    <s v="2-Routine"/>
    <n v="1"/>
    <d v="2024-01-26T05:00:00"/>
    <d v="2025-01-17T05:00:00"/>
    <s v="PW1000G"/>
    <s v="Ferdin Mustafa"/>
    <m/>
  </r>
  <r>
    <s v="Cases &amp; Composites"/>
    <s v="MSG-240126-C508DD"/>
    <x v="2"/>
    <s v="Jorge L Pardo"/>
    <x v="459"/>
    <x v="3"/>
    <x v="3"/>
    <s v="false"/>
    <s v="19CCD54A"/>
    <s v="Repair-EA"/>
    <s v="MR"/>
    <s v="Complete"/>
    <s v="2-Routine"/>
    <n v="1"/>
    <d v="2024-01-26T05:00:00"/>
    <d v="2025-01-14T05:00:00"/>
    <s v="PW1000G"/>
    <s v="Bruce Zoyaar"/>
    <s v="75%"/>
  </r>
  <r>
    <s v="Cases &amp; Composites"/>
    <s v="MSG-240126-C508DD"/>
    <x v="2"/>
    <s v="Jorge L Pardo"/>
    <x v="460"/>
    <x v="3"/>
    <x v="3"/>
    <s v="false"/>
    <s v="19CCD54A"/>
    <s v="Repair-EA"/>
    <s v="MR"/>
    <s v="Complete"/>
    <s v="2-Routine"/>
    <n v="1"/>
    <d v="2024-01-26T05:00:00"/>
    <d v="2025-01-14T05:00:00"/>
    <s v="PW1000G"/>
    <s v="Bruce Zoyaar"/>
    <s v="75%"/>
  </r>
  <r>
    <s v="Cases &amp; Composites"/>
    <s v="MSG-240126-C508DD"/>
    <x v="1"/>
    <s v="Paul A DeCrescente"/>
    <x v="461"/>
    <x v="1"/>
    <x v="21"/>
    <s v="false"/>
    <s v="19CCD54A"/>
    <s v="Repair-EA"/>
    <s v="MR"/>
    <s v="Complete"/>
    <s v="2-Routine"/>
    <n v="1"/>
    <d v="2024-01-26T05:00:00"/>
    <d v="2025-01-14T05:00:00"/>
    <s v="PW1000G"/>
    <s v="Bruce Zoyaar"/>
    <s v="75%"/>
  </r>
  <r>
    <s v="Cases &amp; Composites"/>
    <s v="MSG-240126-DEECB9"/>
    <x v="1"/>
    <s v="Paul A DeCrescente"/>
    <x v="462"/>
    <x v="0"/>
    <x v="6"/>
    <s v="true"/>
    <s v="22CCD52C"/>
    <s v="Repair-EA"/>
    <s v="MR"/>
    <s v="Complete"/>
    <s v="2-Routine"/>
    <n v="1"/>
    <d v="2024-01-26T05:00:00"/>
    <d v="2025-01-28T05:00:00"/>
    <s v="PW1000G"/>
    <s v="Bruce Zoyaar"/>
    <m/>
  </r>
  <r>
    <s v="Cases &amp; Composites"/>
    <s v="MSG-241119-306769"/>
    <x v="1"/>
    <s v="Thomas A Vetere"/>
    <x v="463"/>
    <x v="3"/>
    <x v="12"/>
    <s v="false"/>
    <s v="16CCD27A"/>
    <s v="Repair-EA"/>
    <s v="EM"/>
    <s v="Complete"/>
    <s v="2-Routine"/>
    <n v="1"/>
    <d v="2024-11-19T05:00:00"/>
    <d v="2025-01-21T05:00:00"/>
    <s v="PW1000G"/>
    <s v="Ferdin Mustafa"/>
    <m/>
  </r>
  <r>
    <s v="Cases &amp; Composites"/>
    <s v="MSG-241119-306769"/>
    <x v="1"/>
    <s v="Thomas A Vetere"/>
    <x v="464"/>
    <x v="2"/>
    <x v="2"/>
    <s v="false"/>
    <s v="16CCD27A"/>
    <s v="Repair-EA"/>
    <s v="EM"/>
    <s v="Complete"/>
    <s v="2-Routine"/>
    <n v="1"/>
    <d v="2024-11-19T05:00:00"/>
    <d v="2025-01-21T05:00:00"/>
    <s v="PW1000G"/>
    <s v="Ferdin Mustafa"/>
    <m/>
  </r>
  <r>
    <s v="Cases &amp; Composites"/>
    <s v="MSG-241119-306769"/>
    <x v="1"/>
    <s v="Thomas A Vetere"/>
    <x v="465"/>
    <x v="2"/>
    <x v="2"/>
    <s v="false"/>
    <s v="16CCD27A"/>
    <s v="Repair-EA"/>
    <s v="EM"/>
    <s v="Complete"/>
    <s v="2-Routine"/>
    <n v="1"/>
    <d v="2024-11-19T05:00:00"/>
    <d v="2025-01-21T05:00:00"/>
    <s v="PW1000G"/>
    <s v="Ferdin Mustafa"/>
    <m/>
  </r>
  <r>
    <s v="Cases &amp; Composites"/>
    <s v="MSG-241119-306769"/>
    <x v="1"/>
    <s v="Thomas A Vetere"/>
    <x v="466"/>
    <x v="2"/>
    <x v="8"/>
    <s v="false"/>
    <s v="16CCD27A"/>
    <s v="Repair-EA"/>
    <s v="EM"/>
    <s v="Complete"/>
    <s v="2-Routine"/>
    <n v="1"/>
    <d v="2024-11-19T05:00:00"/>
    <d v="2025-01-21T05:00:00"/>
    <s v="PW1000G"/>
    <s v="Ferdin Mustafa"/>
    <m/>
  </r>
  <r>
    <s v="Cases &amp; Composites"/>
    <s v="MSG-241119-306769"/>
    <x v="1"/>
    <s v="Thomas A Vetere"/>
    <x v="467"/>
    <x v="2"/>
    <x v="2"/>
    <s v="false"/>
    <s v="16CCD27A"/>
    <s v="Repair-EA"/>
    <s v="EM"/>
    <s v="Complete"/>
    <s v="2-Routine"/>
    <n v="1"/>
    <d v="2024-11-19T05:00:00"/>
    <d v="2025-01-21T05:00:00"/>
    <s v="PW1000G"/>
    <s v="Ferdin Mustafa"/>
    <m/>
  </r>
  <r>
    <s v="Cases &amp; Composites"/>
    <s v="MSG-241119-306769"/>
    <x v="1"/>
    <s v="Thomas A Vetere"/>
    <x v="468"/>
    <x v="0"/>
    <x v="16"/>
    <s v="false"/>
    <s v="16CCD27A"/>
    <s v="Repair-EA"/>
    <s v="EM"/>
    <s v="Complete"/>
    <s v="2-Routine"/>
    <n v="1"/>
    <d v="2024-11-19T05:00:00"/>
    <d v="2025-01-21T05:00:00"/>
    <s v="PW1000G"/>
    <s v="Ferdin Mustafa"/>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7">
  <r>
    <s v="Cases &amp; Composites"/>
    <s v="CAS-251130-N3Y4N8"/>
    <s v="Francisco Astiasaran"/>
    <s v="Incomplete"/>
    <s v="Active"/>
    <s v="2-Routine"/>
    <n v="30"/>
    <s v="25CCA93"/>
    <s v="Repair-EA"/>
    <s v="OTC"/>
    <s v="PW1000G"/>
    <s v="24K"/>
    <s v="75%"/>
    <d v="2025-05-02T19:02:05"/>
    <d v="2025-06-02T04:00:00"/>
    <d v="2025-06-02T04:00:00"/>
    <x v="0"/>
    <m/>
    <m/>
    <d v="2025-05-15T04:00:00"/>
    <d v="2025-05-15T04:00:00"/>
    <m/>
    <d v="2025-05-20T04:00:00"/>
    <n v="0"/>
    <s v=""/>
    <n v="0"/>
    <n v="90.373553240737238"/>
    <n v="90.373553240737238"/>
    <n v="0"/>
    <n v="0"/>
    <n v="0"/>
    <n v="0"/>
    <n v="0"/>
    <n v="0"/>
    <n v="0"/>
    <n v="0"/>
    <n v="0"/>
    <n v="90.373553240737238"/>
    <n v="90.373553240737238"/>
    <n v="60"/>
    <n v="0"/>
  </r>
  <r>
    <s v="Cases &amp; Composites"/>
    <s v="CAS-209741-Z2V4Q8"/>
    <s v="Robert Thompson"/>
    <s v="Complete"/>
    <s v="Resolved"/>
    <s v="1-Urgent"/>
    <n v="1"/>
    <s v="24CC741"/>
    <s v="Repair-EA"/>
    <s v="OTC"/>
    <s v="PW1000G"/>
    <s v="24K"/>
    <m/>
    <d v="2024-03-18T11:23:09"/>
    <d v="2024-03-22T04:00:00"/>
    <d v="2024-03-22T04:00:00"/>
    <x v="1"/>
    <d v="2024-03-19T19:40:57"/>
    <m/>
    <m/>
    <m/>
    <m/>
    <m/>
    <s v=""/>
    <s v=""/>
    <n v="0"/>
    <n v="0.69225694444321562"/>
    <n v="0.69225694444321562"/>
    <n v="0"/>
    <n v="0"/>
    <n v="0"/>
    <n v="0"/>
    <n v="0"/>
    <n v="0"/>
    <n v="0"/>
    <n v="0"/>
    <n v="0"/>
    <n v="0.69225694444321562"/>
    <n v="0.69225694444321562"/>
    <n v="-3"/>
    <n v="1"/>
  </r>
  <r>
    <s v="Cases &amp; Composites"/>
    <s v="CAS-210991-X5T1R4"/>
    <s v="Dean Catlett"/>
    <s v="Complete"/>
    <s v="Resolved"/>
    <s v="1-Urgent"/>
    <n v="1"/>
    <s v="24KC238"/>
    <s v="Repair-EA"/>
    <s v="OTC"/>
    <s v="PW4000"/>
    <s v="OCE"/>
    <m/>
    <d v="2024-04-01T05:05:28"/>
    <d v="2024-06-20T04:00:00"/>
    <d v="2024-05-06T04:00:00"/>
    <x v="2"/>
    <d v="2024-04-30T22:45:17"/>
    <m/>
    <m/>
    <m/>
    <m/>
    <m/>
    <s v=""/>
    <s v=""/>
    <n v="0"/>
    <n v="28.954537037032424"/>
    <n v="28.954537037032424"/>
    <n v="0"/>
    <n v="0"/>
    <n v="0"/>
    <n v="0"/>
    <n v="0"/>
    <n v="0"/>
    <n v="0"/>
    <n v="0"/>
    <n v="0"/>
    <n v="28.954537037032424"/>
    <n v="28.954537037032424"/>
    <n v="-51"/>
    <n v="1"/>
  </r>
  <r>
    <s v="Cases &amp; Composites"/>
    <n v="106667"/>
    <s v="Ferdin Mustafa"/>
    <s v="Complete"/>
    <s v="Closed"/>
    <s v="1-Urgent"/>
    <n v="1"/>
    <s v="24FC223"/>
    <s v="Repair-EA"/>
    <s v="OTC"/>
    <s v="PW2000"/>
    <s v="F117"/>
    <s v="75%"/>
    <d v="2024-06-24T04:00:00"/>
    <d v="2024-10-11T04:00:00"/>
    <d v="2024-10-11T04:00:00"/>
    <x v="3"/>
    <d v="2024-07-19T14:52:57"/>
    <m/>
    <d v="2024-07-10T04:00:00"/>
    <d v="2024-07-12T04:00:00"/>
    <d v="2024-07-12T04:00:00"/>
    <d v="2024-07-17T04:00:00"/>
    <n v="2"/>
    <n v="5"/>
    <n v="7"/>
    <n v="24"/>
    <n v="17"/>
    <n v="0"/>
    <n v="0"/>
    <n v="0"/>
    <n v="0"/>
    <n v="0"/>
    <n v="0"/>
    <n v="0"/>
    <n v="0"/>
    <n v="0"/>
    <n v="24"/>
    <n v="17"/>
    <n v="-85"/>
    <n v="1"/>
  </r>
  <r>
    <s v="Cases &amp; Composites"/>
    <n v="105554"/>
    <s v="Ferdin Mustafa"/>
    <s v="Complete"/>
    <s v="Closed"/>
    <s v="1-Urgent"/>
    <n v="1"/>
    <s v="24FC238"/>
    <s v="Repair-EA"/>
    <s v="OTC"/>
    <s v="PW2000"/>
    <s v="F117"/>
    <s v="75%"/>
    <d v="2024-04-25T04:00:00"/>
    <d v="2024-10-10T04:00:00"/>
    <d v="2024-10-10T04:00:00"/>
    <x v="4"/>
    <d v="2024-08-27T19:50:49"/>
    <s v="OPERATION'S NEED DATE: 8/2"/>
    <d v="2024-07-17T04:00:00"/>
    <d v="2024-07-23T04:00:00"/>
    <d v="2024-07-23T04:00:00"/>
    <d v="2024-08-22T04:00:00"/>
    <n v="6"/>
    <n v="30"/>
    <n v="36"/>
    <n v="124"/>
    <n v="88"/>
    <n v="0"/>
    <n v="0"/>
    <n v="0"/>
    <n v="0"/>
    <n v="3"/>
    <n v="0"/>
    <n v="0"/>
    <n v="0"/>
    <n v="3"/>
    <n v="121"/>
    <n v="85"/>
    <n v="-44"/>
    <n v="1"/>
  </r>
  <r>
    <s v="Cases &amp; Composites"/>
    <s v="CAS-219511-S5Y8N8"/>
    <s v="Robert Thompson"/>
    <s v="Complete"/>
    <s v="Resolved"/>
    <s v="1-Urgent"/>
    <n v="1"/>
    <s v="24KC295A"/>
    <s v="Repair-EA"/>
    <s v="OTC"/>
    <s v="PW4000"/>
    <s v="AMO"/>
    <s v="75%"/>
    <d v="2024-06-28T12:54:15"/>
    <d v="2024-08-02T04:00:00"/>
    <d v="2024-08-07T04:00:00"/>
    <x v="5"/>
    <d v="2024-08-06T00:30:41"/>
    <s v="August"/>
    <d v="2024-07-24T04:00:00"/>
    <d v="2024-07-24T04:00:00"/>
    <d v="2024-07-24T04:00:00"/>
    <d v="2024-07-26T04:00:00"/>
    <n v="0"/>
    <n v="2"/>
    <n v="2"/>
    <n v="37.628993055550382"/>
    <n v="35.628993055550382"/>
    <n v="0"/>
    <n v="0"/>
    <n v="0"/>
    <n v="0"/>
    <n v="0"/>
    <n v="0"/>
    <n v="0"/>
    <n v="0"/>
    <n v="0"/>
    <n v="37.628993055550382"/>
    <n v="35.628993055550382"/>
    <n v="3"/>
    <n v="0"/>
  </r>
  <r>
    <s v="Cases &amp; Composites"/>
    <s v="MSG-240814-317DA9"/>
    <s v="Saharat Gamalo"/>
    <s v="Complete"/>
    <s v="Complete"/>
    <s v="1-Urgent"/>
    <n v="1"/>
    <s v="24KC492"/>
    <s v="Repair-EA"/>
    <s v="OTC"/>
    <s v="PW4000"/>
    <m/>
    <s v="75%"/>
    <d v="2024-08-14T04:00:00"/>
    <d v="2024-08-30T04:00:00"/>
    <d v="2024-08-30T04:00:00"/>
    <x v="6"/>
    <d v="2024-08-27T15:50:59"/>
    <s v="Merlin 107652 PW4000-94&quot; Tanker Damaged IMC Rear Lip"/>
    <d v="2024-08-21T04:00:00"/>
    <d v="2024-08-21T04:00:00"/>
    <d v="2024-08-21T04:00:00"/>
    <d v="2024-08-21T04:00:00"/>
    <n v="0"/>
    <n v="0"/>
    <n v="0"/>
    <n v="12"/>
    <n v="12"/>
    <n v="0"/>
    <n v="0"/>
    <n v="0"/>
    <n v="0"/>
    <n v="4"/>
    <n v="0"/>
    <n v="0"/>
    <n v="0"/>
    <n v="4"/>
    <n v="8"/>
    <n v="8"/>
    <n v="-4"/>
    <n v="1"/>
  </r>
  <r>
    <s v="Cases &amp; Composites"/>
    <s v="MSG-250122-40DC69"/>
    <s v="Ferdin Mustafa"/>
    <s v="Complete"/>
    <s v="Complete"/>
    <s v="1-Urgent"/>
    <n v="1"/>
    <s v="19KC545B"/>
    <s v="Repair-EA"/>
    <s v="EM"/>
    <s v="PW4000"/>
    <s v="F117"/>
    <s v="75%"/>
    <d v="2025-01-22T05:00:00"/>
    <d v="2025-02-28T05:00:00"/>
    <d v="2025-06-30T04:00:00"/>
    <x v="7"/>
    <d v="2025-07-01T11:40:54"/>
    <s v="Jun2025 - Tanker Production QN Support for ESN 729517.  Damage found post-engine green run."/>
    <d v="2025-02-07T05:00:00"/>
    <d v="2025-02-11T05:00:00"/>
    <d v="2025-02-11T05:00:00"/>
    <d v="2025-02-28T05:00:00"/>
    <n v="4"/>
    <n v="17"/>
    <n v="21"/>
    <n v="155.95833333332848"/>
    <n v="134.95833333332848"/>
    <n v="0"/>
    <n v="0"/>
    <n v="0"/>
    <n v="0"/>
    <n v="0"/>
    <n v="0"/>
    <n v="0"/>
    <n v="0"/>
    <n v="0"/>
    <n v="155.95833333332848"/>
    <n v="134.95833333332848"/>
    <n v="118.95833333332848"/>
    <n v="0"/>
  </r>
  <r>
    <s v="Cases &amp; Composites"/>
    <s v="CAS-255034-K3Q5D0"/>
    <s v="Ferdin Mustafa"/>
    <s v="Complete"/>
    <s v="Resolved"/>
    <s v="1-Urgent"/>
    <n v="1"/>
    <s v="25KC371"/>
    <s v="Repair-EA"/>
    <s v="OTC"/>
    <s v="PW4000"/>
    <s v="OCE"/>
    <s v="75%"/>
    <d v="2025-06-10T01:06:49"/>
    <d v="2026-07-21T04:00:00"/>
    <d v="2025-06-18T04:00:00"/>
    <x v="8"/>
    <d v="2025-06-18T22:12:33"/>
    <m/>
    <d v="2025-06-13T04:00:00"/>
    <d v="2025-06-13T04:00:00"/>
    <d v="2025-06-17T04:00:00"/>
    <d v="2025-06-17T04:00:00"/>
    <n v="0"/>
    <n v="0"/>
    <n v="0"/>
    <n v="8.1202662037030677"/>
    <n v="8.1202662037030677"/>
    <n v="0"/>
    <n v="0"/>
    <n v="0"/>
    <n v="0"/>
    <n v="0"/>
    <n v="0"/>
    <n v="0"/>
    <n v="0"/>
    <n v="0"/>
    <n v="8.1202662037030677"/>
    <n v="8.1202662037030677"/>
    <n v="-398"/>
    <n v="1"/>
  </r>
  <r>
    <s v="Cases &amp; Composites"/>
    <n v="107422"/>
    <s v="Ferdin Mustafa"/>
    <s v="Complete"/>
    <s v="Closed"/>
    <s v="1-Urgent"/>
    <n v="2"/>
    <s v="24FC277"/>
    <s v="Repair-EA"/>
    <s v="OTC"/>
    <s v="PW2000"/>
    <s v="F117"/>
    <s v="75%"/>
    <d v="2024-08-05T04:00:00"/>
    <d v="2024-08-30T04:00:00"/>
    <d v="2024-08-30T04:00:00"/>
    <x v="9"/>
    <d v="2024-08-23T15:19:16"/>
    <s v="Simliar to 107640"/>
    <d v="2024-08-19T04:00:00"/>
    <d v="2024-08-19T04:00:00"/>
    <d v="2024-08-19T04:00:00"/>
    <d v="2024-08-19T04:00:00"/>
    <n v="0"/>
    <n v="0"/>
    <n v="0"/>
    <n v="18"/>
    <n v="18"/>
    <n v="0"/>
    <n v="0"/>
    <n v="0"/>
    <n v="0"/>
    <n v="0"/>
    <n v="0"/>
    <n v="0"/>
    <n v="0"/>
    <n v="0"/>
    <n v="18"/>
    <n v="18"/>
    <n v="-7"/>
    <n v="1"/>
  </r>
  <r>
    <s v="Cases &amp; Composites"/>
    <n v="108880"/>
    <s v="Jia Chen"/>
    <s v="Complete"/>
    <s v="Closed"/>
    <s v="1-Urgent"/>
    <n v="2"/>
    <s v="24FC375"/>
    <s v="Repair-EA"/>
    <s v="OTC"/>
    <s v="PW2000"/>
    <s v="AMO"/>
    <s v="75%"/>
    <d v="2024-10-10T04:00:00"/>
    <d v="2025-02-20T05:00:00"/>
    <d v="2025-02-20T05:00:00"/>
    <x v="10"/>
    <d v="2025-01-24T21:55:18"/>
    <m/>
    <d v="2025-01-09T05:00:00"/>
    <d v="2025-01-17T05:00:00"/>
    <d v="2025-01-17T05:00:00"/>
    <d v="2025-01-20T05:00:00"/>
    <n v="8"/>
    <n v="3"/>
    <n v="11"/>
    <n v="106.04166666667152"/>
    <n v="95.041666666671517"/>
    <n v="4"/>
    <n v="5"/>
    <n v="0"/>
    <n v="0"/>
    <n v="0"/>
    <n v="0"/>
    <n v="0"/>
    <n v="0"/>
    <n v="9"/>
    <n v="97.041666666671517"/>
    <n v="86.041666666671517"/>
    <n v="-27"/>
    <n v="1"/>
  </r>
  <r>
    <s v="Cases &amp; Composites"/>
    <n v="112238"/>
    <s v="Ferdin Mustafa"/>
    <s v="Complete"/>
    <s v="Closed"/>
    <s v="1-Urgent"/>
    <n v="2"/>
    <s v="25fc075"/>
    <s v="Repair-EA"/>
    <s v="OTC"/>
    <s v="PW2000"/>
    <s v="F117"/>
    <s v="75%"/>
    <d v="2025-04-04T04:00:00"/>
    <d v="2025-07-18T04:00:00"/>
    <d v="2025-06-06T04:00:00"/>
    <x v="11"/>
    <d v="2025-05-30T18:42:21"/>
    <m/>
    <d v="2025-04-08T04:00:00"/>
    <d v="2025-04-08T04:00:00"/>
    <d v="2025-05-16T04:00:00"/>
    <d v="2025-05-21T04:00:00"/>
    <n v="0"/>
    <n v="5"/>
    <n v="5"/>
    <n v="56"/>
    <n v="51"/>
    <n v="0"/>
    <n v="0"/>
    <n v="0"/>
    <n v="0"/>
    <n v="0"/>
    <n v="0"/>
    <n v="0"/>
    <n v="0"/>
    <n v="0"/>
    <n v="56"/>
    <n v="51"/>
    <n v="-49"/>
    <n v="1"/>
  </r>
  <r>
    <s v="Cases &amp; Composites"/>
    <s v="MSG-250324-8F569F"/>
    <s v="Ferdin Mustafa"/>
    <s v="Complete"/>
    <s v="Complete"/>
    <s v="1-Urgent"/>
    <n v="2"/>
    <s v="24KC492B"/>
    <s v="Repair-EA"/>
    <s v="OTC"/>
    <s v="PW4000"/>
    <s v="F117"/>
    <s v="50%"/>
    <d v="2025-03-23T04:00:00"/>
    <d v="2025-07-28T04:00:00"/>
    <d v="2025-05-05T04:00:00"/>
    <x v="12"/>
    <d v="2025-05-06T12:16:34"/>
    <s v="May2025 ESN 729288  Pratt review current instructions for 288 and seeing if they can be revised to reflect blend repair versus the weld/x-ray requirement.  Ref MERLIN 109710."/>
    <d v="2025-04-22T04:00:00"/>
    <d v="2025-04-23T04:00:00"/>
    <d v="2025-04-23T04:00:00"/>
    <d v="2025-04-29T04:00:00"/>
    <n v="1"/>
    <n v="6"/>
    <n v="7"/>
    <n v="43"/>
    <n v="36"/>
    <n v="15"/>
    <n v="0"/>
    <n v="0"/>
    <n v="0"/>
    <n v="0"/>
    <n v="0"/>
    <n v="0"/>
    <n v="3"/>
    <n v="18"/>
    <n v="25"/>
    <n v="18"/>
    <n v="-84"/>
    <n v="1"/>
  </r>
  <r>
    <s v="Cases &amp; Composites"/>
    <n v="113320"/>
    <s v="Ferdin Mustafa"/>
    <s v="Complete"/>
    <s v="Closed"/>
    <s v="1-Urgent"/>
    <n v="2"/>
    <s v="24KC525B"/>
    <s v="Repair-EA"/>
    <s v="OTC"/>
    <s v="PW4000"/>
    <s v="F117"/>
    <s v="50%"/>
    <d v="2025-05-29T04:00:00"/>
    <d v="2025-07-03T04:00:00"/>
    <d v="2025-07-03T04:00:00"/>
    <x v="13"/>
    <d v="2025-07-01T19:39:58"/>
    <s v="Jul2025"/>
    <d v="2025-06-17T04:00:00"/>
    <d v="2025-06-17T04:00:00"/>
    <d v="2025-06-17T04:00:00"/>
    <d v="2025-06-19T04:00:00"/>
    <n v="0"/>
    <n v="2"/>
    <n v="2"/>
    <n v="33"/>
    <n v="31"/>
    <n v="0"/>
    <n v="0"/>
    <n v="0"/>
    <n v="0"/>
    <n v="0"/>
    <n v="0"/>
    <n v="0"/>
    <n v="0"/>
    <n v="0"/>
    <n v="33"/>
    <n v="31"/>
    <n v="-2"/>
    <n v="1"/>
  </r>
  <r>
    <s v="Cases &amp; Composites"/>
    <s v="MSG-240828-EB3AE2"/>
    <s v="Ferdin Mustafa"/>
    <s v="Complete"/>
    <s v="Complete"/>
    <s v="1-Urgent"/>
    <n v="3"/>
    <s v="24KC525"/>
    <s v="Repair-EA"/>
    <s v="OTC"/>
    <s v="PW4000"/>
    <m/>
    <s v="75%"/>
    <d v="2024-08-28T04:00:00"/>
    <d v="2024-10-04T04:00:00"/>
    <d v="2024-10-04T04:00:00"/>
    <x v="14"/>
    <d v="2024-09-18T13:13:10"/>
    <s v="September - Boeing COPQ, follow up to MSG-240814-317DA9 / MERLIN 107652"/>
    <d v="2024-09-03T04:00:00"/>
    <d v="2024-09-03T04:00:00"/>
    <d v="2024-09-03T04:00:00"/>
    <d v="2024-09-05T04:00:00"/>
    <n v="0"/>
    <n v="2"/>
    <n v="2"/>
    <n v="16"/>
    <n v="14"/>
    <n v="0"/>
    <n v="0"/>
    <n v="0"/>
    <n v="0"/>
    <n v="3"/>
    <n v="0"/>
    <n v="0"/>
    <n v="0"/>
    <n v="3"/>
    <n v="13"/>
    <n v="11"/>
    <n v="-21"/>
    <n v="1"/>
  </r>
  <r>
    <s v="Cases &amp; Composites"/>
    <n v="109158"/>
    <s v="Jia Chen"/>
    <s v="Complete"/>
    <s v="Open"/>
    <s v="1-Urgent"/>
    <n v="3"/>
    <s v="24FC387"/>
    <s v="Repair-EA"/>
    <s v="OTC"/>
    <s v="PW2000"/>
    <s v="AMO"/>
    <s v="75%"/>
    <d v="2024-10-23T04:00:00"/>
    <d v="2025-02-20T05:00:00"/>
    <d v="2025-02-20T05:00:00"/>
    <x v="10"/>
    <d v="2025-01-24T16:21:08"/>
    <m/>
    <d v="2025-01-02T05:00:00"/>
    <d v="2025-01-17T05:00:00"/>
    <d v="2025-01-17T05:00:00"/>
    <d v="2025-01-20T05:00:00"/>
    <n v="15"/>
    <n v="3"/>
    <n v="18"/>
    <n v="93.041666666671517"/>
    <n v="75.041666666671517"/>
    <n v="18"/>
    <n v="0"/>
    <n v="0"/>
    <n v="0"/>
    <n v="0"/>
    <n v="0"/>
    <n v="0"/>
    <n v="0"/>
    <n v="18"/>
    <n v="75.041666666671517"/>
    <n v="57.041666666671517"/>
    <n v="-27"/>
    <n v="1"/>
  </r>
  <r>
    <s v="Cases &amp; Composites"/>
    <n v="106493"/>
    <s v="Jia Chen"/>
    <s v="Complete"/>
    <s v="Open"/>
    <s v="1-Urgent"/>
    <n v="4"/>
    <s v="24FC282"/>
    <s v="Repair-EA"/>
    <s v="OTC"/>
    <s v="PW2000"/>
    <s v="AMO"/>
    <s v="75%"/>
    <d v="2024-06-13T04:00:00"/>
    <d v="2025-02-17T05:00:00"/>
    <d v="2025-02-17T05:00:00"/>
    <x v="15"/>
    <d v="2025-02-05T20:50:52"/>
    <m/>
    <d v="2025-01-23T05:00:00"/>
    <d v="2025-01-23T05:00:00"/>
    <d v="2025-01-23T05:00:00"/>
    <d v="2025-01-24T05:00:00"/>
    <n v="0"/>
    <n v="1"/>
    <n v="1"/>
    <n v="237.04166666667152"/>
    <n v="236.04166666667152"/>
    <n v="17"/>
    <n v="71"/>
    <n v="2"/>
    <n v="0"/>
    <n v="0"/>
    <n v="0"/>
    <n v="0"/>
    <n v="0"/>
    <n v="90"/>
    <n v="147.04166666667152"/>
    <n v="146.04166666667152"/>
    <n v="-12"/>
    <n v="1"/>
  </r>
  <r>
    <s v="Cases &amp; Composites"/>
    <n v="111757"/>
    <s v="Ferdin Mustafa"/>
    <s v="Complete"/>
    <s v="Closed"/>
    <s v="1-Urgent"/>
    <n v="4"/>
    <s v="25FC099"/>
    <s v="Repair-EA"/>
    <s v="OTC"/>
    <s v="PW2000"/>
    <s v="F117"/>
    <s v="75%"/>
    <d v="2025-03-17T04:00:00"/>
    <d v="2025-07-25T04:00:00"/>
    <d v="2025-07-25T04:00:00"/>
    <x v="16"/>
    <d v="2025-05-27T14:57:52"/>
    <m/>
    <d v="2025-04-28T04:00:00"/>
    <d v="2025-04-28T04:00:00"/>
    <d v="2025-05-07T04:00:00"/>
    <d v="2025-05-21T04:00:00"/>
    <n v="0"/>
    <n v="14"/>
    <n v="14"/>
    <n v="71"/>
    <n v="57"/>
    <n v="0"/>
    <n v="0"/>
    <n v="0"/>
    <n v="0"/>
    <n v="0"/>
    <n v="0"/>
    <n v="0"/>
    <n v="0"/>
    <n v="0"/>
    <n v="71"/>
    <n v="57"/>
    <n v="-59"/>
    <n v="1"/>
  </r>
  <r>
    <s v="Cases &amp; Composites"/>
    <n v="108959"/>
    <s v="Francisco Astiasaran"/>
    <s v="Complete"/>
    <s v="Closed"/>
    <s v="1-Urgent"/>
    <n v="10"/>
    <s v="25FC009"/>
    <s v="Repair-EA"/>
    <s v="OTC"/>
    <s v="PW2000"/>
    <s v="AMO"/>
    <s v="50%"/>
    <d v="2024-10-15T04:00:00"/>
    <d v="2025-01-22T05:00:00"/>
    <d v="2025-04-25T04:00:00"/>
    <x v="17"/>
    <d v="2025-04-25T15:25:25"/>
    <s v="Apr2025"/>
    <d v="2025-01-14T05:00:00"/>
    <d v="2025-01-15T05:00:00"/>
    <d v="2025-01-15T05:00:00"/>
    <d v="2025-02-25T05:00:00"/>
    <n v="1"/>
    <n v="41"/>
    <n v="42"/>
    <n v="192"/>
    <n v="150"/>
    <n v="0"/>
    <n v="39"/>
    <n v="0"/>
    <n v="0"/>
    <n v="0"/>
    <n v="0"/>
    <n v="0"/>
    <n v="0"/>
    <n v="39"/>
    <n v="153"/>
    <n v="111"/>
    <n v="92.958333333328483"/>
    <n v="0"/>
  </r>
  <r>
    <s v="Cases &amp; Composites"/>
    <n v="111328"/>
    <s v="Ferdin Mustafa"/>
    <s v="Complete"/>
    <s v="Closed"/>
    <s v="1-Urgent"/>
    <n v="10"/>
    <s v="25FC067"/>
    <s v="Repair-EA"/>
    <s v="OTC"/>
    <s v="PW2000"/>
    <s v="F117"/>
    <s v="75%"/>
    <d v="2025-03-24T04:00:00"/>
    <d v="2025-05-15T04:00:00"/>
    <d v="2025-05-15T04:00:00"/>
    <x v="18"/>
    <d v="2025-04-11T20:06:16"/>
    <s v="Apr2025 - "/>
    <d v="2025-03-27T04:00:00"/>
    <d v="2025-03-27T04:00:00"/>
    <d v="2025-03-28T04:00:00"/>
    <d v="2025-04-09T04:00:00"/>
    <n v="0"/>
    <n v="12"/>
    <n v="12"/>
    <n v="18"/>
    <n v="6"/>
    <n v="0"/>
    <n v="0"/>
    <n v="0"/>
    <n v="0"/>
    <n v="0"/>
    <n v="0"/>
    <n v="0"/>
    <n v="0"/>
    <n v="0"/>
    <n v="18"/>
    <n v="6"/>
    <n v="-34"/>
    <n v="1"/>
  </r>
  <r>
    <s v="Cases &amp; Composites"/>
    <n v="112750"/>
    <s v="Ferdin Mustafa"/>
    <s v="Complete"/>
    <s v="Closed"/>
    <s v="1-Urgent"/>
    <n v="10"/>
    <s v="25FC108"/>
    <s v="Repair-EA"/>
    <s v="OTC"/>
    <s v="PW2000"/>
    <s v="F117"/>
    <s v="75%"/>
    <d v="2025-04-28T04:00:00"/>
    <d v="2025-08-08T04:00:00"/>
    <d v="2025-08-08T04:00:00"/>
    <x v="19"/>
    <d v="2025-06-23T18:31:29"/>
    <s v="Jun2025"/>
    <d v="2025-05-01T04:00:00"/>
    <d v="2025-05-01T04:00:00"/>
    <d v="2025-06-04T04:00:00"/>
    <d v="2025-06-13T04:00:00"/>
    <n v="0"/>
    <n v="9"/>
    <n v="9"/>
    <n v="56"/>
    <n v="47"/>
    <n v="0"/>
    <n v="0"/>
    <n v="0"/>
    <n v="0"/>
    <n v="0"/>
    <n v="0"/>
    <n v="0"/>
    <n v="0"/>
    <n v="0"/>
    <n v="56"/>
    <n v="47"/>
    <n v="-46"/>
    <n v="1"/>
  </r>
  <r>
    <s v="Cases &amp; Composites"/>
    <n v="111315"/>
    <s v="Austin Bryant"/>
    <s v="Complete"/>
    <s v="Closed"/>
    <s v="1-Urgent"/>
    <n v="10"/>
    <s v="25FC140"/>
    <s v="Repair-EA"/>
    <s v="OTC"/>
    <s v="PW2000"/>
    <s v="F117"/>
    <s v="50%"/>
    <d v="2025-02-24T05:00:00"/>
    <d v="2025-07-11T04:00:00"/>
    <d v="2025-07-11T04:00:00"/>
    <x v="20"/>
    <d v="2025-07-06T17:39:35"/>
    <s v="Jul2025"/>
    <d v="2025-06-09T04:00:00"/>
    <d v="2025-06-09T04:00:00"/>
    <d v="2025-06-24T04:00:00"/>
    <d v="2025-06-25T04:00:00"/>
    <n v="0"/>
    <n v="1"/>
    <n v="1"/>
    <n v="127.95833333332848"/>
    <n v="126.95833333332848"/>
    <n v="59"/>
    <n v="0"/>
    <n v="0"/>
    <n v="0"/>
    <n v="0"/>
    <n v="0"/>
    <n v="0"/>
    <n v="0"/>
    <n v="59"/>
    <n v="68.958333333328483"/>
    <n v="67.958333333328483"/>
    <n v="-9"/>
    <n v="1"/>
  </r>
  <r>
    <s v="Cases &amp; Composites"/>
    <n v="108392"/>
    <s v="Dean Catlett"/>
    <s v="Complete"/>
    <s v="Closed"/>
    <s v="1-Urgent"/>
    <n v="11"/>
    <s v="24FC352"/>
    <s v="Repair-EA"/>
    <s v="OTC"/>
    <s v="PW2000"/>
    <s v="F117"/>
    <m/>
    <d v="2024-09-17T04:00:00"/>
    <d v="2024-11-26T05:00:00"/>
    <d v="2024-12-23T05:00:00"/>
    <x v="21"/>
    <d v="2024-12-11T22:31:25"/>
    <s v="December 2024 Commitment"/>
    <d v="2024-11-08T05:00:00"/>
    <d v="2024-11-08T05:00:00"/>
    <d v="2024-11-08T05:00:00"/>
    <d v="2024-12-03T05:00:00"/>
    <n v="0"/>
    <n v="25"/>
    <n v="25"/>
    <n v="85.041666666671517"/>
    <n v="60.041666666671517"/>
    <n v="0"/>
    <n v="0"/>
    <n v="0"/>
    <n v="0"/>
    <n v="8"/>
    <n v="0"/>
    <n v="0"/>
    <n v="0"/>
    <n v="8"/>
    <n v="77.041666666671517"/>
    <n v="52.041666666671517"/>
    <n v="15"/>
    <n v="0"/>
  </r>
  <r>
    <s v="Cases &amp; Composites"/>
    <n v="111576"/>
    <s v="Ferdin Mustafa"/>
    <s v="Complete"/>
    <s v="Closed"/>
    <s v="1-Urgent"/>
    <n v="11"/>
    <s v="25FC070"/>
    <s v="Repair-EA"/>
    <s v="OTC"/>
    <s v="PW2000"/>
    <s v="F117"/>
    <s v="75%"/>
    <d v="2025-03-11T04:00:00"/>
    <d v="2025-07-12T04:00:00"/>
    <d v="2025-05-16T04:00:00"/>
    <x v="22"/>
    <d v="2025-04-10T15:36:29"/>
    <m/>
    <d v="2025-04-01T04:00:00"/>
    <d v="2025-04-01T04:00:00"/>
    <d v="2025-04-03T04:00:00"/>
    <d v="2025-04-04T04:00:00"/>
    <n v="0"/>
    <n v="1"/>
    <n v="1"/>
    <n v="28"/>
    <n v="27"/>
    <n v="0"/>
    <n v="0"/>
    <n v="0"/>
    <n v="0"/>
    <n v="0"/>
    <n v="0"/>
    <n v="0"/>
    <n v="0"/>
    <n v="0"/>
    <n v="28"/>
    <n v="27"/>
    <n v="-95"/>
    <n v="1"/>
  </r>
  <r>
    <s v="Cases &amp; Composites"/>
    <n v="110045"/>
    <s v="Francisco Astiasaran"/>
    <s v="Complete"/>
    <s v="Closed"/>
    <s v="1-Urgent"/>
    <n v="11"/>
    <s v="25FC089"/>
    <s v="Repair-EA"/>
    <s v="OTC"/>
    <s v="PW2000"/>
    <s v="AMO"/>
    <s v="75%"/>
    <d v="2024-12-10T05:00:00"/>
    <d v="2025-04-29T04:00:00"/>
    <d v="2025-04-29T04:00:00"/>
    <x v="23"/>
    <d v="2025-05-06T12:38:11"/>
    <s v="May2025"/>
    <d v="2025-04-23T04:00:00"/>
    <d v="2025-04-23T04:00:00"/>
    <d v="2025-04-24T04:00:00"/>
    <d v="2025-04-29T04:00:00"/>
    <n v="0"/>
    <n v="5"/>
    <n v="5"/>
    <n v="142.95833333332848"/>
    <n v="137.95833333332848"/>
    <n v="0"/>
    <n v="0"/>
    <n v="0"/>
    <n v="0"/>
    <n v="0"/>
    <n v="0"/>
    <n v="0"/>
    <n v="0"/>
    <n v="0"/>
    <n v="142.95833333332848"/>
    <n v="137.95833333332848"/>
    <n v="3"/>
    <n v="0"/>
  </r>
  <r>
    <s v="Cases &amp; Composites"/>
    <n v="111758"/>
    <s v="Austin Bryant"/>
    <s v="Complete"/>
    <s v="Closed"/>
    <s v="1-Urgent"/>
    <n v="11"/>
    <s v="25FC141"/>
    <s v="Repair-EA"/>
    <s v="OTC"/>
    <s v="PW2000"/>
    <s v="F117"/>
    <m/>
    <d v="2025-03-18T04:00:00"/>
    <d v="2026-06-30T04:00:00"/>
    <d v="2025-07-16T04:00:00"/>
    <x v="24"/>
    <d v="2025-07-01T19:39:33"/>
    <s v="Jun2025"/>
    <d v="2025-06-09T04:00:00"/>
    <d v="2025-06-09T04:00:00"/>
    <d v="2025-06-24T04:00:00"/>
    <d v="2025-06-24T04:00:00"/>
    <n v="0"/>
    <n v="0"/>
    <n v="0"/>
    <n v="104"/>
    <n v="104"/>
    <n v="45"/>
    <n v="0"/>
    <n v="0"/>
    <n v="0"/>
    <n v="0"/>
    <n v="0"/>
    <n v="0"/>
    <n v="0"/>
    <n v="45"/>
    <n v="59"/>
    <n v="59"/>
    <n v="-365"/>
    <n v="1"/>
  </r>
  <r>
    <s v="Cases &amp; Composites"/>
    <n v="111444"/>
    <s v="Francisco Astiasaran"/>
    <s v="Complete"/>
    <s v="Closed"/>
    <s v="1-Urgent"/>
    <n v="12"/>
    <s v="25FC057"/>
    <s v="Repair-EA"/>
    <s v="OTC"/>
    <s v="PW2000"/>
    <s v="AMO"/>
    <s v="75%"/>
    <d v="2025-02-27T05:00:00"/>
    <d v="2025-04-23T04:00:00"/>
    <d v="2025-05-30T04:00:00"/>
    <x v="25"/>
    <d v="2025-06-02T15:28:50"/>
    <s v="Jun2025"/>
    <d v="2025-05-07T04:00:00"/>
    <d v="2025-05-07T04:00:00"/>
    <d v="2025-05-07T04:00:00"/>
    <d v="2025-05-30T04:00:00"/>
    <n v="0"/>
    <n v="23"/>
    <n v="23"/>
    <n v="94.958333333328483"/>
    <n v="71.958333333328483"/>
    <n v="0"/>
    <n v="0"/>
    <n v="0"/>
    <n v="0"/>
    <n v="0"/>
    <n v="0"/>
    <n v="0"/>
    <n v="0"/>
    <n v="0"/>
    <n v="94.958333333328483"/>
    <n v="71.958333333328483"/>
    <n v="40"/>
    <n v="0"/>
  </r>
  <r>
    <s v="Cases &amp; Composites"/>
    <n v="111691"/>
    <s v="Ferdin Mustafa"/>
    <s v="Complete"/>
    <s v="Closed"/>
    <s v="1-Urgent"/>
    <n v="12"/>
    <s v="25FC061"/>
    <s v="Repair-EA"/>
    <s v="OTC"/>
    <s v="PW2000"/>
    <s v="F117"/>
    <s v="75%"/>
    <d v="2025-03-13T04:00:00"/>
    <d v="2025-08-29T04:00:00"/>
    <d v="2025-08-29T04:00:00"/>
    <x v="26"/>
    <d v="2025-03-28T19:15:14"/>
    <m/>
    <d v="2025-03-24T04:00:00"/>
    <d v="2025-03-24T04:00:00"/>
    <d v="2025-03-25T04:00:00"/>
    <d v="2025-03-25T04:00:00"/>
    <n v="0"/>
    <n v="0"/>
    <n v="0"/>
    <n v="14"/>
    <n v="14"/>
    <n v="0"/>
    <n v="0"/>
    <n v="0"/>
    <n v="0"/>
    <n v="0"/>
    <n v="0"/>
    <n v="0"/>
    <n v="0"/>
    <n v="0"/>
    <n v="14"/>
    <n v="14"/>
    <n v="-155"/>
    <n v="1"/>
  </r>
  <r>
    <s v="Cases &amp; Composites"/>
    <n v="111395"/>
    <s v="Austin Bryant"/>
    <s v="Complete"/>
    <s v="Closed"/>
    <s v="1-Urgent"/>
    <n v="12"/>
    <s v="25FC153"/>
    <s v="Repair-EA"/>
    <s v="OTC"/>
    <s v="PW2000"/>
    <s v="F117"/>
    <s v="75%"/>
    <d v="2025-02-26T05:00:00"/>
    <d v="2026-06-30T04:00:00"/>
    <d v="2025-07-11T04:00:00"/>
    <x v="27"/>
    <d v="2025-07-14T19:18:11"/>
    <s v="Jul2025"/>
    <d v="2025-06-16T04:00:00"/>
    <d v="2025-06-16T04:00:00"/>
    <d v="2025-06-24T04:00:00"/>
    <d v="2025-06-27T04:00:00"/>
    <n v="0"/>
    <n v="3"/>
    <n v="3"/>
    <n v="132.95833333332848"/>
    <n v="129.95833333332848"/>
    <n v="64"/>
    <n v="2"/>
    <n v="0"/>
    <n v="0"/>
    <n v="3"/>
    <n v="0"/>
    <n v="0"/>
    <n v="0"/>
    <n v="69"/>
    <n v="63.958333333328483"/>
    <n v="60.958333333328483"/>
    <n v="-356"/>
    <n v="1"/>
  </r>
  <r>
    <s v="Cases &amp; Composites"/>
    <n v="111325"/>
    <s v="Francisco Astiasaran"/>
    <s v="Complete"/>
    <s v="Closed"/>
    <s v="1-Urgent"/>
    <n v="13"/>
    <s v="25FC092"/>
    <s v="Repair-EA"/>
    <s v="OTC"/>
    <s v="PW2000"/>
    <s v="AMO"/>
    <s v="75%"/>
    <d v="2025-02-21T05:00:00"/>
    <d v="2025-04-09T04:00:00"/>
    <d v="2025-05-30T04:00:00"/>
    <x v="11"/>
    <d v="2025-05-30T18:59:55"/>
    <s v="May2025"/>
    <d v="2025-05-08T04:00:00"/>
    <d v="2025-05-08T04:00:00"/>
    <d v="2025-05-15T04:00:00"/>
    <d v="2025-05-28T04:00:00"/>
    <n v="0"/>
    <n v="13"/>
    <n v="13"/>
    <n v="97.958333333328483"/>
    <n v="84.958333333328483"/>
    <n v="0"/>
    <n v="0"/>
    <n v="0"/>
    <n v="0"/>
    <n v="0"/>
    <n v="0"/>
    <n v="0"/>
    <n v="0"/>
    <n v="0"/>
    <n v="97.958333333328483"/>
    <n v="84.958333333328483"/>
    <n v="51"/>
    <n v="0"/>
  </r>
  <r>
    <s v="Cases &amp; Composites"/>
    <n v="113432"/>
    <s v="Austin Bryant"/>
    <s v="Complete"/>
    <s v="Closed"/>
    <s v="1-Urgent"/>
    <n v="13"/>
    <s v="25FC159"/>
    <s v="Repair-EA"/>
    <s v="OTC"/>
    <s v="PW2000"/>
    <s v="F117"/>
    <s v="75%"/>
    <d v="2025-06-05T04:00:00"/>
    <d v="2026-06-30T04:00:00"/>
    <d v="2025-07-18T04:00:00"/>
    <x v="28"/>
    <d v="2025-07-08T15:26:12"/>
    <s v="Jul2025"/>
    <d v="2025-06-16T04:00:00"/>
    <d v="2025-06-16T04:00:00"/>
    <d v="2025-06-16T04:00:00"/>
    <d v="2025-06-27T04:00:00"/>
    <n v="0"/>
    <n v="11"/>
    <n v="11"/>
    <n v="32"/>
    <n v="21"/>
    <n v="0"/>
    <n v="0"/>
    <n v="0"/>
    <n v="0"/>
    <n v="0"/>
    <n v="0"/>
    <n v="0"/>
    <n v="0"/>
    <n v="0"/>
    <n v="32"/>
    <n v="21"/>
    <n v="-358"/>
    <n v="1"/>
  </r>
  <r>
    <s v="Cases &amp; Composites"/>
    <n v="101015"/>
    <s v="Ferdin Mustafa"/>
    <s v="Complete"/>
    <s v="Closed"/>
    <s v="1-Urgent"/>
    <n v="2024"/>
    <s v="24FC078"/>
    <s v="Repair-EA"/>
    <s v="OTC"/>
    <s v="PW2000"/>
    <s v="F117"/>
    <m/>
    <d v="2023-09-08T04:00:00"/>
    <d v="2024-04-30T04:00:00"/>
    <d v="2024-04-30T04:00:00"/>
    <x v="29"/>
    <d v="2024-04-16T18:05:21"/>
    <s v="Equivalent ENC: CAS-192708-Q5V7M8"/>
    <d v="2024-03-28T04:00:00"/>
    <d v="2024-04-04T04:00:00"/>
    <d v="2024-04-04T04:00:00"/>
    <d v="2024-04-04T04:00:00"/>
    <n v="7"/>
    <n v="0"/>
    <n v="7"/>
    <n v="221"/>
    <n v="214"/>
    <n v="0"/>
    <n v="0"/>
    <n v="0"/>
    <n v="0"/>
    <n v="0"/>
    <n v="0"/>
    <n v="0"/>
    <n v="0"/>
    <n v="0"/>
    <n v="221"/>
    <n v="214"/>
    <n v="-14"/>
    <n v="1"/>
  </r>
  <r>
    <s v="Cases &amp; Composites"/>
    <n v="100341"/>
    <s v="Pedro Iturrino"/>
    <s v="Complete"/>
    <s v="Open"/>
    <s v="1-Urgent"/>
    <m/>
    <s v="23FC270"/>
    <s v="Repair-EA"/>
    <s v="OTC"/>
    <s v="PW2000"/>
    <s v="AMO"/>
    <m/>
    <d v="2023-08-03T04:00:00"/>
    <d v="2023-11-20T05:00:00"/>
    <d v="2024-01-26T05:00:00"/>
    <x v="30"/>
    <d v="2024-01-22T20:30:49"/>
    <s v="JAN"/>
    <d v="2023-08-28T04:00:00"/>
    <d v="2023-08-30T04:00:00"/>
    <d v="2023-08-30T04:00:00"/>
    <d v="2023-11-06T05:00:00"/>
    <n v="2"/>
    <n v="68.041666666671517"/>
    <n v="70.041666666671517"/>
    <n v="172.04166666667152"/>
    <n v="102"/>
    <n v="0"/>
    <n v="0"/>
    <n v="0"/>
    <n v="0"/>
    <n v="0"/>
    <n v="0"/>
    <n v="0"/>
    <n v="0"/>
    <n v="0"/>
    <n v="172.04166666667152"/>
    <n v="102"/>
    <n v="63"/>
    <n v="0"/>
  </r>
  <r>
    <s v="Cases &amp; Composites"/>
    <n v="102132"/>
    <s v="Pedro Iturrino"/>
    <s v="Complete"/>
    <s v="Open"/>
    <s v="1-Urgent"/>
    <m/>
    <s v="24FC002"/>
    <s v="Repair-EA"/>
    <s v="OTC"/>
    <s v="PW2000"/>
    <s v="AMO"/>
    <m/>
    <d v="2023-11-02T04:00:00"/>
    <d v="2024-01-26T05:00:00"/>
    <d v="2024-01-26T05:00:00"/>
    <x v="30"/>
    <d v="2024-01-22T20:32:24"/>
    <m/>
    <d v="2024-01-08T05:00:00"/>
    <d v="2024-01-17T05:00:00"/>
    <d v="2024-01-17T05:00:00"/>
    <d v="2024-01-17T05:00:00"/>
    <n v="9"/>
    <n v="0"/>
    <n v="9"/>
    <n v="81.041666666671517"/>
    <n v="72.041666666671517"/>
    <n v="0"/>
    <n v="0"/>
    <n v="0"/>
    <n v="0"/>
    <n v="0"/>
    <n v="0"/>
    <n v="0"/>
    <n v="0"/>
    <n v="0"/>
    <n v="81.041666666671517"/>
    <n v="72.041666666671517"/>
    <n v="-4"/>
    <n v="1"/>
  </r>
  <r>
    <s v="Cases &amp; Composites"/>
    <s v="CAS-198957-F2V4Y1"/>
    <s v="Pedro Iturrino"/>
    <s v="Complete"/>
    <s v="Resolved"/>
    <s v="1-Urgent"/>
    <m/>
    <s v="24FC021"/>
    <s v="Repair-EA"/>
    <s v="OTC"/>
    <s v="PW2000"/>
    <s v="AMO"/>
    <m/>
    <d v="2023-11-21T19:35:08"/>
    <d v="2024-03-08T05:00:00"/>
    <d v="2024-03-01T05:00:00"/>
    <x v="31"/>
    <d v="2024-02-26T17:40:04"/>
    <s v="FEB2"/>
    <d v="2024-01-22T05:00:00"/>
    <d v="2024-01-24T05:00:00"/>
    <d v="2024-01-24T05:00:00"/>
    <d v="2024-01-24T05:00:00"/>
    <n v="2"/>
    <n v="0"/>
    <n v="2"/>
    <n v="96.392268518524361"/>
    <n v="94.392268518524361"/>
    <n v="0"/>
    <n v="0"/>
    <n v="0"/>
    <n v="0"/>
    <n v="0"/>
    <n v="0"/>
    <n v="0"/>
    <n v="5"/>
    <n v="5"/>
    <n v="91.392268518524361"/>
    <n v="89.392268518524361"/>
    <n v="-11"/>
    <n v="1"/>
  </r>
  <r>
    <s v="Cases &amp; Composites"/>
    <n v="103146"/>
    <s v="Robert Thompson"/>
    <s v="Complete"/>
    <s v="Closed"/>
    <s v="1-Urgent"/>
    <m/>
    <s v="24FC003"/>
    <s v="Repair-EA"/>
    <s v="OTC"/>
    <s v="PW2000"/>
    <s v="F117"/>
    <m/>
    <d v="2023-12-22T05:00:00"/>
    <d v="2024-01-12T05:00:00"/>
    <d v="2024-01-12T05:00:00"/>
    <x v="32"/>
    <d v="2024-01-11T18:48:44"/>
    <s v="Jan."/>
    <d v="2024-01-04T05:00:00"/>
    <d v="2024-01-08T05:00:00"/>
    <d v="2024-01-08T05:00:00"/>
    <d v="2024-01-08T05:00:00"/>
    <n v="4"/>
    <n v="0"/>
    <n v="4"/>
    <n v="20"/>
    <n v="16"/>
    <n v="0"/>
    <n v="0"/>
    <n v="0"/>
    <n v="0"/>
    <n v="0"/>
    <n v="0"/>
    <n v="0"/>
    <n v="0"/>
    <n v="0"/>
    <n v="20"/>
    <n v="16"/>
    <n v="-1"/>
    <n v="1"/>
  </r>
  <r>
    <s v="Cases &amp; Composites"/>
    <n v="103694"/>
    <s v="Pedro Iturrino"/>
    <s v="Complete"/>
    <s v="Closed"/>
    <s v="1-Urgent"/>
    <m/>
    <s v="24FC047"/>
    <s v="Repair-EA"/>
    <s v="OTC"/>
    <s v="PW2000"/>
    <s v="AMO"/>
    <m/>
    <d v="2024-01-26T05:00:00"/>
    <d v="2024-03-15T04:00:00"/>
    <d v="2024-03-15T04:00:00"/>
    <x v="33"/>
    <d v="2024-02-22T18:16:07"/>
    <m/>
    <d v="2024-02-13T05:00:00"/>
    <d v="2024-02-15T05:00:00"/>
    <d v="2024-02-15T05:00:00"/>
    <d v="2024-02-15T05:00:00"/>
    <n v="2"/>
    <n v="0"/>
    <n v="2"/>
    <n v="27"/>
    <n v="25"/>
    <n v="0"/>
    <n v="0"/>
    <n v="0"/>
    <n v="0"/>
    <n v="0"/>
    <n v="0"/>
    <n v="0"/>
    <n v="0"/>
    <n v="0"/>
    <n v="27"/>
    <n v="25"/>
    <n v="-21.958333333328483"/>
    <n v="1"/>
  </r>
  <r>
    <s v="Cases &amp; Composites"/>
    <s v="CAS-205562-J4R1J8"/>
    <s v="Ferdin Mustafa"/>
    <s v="Complete"/>
    <s v="Resolved"/>
    <s v="1-Urgent"/>
    <m/>
    <s v="24KC068"/>
    <s v="Repair-EA"/>
    <s v="OTC"/>
    <s v="PW4000"/>
    <m/>
    <m/>
    <d v="2024-02-02T02:41:49"/>
    <d v="2024-03-08T05:00:00"/>
    <d v="2024-03-08T05:00:00"/>
    <x v="34"/>
    <d v="2024-02-08T21:34:06"/>
    <s v="IMC salvage for Tanker OEM Production"/>
    <d v="2024-02-02T05:00:00"/>
    <d v="2024-02-02T05:00:00"/>
    <d v="2024-02-02T05:00:00"/>
    <d v="2024-02-07T05:00:00"/>
    <n v="0"/>
    <n v="5"/>
    <n v="5"/>
    <n v="6.0959606481483206"/>
    <n v="1.0959606481483206"/>
    <n v="0"/>
    <n v="0"/>
    <n v="0"/>
    <n v="0"/>
    <n v="0"/>
    <n v="0"/>
    <n v="0"/>
    <n v="0"/>
    <n v="0"/>
    <n v="6.0959606481483206"/>
    <n v="1.0959606481483206"/>
    <n v="-29"/>
    <n v="1"/>
  </r>
  <r>
    <s v="Cases &amp; Composites"/>
    <n v="104648"/>
    <s v="Pedro Iturrino"/>
    <s v="Complete"/>
    <s v="Closed"/>
    <s v="1-Urgent"/>
    <m/>
    <s v="24FC095"/>
    <s v="Repair-EA"/>
    <s v="OTC"/>
    <s v="PW2000"/>
    <s v="AMO"/>
    <m/>
    <d v="2024-03-11T04:00:00"/>
    <d v="2024-05-31T04:00:00"/>
    <d v="2024-04-26T04:00:00"/>
    <x v="35"/>
    <d v="2024-04-24T20:28:56"/>
    <s v="APR"/>
    <d v="2024-03-22T04:00:00"/>
    <d v="2024-04-09T04:00:00"/>
    <d v="2024-04-09T04:00:00"/>
    <d v="2024-04-09T04:00:00"/>
    <n v="18"/>
    <n v="0"/>
    <n v="18"/>
    <n v="44"/>
    <n v="26"/>
    <n v="0"/>
    <n v="0"/>
    <n v="0"/>
    <n v="0"/>
    <n v="0"/>
    <n v="0"/>
    <n v="0"/>
    <n v="0"/>
    <n v="0"/>
    <n v="44"/>
    <n v="26"/>
    <n v="-37"/>
    <n v="1"/>
  </r>
  <r>
    <s v="Cases &amp; Composites"/>
    <n v="105228"/>
    <s v="Pedro Iturrino"/>
    <s v="Complete"/>
    <s v="Closed"/>
    <s v="1-Urgent"/>
    <m/>
    <s v="24FC141"/>
    <s v="Repair-EA"/>
    <s v="OTC"/>
    <s v="PW2000"/>
    <s v="AMO"/>
    <m/>
    <d v="2024-04-10T04:00:00"/>
    <d v="2024-05-31T04:00:00"/>
    <d v="2024-05-31T04:00:00"/>
    <x v="36"/>
    <d v="2024-05-24T15:33:40"/>
    <m/>
    <d v="2024-05-02T04:00:00"/>
    <d v="2024-05-03T04:00:00"/>
    <d v="2024-05-03T04:00:00"/>
    <d v="2024-05-03T04:00:00"/>
    <n v="1"/>
    <n v="0"/>
    <n v="1"/>
    <n v="44"/>
    <n v="43"/>
    <n v="0"/>
    <n v="0"/>
    <n v="0"/>
    <n v="0"/>
    <n v="5"/>
    <n v="0"/>
    <n v="0"/>
    <n v="0"/>
    <n v="5"/>
    <n v="39"/>
    <n v="38"/>
    <n v="-7"/>
    <n v="1"/>
  </r>
  <r>
    <s v="Cases &amp; Composites"/>
    <s v="CAS-212797-M5C7V0"/>
    <s v="Tyler Abusbah"/>
    <s v="Complete"/>
    <s v="Resolved"/>
    <s v="1-Urgent"/>
    <m/>
    <s v="24FC162"/>
    <s v="Repair-EA"/>
    <s v="OTC"/>
    <s v="PW2000"/>
    <s v="AMO"/>
    <m/>
    <d v="2024-04-18T21:19:33"/>
    <d v="2024-10-16T04:00:00"/>
    <d v="2024-10-30T04:00:00"/>
    <x v="37"/>
    <d v="2024-10-31T12:31:23"/>
    <s v="HPC Rear Outer Case - 10th &amp; 14th Stage Bleed Bosses, Weld Repair Oct"/>
    <d v="2024-05-16T04:00:00"/>
    <d v="2024-09-13T04:00:00"/>
    <d v="2024-09-13T04:00:00"/>
    <d v="2024-09-27T04:00:00"/>
    <n v="120"/>
    <n v="14"/>
    <n v="134"/>
    <n v="194.27809027777403"/>
    <n v="60.278090277774027"/>
    <n v="0"/>
    <n v="0"/>
    <n v="0"/>
    <n v="1"/>
    <n v="0"/>
    <n v="18"/>
    <n v="0"/>
    <n v="0"/>
    <n v="19"/>
    <n v="175.27809027777403"/>
    <n v="41.278090277774027"/>
    <n v="14"/>
    <n v="0"/>
  </r>
  <r>
    <s v="Cases &amp; Composites"/>
    <n v="105720"/>
    <s v="Jia Chen"/>
    <s v="Complete"/>
    <s v="Closed"/>
    <s v="1-Urgent"/>
    <m/>
    <s v="24FC157"/>
    <s v="Repair-EA"/>
    <s v="OTC"/>
    <s v="PW2000"/>
    <s v="AMO"/>
    <s v="75%"/>
    <d v="2024-05-03T04:00:00"/>
    <d v="2024-07-04T04:00:00"/>
    <d v="2024-06-11T04:00:00"/>
    <x v="36"/>
    <d v="2024-05-29T12:53:07"/>
    <m/>
    <d v="2024-05-16T04:00:00"/>
    <d v="2024-05-20T04:00:00"/>
    <d v="2024-05-20T04:00:00"/>
    <d v="2024-05-21T04:00:00"/>
    <n v="4"/>
    <n v="1"/>
    <n v="5"/>
    <n v="21"/>
    <n v="16"/>
    <n v="0"/>
    <n v="0"/>
    <n v="0"/>
    <n v="0"/>
    <n v="0"/>
    <n v="0"/>
    <n v="0"/>
    <n v="0"/>
    <n v="0"/>
    <n v="21"/>
    <n v="16"/>
    <n v="-41"/>
    <n v="1"/>
  </r>
  <r>
    <s v="Cases &amp; Composites"/>
    <s v="CAS-220667-C8J5Y4"/>
    <s v="Orlando Melendez Colon"/>
    <s v="Complete"/>
    <s v="Resolved"/>
    <s v="1-Urgent"/>
    <m/>
    <s v="24VG135"/>
    <s v="Repair-EA"/>
    <s v="OTC"/>
    <s v="V2500"/>
    <s v="V2500"/>
    <s v="75%"/>
    <d v="2024-07-10T14:22:54"/>
    <d v="2024-07-17T04:00:00"/>
    <d v="2024-07-17T04:00:00"/>
    <x v="38"/>
    <d v="2024-07-16T13:38:46"/>
    <m/>
    <d v="2024-07-13T04:00:00"/>
    <d v="2024-07-15T04:00:00"/>
    <d v="2024-07-15T04:00:00"/>
    <d v="2024-07-15T04:00:00"/>
    <n v="2"/>
    <n v="0"/>
    <n v="2"/>
    <n v="4.5674305555512547"/>
    <n v="2.5674305555512547"/>
    <n v="0"/>
    <n v="0"/>
    <n v="0"/>
    <n v="0"/>
    <n v="2"/>
    <n v="0"/>
    <n v="0"/>
    <n v="0"/>
    <n v="2"/>
    <n v="2.5674305555512547"/>
    <n v="0.56743055555125466"/>
    <n v="-2"/>
    <n v="1"/>
  </r>
  <r>
    <s v="Cases &amp; Composites"/>
    <n v="106033"/>
    <s v="Jia Chen"/>
    <s v="Complete"/>
    <s v="Closed"/>
    <s v="1-Urgent"/>
    <m/>
    <s v="24FC233"/>
    <s v="Repair-EA"/>
    <s v="OTC"/>
    <s v="PW2000"/>
    <s v="AMO"/>
    <s v="75%"/>
    <d v="2024-05-21T04:00:00"/>
    <d v="2024-10-29T04:00:00"/>
    <d v="2024-10-29T04:00:00"/>
    <x v="39"/>
    <d v="2024-10-09T13:51:39"/>
    <s v="HPC REAR OUTER CASE - 14TH STAGE BLEED VALVE FLANGE OVERSIZED BOLTHOLE. Oct"/>
    <d v="2024-09-04T04:00:00"/>
    <d v="2024-09-27T04:00:00"/>
    <d v="2024-09-27T04:00:00"/>
    <d v="2024-09-30T04:00:00"/>
    <n v="23"/>
    <n v="3"/>
    <n v="26"/>
    <n v="140"/>
    <n v="114"/>
    <n v="27"/>
    <n v="0"/>
    <n v="0"/>
    <n v="0"/>
    <n v="18"/>
    <n v="0"/>
    <n v="0"/>
    <n v="0"/>
    <n v="45"/>
    <n v="95"/>
    <n v="69"/>
    <n v="-21"/>
    <n v="1"/>
  </r>
  <r>
    <s v="Cases &amp; Composites"/>
    <n v="105143"/>
    <s v="Jia Chen"/>
    <s v="Complete"/>
    <s v="Open"/>
    <s v="1-Urgent"/>
    <m/>
    <s v="24FC117"/>
    <s v="Repair-EA"/>
    <s v="OTC"/>
    <s v="PW2000"/>
    <s v="AMO"/>
    <s v="25%"/>
    <d v="2024-04-05T04:00:00"/>
    <d v="2024-10-09T04:00:00"/>
    <d v="2024-10-09T04:00:00"/>
    <x v="40"/>
    <d v="2024-09-23T15:26:34"/>
    <s v="The Rear Flange is thicker than the serviceable or repairable limits"/>
    <m/>
    <m/>
    <m/>
    <m/>
    <s v=""/>
    <s v=""/>
    <n v="0"/>
    <n v="171"/>
    <n v="171"/>
    <n v="0"/>
    <n v="4"/>
    <n v="0"/>
    <n v="81"/>
    <n v="0"/>
    <n v="0"/>
    <n v="0"/>
    <n v="0"/>
    <n v="85"/>
    <n v="86"/>
    <n v="86"/>
    <n v="-16"/>
    <n v="1"/>
  </r>
  <r>
    <s v="Cases &amp; Composites"/>
    <s v="MSG-240821-EFF837"/>
    <s v="Ferdin Mustafa"/>
    <s v="Complete"/>
    <s v="Complete"/>
    <s v="1-Urgent"/>
    <m/>
    <s v="24KC512"/>
    <s v="Repair-EA"/>
    <s v="OTC"/>
    <s v="PW4000"/>
    <m/>
    <s v="75%"/>
    <d v="2024-08-21T04:00:00"/>
    <d v="2024-11-27T05:00:00"/>
    <d v="2024-11-27T05:00:00"/>
    <x v="41"/>
    <d v="2024-09-06T20:22:12"/>
    <m/>
    <d v="2024-08-21T04:00:00"/>
    <d v="2024-09-05T04:00:00"/>
    <d v="2024-09-05T04:00:00"/>
    <d v="2024-09-05T04:00:00"/>
    <n v="15"/>
    <n v="0"/>
    <n v="15"/>
    <n v="16"/>
    <n v="1"/>
    <n v="0"/>
    <n v="2"/>
    <n v="0"/>
    <n v="0"/>
    <n v="12"/>
    <n v="0"/>
    <n v="0"/>
    <n v="0"/>
    <n v="14"/>
    <n v="2"/>
    <n v="-13"/>
    <n v="-82.041666666671517"/>
    <n v="1"/>
  </r>
  <r>
    <s v="Cases &amp; Composites"/>
    <n v="108334"/>
    <s v="Jia Chen"/>
    <s v="Complete"/>
    <s v="Closed"/>
    <s v="1-Urgent"/>
    <m/>
    <s v="24FC332"/>
    <s v="Repair-EA"/>
    <s v="OTC"/>
    <s v="PW2000"/>
    <s v="AMO"/>
    <s v="50%"/>
    <d v="2024-09-13T04:00:00"/>
    <d v="2024-11-27T05:00:00"/>
    <d v="2024-12-17T05:00:00"/>
    <x v="42"/>
    <d v="2024-12-12T19:10:45"/>
    <s v="Dec"/>
    <d v="2024-10-17T04:00:00"/>
    <d v="2024-10-28T04:00:00"/>
    <d v="2024-10-28T04:00:00"/>
    <d v="2024-12-05T05:00:00"/>
    <n v="11"/>
    <n v="38.041666666671517"/>
    <n v="49.041666666671517"/>
    <n v="90.041666666671517"/>
    <n v="41"/>
    <n v="16"/>
    <n v="0"/>
    <n v="0"/>
    <n v="0"/>
    <n v="0"/>
    <n v="0"/>
    <n v="0"/>
    <n v="0"/>
    <n v="16"/>
    <n v="74.041666666671517"/>
    <n v="25"/>
    <n v="15"/>
    <n v="0"/>
  </r>
  <r>
    <s v="Cases &amp; Composites"/>
    <n v="106581"/>
    <s v="Jia Chen"/>
    <s v="Complete"/>
    <s v="Closed"/>
    <s v="1-Urgent"/>
    <m/>
    <s v="24FC334"/>
    <s v="Repair-EA"/>
    <s v="OTC"/>
    <s v="PW2000"/>
    <s v="AMO"/>
    <s v="75%"/>
    <d v="2024-06-19T04:00:00"/>
    <d v="2025-01-15T05:00:00"/>
    <d v="2025-01-15T05:00:00"/>
    <x v="43"/>
    <d v="2024-12-23T21:10:28"/>
    <m/>
    <d v="2024-10-30T04:00:00"/>
    <d v="2024-11-04T05:00:00"/>
    <d v="2024-11-04T05:00:00"/>
    <d v="2024-12-09T05:00:00"/>
    <n v="5.0416666666715173"/>
    <n v="35"/>
    <n v="40.041666666671517"/>
    <n v="182.04166666667152"/>
    <n v="142"/>
    <n v="79"/>
    <n v="2"/>
    <n v="0"/>
    <n v="0"/>
    <n v="2"/>
    <n v="0"/>
    <n v="0"/>
    <n v="0"/>
    <n v="83"/>
    <n v="99.041666666671517"/>
    <n v="59"/>
    <n v="-28"/>
    <n v="1"/>
  </r>
  <r>
    <s v="Cases &amp; Composites"/>
    <s v="CAS-234135-B9H9Z1"/>
    <s v="Ferdin Mustafa"/>
    <s v="Complete"/>
    <s v="Resolved"/>
    <s v="1-Urgent"/>
    <m/>
    <s v="24KC739"/>
    <s v="Repair-EA"/>
    <s v="OTC"/>
    <s v="PW4000"/>
    <s v="OCE"/>
    <s v="50%"/>
    <d v="2024-11-14T13:54:27"/>
    <d v="2024-11-29T05:00:00"/>
    <d v="2024-12-19T05:00:00"/>
    <x v="44"/>
    <d v="2024-12-17T19:06:47"/>
    <m/>
    <d v="2024-11-21T05:00:00"/>
    <d v="2024-11-21T05:00:00"/>
    <d v="2024-11-21T05:00:00"/>
    <d v="2024-12-12T05:00:00"/>
    <n v="0"/>
    <n v="21"/>
    <n v="21"/>
    <n v="31.628854166672681"/>
    <n v="10.628854166672681"/>
    <n v="0"/>
    <n v="0"/>
    <n v="0"/>
    <n v="0"/>
    <n v="0"/>
    <n v="0"/>
    <n v="15"/>
    <n v="0"/>
    <n v="15"/>
    <n v="16.628854166672681"/>
    <n v="-4.3711458333273185"/>
    <n v="17"/>
    <n v="0"/>
  </r>
  <r>
    <s v="Cases &amp; Composites"/>
    <n v="109083"/>
    <s v="Ferdin Mustafa"/>
    <s v="Complete"/>
    <s v="Closed"/>
    <s v="1-Urgent"/>
    <m/>
    <s v="24FC390"/>
    <s v="Repair-EA"/>
    <s v="OTC"/>
    <s v="PW2000"/>
    <s v="AMO"/>
    <s v="75%"/>
    <d v="2024-10-18T04:00:00"/>
    <d v="2025-03-20T04:00:00"/>
    <d v="2025-03-20T04:00:00"/>
    <x v="45"/>
    <d v="2025-03-25T18:05:30"/>
    <s v="AMO. Mar2025"/>
    <d v="2025-01-30T05:00:00"/>
    <d v="2025-01-31T05:00:00"/>
    <d v="2025-01-31T05:00:00"/>
    <d v="2025-02-04T05:00:00"/>
    <n v="1"/>
    <n v="4"/>
    <n v="5"/>
    <n v="158"/>
    <n v="153"/>
    <n v="2"/>
    <n v="2"/>
    <n v="0"/>
    <n v="0"/>
    <n v="0"/>
    <n v="0"/>
    <n v="0"/>
    <n v="0"/>
    <n v="4"/>
    <n v="154"/>
    <n v="149"/>
    <n v="5"/>
    <n v="0"/>
  </r>
  <r>
    <s v="Cases &amp; Composites"/>
    <n v="111053"/>
    <s v="Ferdin Mustafa"/>
    <s v="Complete"/>
    <s v="Closed"/>
    <s v="1-Urgent"/>
    <m/>
    <s v="25FC029"/>
    <s v="Repair-EA"/>
    <s v="OTC"/>
    <s v="PW2000"/>
    <s v="F117"/>
    <s v="75%"/>
    <d v="2025-02-07T05:00:00"/>
    <d v="2025-02-28T05:00:00"/>
    <d v="2025-02-28T05:00:00"/>
    <x v="46"/>
    <d v="2025-02-21T19:54:30"/>
    <m/>
    <d v="2025-02-11T05:00:00"/>
    <d v="2025-02-11T05:00:00"/>
    <d v="2025-02-11T05:00:00"/>
    <d v="2025-02-17T05:00:00"/>
    <n v="0"/>
    <n v="6"/>
    <n v="6"/>
    <n v="14"/>
    <n v="8"/>
    <n v="0"/>
    <n v="0"/>
    <n v="0"/>
    <n v="0"/>
    <n v="0"/>
    <n v="0"/>
    <n v="0"/>
    <n v="0"/>
    <n v="0"/>
    <n v="14"/>
    <n v="8"/>
    <n v="-7"/>
    <n v="1"/>
  </r>
  <r>
    <s v="Cases &amp; Composites"/>
    <s v="MSG-250213-FA477D"/>
    <s v="Ferdin Mustafa"/>
    <s v="Complete"/>
    <s v="Complete"/>
    <s v="1-Urgent"/>
    <m/>
    <s v="24KC525A"/>
    <s v="Repair-EA"/>
    <s v="OTC"/>
    <s v="PW4000"/>
    <s v="F117"/>
    <s v="75%"/>
    <d v="2025-02-13T05:00:00"/>
    <d v="2025-03-04T05:00:00"/>
    <d v="2025-03-04T05:00:00"/>
    <x v="47"/>
    <d v="2025-02-19T16:24:22"/>
    <s v="Additional cracks found resulting from 24KC525/- repair process"/>
    <d v="2025-02-14T05:00:00"/>
    <d v="2025-02-14T05:00:00"/>
    <d v="2025-02-14T05:00:00"/>
    <d v="2025-02-14T05:00:00"/>
    <n v="0"/>
    <n v="0"/>
    <n v="0"/>
    <n v="5"/>
    <n v="5"/>
    <n v="0"/>
    <n v="0"/>
    <n v="0"/>
    <n v="0"/>
    <n v="0"/>
    <n v="0"/>
    <n v="0"/>
    <n v="0"/>
    <n v="0"/>
    <n v="5"/>
    <n v="5"/>
    <n v="-14"/>
    <n v="1"/>
  </r>
  <r>
    <s v="Cases &amp; Composites"/>
    <n v="111335"/>
    <s v="Francisco Astiasaran"/>
    <s v="Complete"/>
    <s v="Closed"/>
    <s v="1-Urgent"/>
    <m/>
    <s v="25FC058"/>
    <s v="Repair-EA"/>
    <s v="OTC"/>
    <s v="PW2000"/>
    <s v="AMO"/>
    <s v="75%"/>
    <d v="2025-02-24T05:00:00"/>
    <d v="2025-04-04T04:00:00"/>
    <d v="2025-06-11T04:00:00"/>
    <x v="48"/>
    <d v="2025-06-09T17:50:01"/>
    <s v="Jun2025"/>
    <d v="2025-03-27T04:00:00"/>
    <d v="2025-03-27T04:00:00"/>
    <d v="2025-05-07T04:00:00"/>
    <d v="2025-05-30T04:00:00"/>
    <n v="0"/>
    <n v="23"/>
    <n v="23"/>
    <n v="104.95833333332848"/>
    <n v="81.958333333328483"/>
    <n v="0"/>
    <n v="0"/>
    <n v="0"/>
    <n v="0"/>
    <n v="0"/>
    <n v="0"/>
    <n v="0"/>
    <n v="0"/>
    <n v="0"/>
    <n v="104.95833333332848"/>
    <n v="81.958333333328483"/>
    <n v="66"/>
    <n v="0"/>
  </r>
  <r>
    <s v="Cases &amp; Composites"/>
    <n v="110679"/>
    <s v="Jia Chen"/>
    <s v="Complete"/>
    <s v="Closed"/>
    <s v="1-Urgent"/>
    <m/>
    <s v="25FC052"/>
    <s v="Repair-EA"/>
    <s v="OTC"/>
    <s v="PW2000"/>
    <s v="AMO"/>
    <s v="75%"/>
    <d v="2025-01-20T05:00:00"/>
    <d v="2025-03-31T04:00:00"/>
    <d v="2025-03-31T04:00:00"/>
    <x v="49"/>
    <d v="2025-03-19T19:37:41"/>
    <s v="HPC REAR CASE ASSEMBLY - START BLEED BOSS AND MIDCASE SEAL GROOVE - REPAIR-11 AND -14, LIMIT EXTENSIONS"/>
    <d v="2025-03-10T04:00:00"/>
    <d v="2025-03-10T04:00:00"/>
    <d v="2025-03-10T04:00:00"/>
    <d v="2025-03-14T04:00:00"/>
    <n v="0"/>
    <n v="4"/>
    <n v="4"/>
    <n v="57.958333333328483"/>
    <n v="53.958333333328483"/>
    <n v="27"/>
    <n v="0"/>
    <n v="0"/>
    <n v="0"/>
    <n v="0"/>
    <n v="0"/>
    <n v="0"/>
    <n v="0"/>
    <n v="27"/>
    <n v="30.958333333328483"/>
    <n v="26.958333333328483"/>
    <n v="-12"/>
    <n v="1"/>
  </r>
  <r>
    <s v="Cases &amp; Composites"/>
    <n v="111022"/>
    <s v="Jia Chen"/>
    <s v="Complete"/>
    <s v="Closed"/>
    <s v="1-Urgent"/>
    <m/>
    <s v="25FC054"/>
    <s v="Repair-EA"/>
    <s v="OTC"/>
    <s v="PW2000"/>
    <s v="AMO"/>
    <s v="75%"/>
    <d v="2025-02-06T05:00:00"/>
    <d v="2025-03-28T04:00:00"/>
    <d v="2025-03-28T04:00:00"/>
    <x v="50"/>
    <d v="2025-03-20T13:29:57"/>
    <m/>
    <d v="2025-03-10T04:00:00"/>
    <d v="2025-03-10T04:00:00"/>
    <d v="2025-03-10T04:00:00"/>
    <d v="2025-03-14T04:00:00"/>
    <n v="0"/>
    <n v="4"/>
    <n v="4"/>
    <n v="41.958333333328483"/>
    <n v="37.958333333328483"/>
    <n v="14"/>
    <n v="0"/>
    <n v="0"/>
    <n v="0"/>
    <n v="0"/>
    <n v="0"/>
    <n v="0"/>
    <n v="0"/>
    <n v="14"/>
    <n v="27.958333333328483"/>
    <n v="23.958333333328483"/>
    <n v="-8"/>
    <n v="1"/>
  </r>
  <r>
    <s v="Cases &amp; Composites"/>
    <n v="111060"/>
    <s v="Francisco Astiasaran"/>
    <s v="Complete"/>
    <s v="Closed"/>
    <s v="1-Urgent"/>
    <m/>
    <s v="25FC060"/>
    <s v="Repair-EA"/>
    <s v="OTC"/>
    <s v="PW2000"/>
    <s v="AMO"/>
    <s v="75%"/>
    <d v="2025-02-08T05:00:00"/>
    <d v="2025-04-04T04:00:00"/>
    <d v="2025-04-04T04:00:00"/>
    <x v="26"/>
    <d v="2025-03-27T17:08:36"/>
    <s v="Apr2025"/>
    <d v="2025-03-24T04:00:00"/>
    <d v="2025-03-24T04:00:00"/>
    <d v="2025-03-25T04:00:00"/>
    <d v="2025-03-26T04:00:00"/>
    <n v="0"/>
    <n v="1"/>
    <n v="1"/>
    <n v="46.958333333328483"/>
    <n v="45.958333333328483"/>
    <n v="0"/>
    <n v="0"/>
    <n v="0"/>
    <n v="0"/>
    <n v="0"/>
    <n v="0"/>
    <n v="0"/>
    <n v="0"/>
    <n v="0"/>
    <n v="46.958333333328483"/>
    <n v="45.958333333328483"/>
    <n v="-8"/>
    <n v="1"/>
  </r>
  <r>
    <s v="Cases &amp; Composites"/>
    <s v="CAS-246290-Y6Z4F3"/>
    <s v="Francisco Astiasaran"/>
    <s v="Complete"/>
    <s v="Resolved"/>
    <s v="1-Urgent"/>
    <m/>
    <s v="25CC681"/>
    <s v="Repair-EA"/>
    <s v="OTC"/>
    <s v="PW1000G"/>
    <s v="24K"/>
    <s v="75%"/>
    <d v="2025-03-15T12:15:46"/>
    <d v="2025-03-21T04:00:00"/>
    <d v="2025-03-21T04:00:00"/>
    <x v="49"/>
    <d v="2025-03-19T19:45:45"/>
    <s v="Mar2025"/>
    <m/>
    <m/>
    <m/>
    <m/>
    <s v=""/>
    <s v=""/>
    <n v="0"/>
    <n v="3.6557175925918273"/>
    <n v="3.6557175925918273"/>
    <n v="0"/>
    <n v="0"/>
    <n v="0"/>
    <n v="0"/>
    <n v="0"/>
    <n v="0"/>
    <n v="0"/>
    <n v="0"/>
    <n v="0"/>
    <n v="3.6557175925918273"/>
    <n v="3.6557175925918273"/>
    <n v="-2"/>
    <n v="1"/>
  </r>
  <r>
    <s v="Cases &amp; Composites"/>
    <n v="111471"/>
    <s v="Ferdin Mustafa"/>
    <s v="Complete"/>
    <s v="Closed"/>
    <s v="1-Urgent"/>
    <m/>
    <s v="25FC062"/>
    <s v="Repair-EA"/>
    <s v="OTC"/>
    <s v="PW2000"/>
    <s v="AMO"/>
    <s v="75%"/>
    <d v="2025-02-28T05:00:00"/>
    <d v="2025-04-16T04:00:00"/>
    <d v="2025-04-16T04:00:00"/>
    <x v="51"/>
    <d v="2025-03-31T19:12:28"/>
    <m/>
    <d v="2025-03-20T04:00:00"/>
    <d v="2025-03-20T04:00:00"/>
    <d v="2025-03-20T04:00:00"/>
    <d v="2025-03-21T04:00:00"/>
    <n v="0"/>
    <n v="1"/>
    <n v="1"/>
    <n v="30.958333333328483"/>
    <n v="29.958333333328483"/>
    <n v="9"/>
    <n v="0"/>
    <n v="0"/>
    <n v="0"/>
    <n v="0"/>
    <n v="0"/>
    <n v="0"/>
    <n v="0"/>
    <n v="9"/>
    <n v="21.958333333328483"/>
    <n v="20.958333333328483"/>
    <n v="-16"/>
    <n v="1"/>
  </r>
  <r>
    <s v="Cases &amp; Composites"/>
    <n v="112241"/>
    <s v="Ferdin Mustafa"/>
    <s v="Complete"/>
    <s v="Closed"/>
    <s v="1-Urgent"/>
    <m/>
    <s v="25FC083"/>
    <s v="Repair-EA"/>
    <s v="OTC"/>
    <s v="PW2000"/>
    <s v="AMO"/>
    <m/>
    <d v="2025-04-04T04:00:00"/>
    <d v="2025-08-08T04:00:00"/>
    <d v="2025-08-08T04:00:00"/>
    <x v="11"/>
    <d v="2025-06-09T18:26:21"/>
    <m/>
    <d v="2025-05-05T04:00:00"/>
    <d v="2025-05-05T04:00:00"/>
    <d v="2025-05-09T04:00:00"/>
    <d v="2025-05-22T04:00:00"/>
    <n v="0"/>
    <n v="13"/>
    <n v="13"/>
    <n v="56"/>
    <n v="43"/>
    <n v="0"/>
    <n v="0"/>
    <n v="0"/>
    <n v="0"/>
    <n v="0"/>
    <n v="0"/>
    <n v="0"/>
    <n v="0"/>
    <n v="0"/>
    <n v="56"/>
    <n v="43"/>
    <n v="-70"/>
    <n v="1"/>
  </r>
  <r>
    <s v="Cases &amp; Composites"/>
    <n v="111746"/>
    <s v="Jia Chen"/>
    <s v="Complete"/>
    <s v="Closed"/>
    <s v="1-Urgent"/>
    <m/>
    <s v="25FC081"/>
    <s v="Repair-EA"/>
    <s v="OTC"/>
    <s v="PW2000"/>
    <s v="AMO"/>
    <s v="75%"/>
    <d v="2025-03-14T04:00:00"/>
    <d v="2025-07-25T04:00:00"/>
    <d v="2025-07-25T04:00:00"/>
    <x v="52"/>
    <d v="2025-07-14T19:14:27"/>
    <s v="Jul2025"/>
    <d v="2025-06-06T04:00:00"/>
    <d v="2025-06-06T04:00:00"/>
    <d v="2025-06-09T04:00:00"/>
    <d v="2025-06-30T04:00:00"/>
    <n v="0"/>
    <n v="21"/>
    <n v="21"/>
    <n v="122"/>
    <n v="101"/>
    <n v="4"/>
    <n v="0"/>
    <n v="0"/>
    <n v="0"/>
    <n v="0"/>
    <n v="0"/>
    <n v="0"/>
    <n v="0"/>
    <n v="4"/>
    <n v="118"/>
    <n v="97"/>
    <n v="-11"/>
    <n v="1"/>
  </r>
  <r>
    <s v="Cases &amp; Composites"/>
    <n v="112591"/>
    <s v="Francisco Astiasaran"/>
    <s v="Complete"/>
    <s v="Closed"/>
    <s v="1-Urgent"/>
    <m/>
    <s v="25FC103"/>
    <s v="Repair-EA"/>
    <s v="OTC"/>
    <s v="PW2000"/>
    <s v="AMO"/>
    <s v="50%"/>
    <d v="2025-04-22T04:00:00"/>
    <d v="2025-05-02T04:00:00"/>
    <d v="2025-05-02T04:00:00"/>
    <x v="53"/>
    <d v="2025-04-29T15:13:11"/>
    <m/>
    <m/>
    <m/>
    <m/>
    <m/>
    <s v=""/>
    <s v=""/>
    <n v="0"/>
    <n v="7"/>
    <n v="7"/>
    <n v="0"/>
    <n v="0"/>
    <n v="0"/>
    <n v="0"/>
    <n v="0"/>
    <n v="0"/>
    <n v="0"/>
    <n v="0"/>
    <n v="0"/>
    <n v="7"/>
    <n v="7"/>
    <n v="-3"/>
    <n v="1"/>
  </r>
  <r>
    <s v="Cases &amp; Composites"/>
    <s v="CAS-248143-B5W0M9"/>
    <s v="Ferdin Mustafa"/>
    <s v="Complete"/>
    <s v="Resolved"/>
    <s v="1-Urgent"/>
    <m/>
    <s v="25KC269"/>
    <s v="Repair-EA"/>
    <s v="OTC"/>
    <s v="PW4000"/>
    <s v="OCE"/>
    <s v="75%"/>
    <d v="2025-04-03T01:23:59"/>
    <d v="2025-06-06T04:00:00"/>
    <d v="2025-06-06T04:00:00"/>
    <x v="54"/>
    <d v="2025-05-20T18:31:22"/>
    <s v="May2025"/>
    <d v="2025-04-25T04:00:00"/>
    <d v="2025-04-25T04:00:00"/>
    <d v="2025-04-25T04:00:00"/>
    <d v="2025-05-16T04:00:00"/>
    <n v="0"/>
    <n v="21"/>
    <n v="21"/>
    <n v="47.108344907406718"/>
    <n v="26.108344907406718"/>
    <n v="16"/>
    <n v="0"/>
    <n v="0"/>
    <n v="0"/>
    <n v="0"/>
    <n v="0"/>
    <n v="2"/>
    <n v="0"/>
    <n v="18"/>
    <n v="29.108344907406718"/>
    <n v="8.1083449074067175"/>
    <n v="-17"/>
    <n v="1"/>
  </r>
  <r>
    <s v="Cases &amp; Composites"/>
    <n v="113115"/>
    <s v="Francisco Astiasaran"/>
    <s v="Complete"/>
    <s v="Closed"/>
    <s v="1-Urgent"/>
    <m/>
    <s v="25FC136"/>
    <s v="Repair-EA"/>
    <s v="OTC"/>
    <s v="PW2000"/>
    <s v="AMO"/>
    <s v="75%"/>
    <d v="2025-05-16T04:00:00"/>
    <d v="2025-06-20T04:00:00"/>
    <d v="2025-06-25T04:00:00"/>
    <x v="55"/>
    <d v="2025-06-26T14:20:48"/>
    <s v="Jun2025"/>
    <d v="2025-06-04T04:00:00"/>
    <d v="2025-06-04T04:00:00"/>
    <d v="2025-06-16T04:00:00"/>
    <d v="2025-06-18T04:00:00"/>
    <n v="0"/>
    <n v="2"/>
    <n v="2"/>
    <n v="41"/>
    <n v="39"/>
    <n v="0"/>
    <n v="0"/>
    <n v="0"/>
    <n v="0"/>
    <n v="0"/>
    <n v="0"/>
    <n v="0"/>
    <n v="0"/>
    <n v="0"/>
    <n v="41"/>
    <n v="39"/>
    <n v="6"/>
    <n v="0"/>
  </r>
  <r>
    <s v="Cases &amp; Composites"/>
    <n v="113451"/>
    <s v="Francisco Astiasaran"/>
    <s v="Complete"/>
    <s v="Closed"/>
    <s v="1-Urgent"/>
    <m/>
    <s v="25FC157"/>
    <s v="Repair-EA"/>
    <s v="OTC"/>
    <s v="PW2000"/>
    <s v="AMO"/>
    <s v="75%"/>
    <d v="2025-06-05T04:00:00"/>
    <d v="2025-06-27T04:00:00"/>
    <d v="2025-06-27T04:00:00"/>
    <x v="55"/>
    <d v="2025-06-26T18:40:56"/>
    <s v="Jun2025"/>
    <d v="2025-06-16T04:00:00"/>
    <d v="2025-06-16T04:00:00"/>
    <d v="2025-06-16T04:00:00"/>
    <d v="2025-06-24T04:00:00"/>
    <n v="0"/>
    <n v="8"/>
    <n v="8"/>
    <n v="21"/>
    <n v="13"/>
    <n v="0"/>
    <n v="0"/>
    <n v="0"/>
    <n v="0"/>
    <n v="0"/>
    <n v="0"/>
    <n v="0"/>
    <n v="0"/>
    <n v="0"/>
    <n v="21"/>
    <n v="13"/>
    <n v="-1"/>
    <n v="1"/>
  </r>
  <r>
    <s v="Cases &amp; Composites"/>
    <n v="113762"/>
    <s v="Francisco Astiasaran"/>
    <s v="Complete"/>
    <s v="Closed"/>
    <s v="1-Urgent"/>
    <m/>
    <s v="25FC058A"/>
    <s v="Repair-EA"/>
    <s v="OTC"/>
    <s v="PW2000"/>
    <s v="AMO"/>
    <s v="75%"/>
    <d v="2025-06-23T04:00:00"/>
    <d v="2025-07-11T04:00:00"/>
    <d v="2025-07-11T04:00:00"/>
    <x v="7"/>
    <d v="2025-06-27T14:38:40"/>
    <s v="Jun2025"/>
    <m/>
    <m/>
    <m/>
    <m/>
    <s v=""/>
    <s v=""/>
    <n v="0"/>
    <n v="4"/>
    <n v="4"/>
    <n v="0"/>
    <n v="0"/>
    <n v="0"/>
    <n v="0"/>
    <n v="0"/>
    <n v="0"/>
    <n v="0"/>
    <n v="0"/>
    <n v="0"/>
    <n v="4"/>
    <n v="4"/>
    <n v="-14"/>
    <n v="1"/>
  </r>
  <r>
    <s v="Cases &amp; Composites"/>
    <n v="112658"/>
    <s v="Jia Chen"/>
    <s v="Complete"/>
    <s v="Closed"/>
    <s v="1-Urgent"/>
    <m/>
    <s v="25FC174"/>
    <s v="Repair-EA"/>
    <s v="OTC"/>
    <s v="PW2000"/>
    <s v="AMO"/>
    <s v="75%"/>
    <d v="2025-04-24T04:00:00"/>
    <d v="2025-09-03T04:00:00"/>
    <d v="2025-09-03T04:00:00"/>
    <x v="56"/>
    <d v="2025-07-28T13:22:19"/>
    <s v="Sep2025"/>
    <d v="2025-07-16T04:00:00"/>
    <d v="2025-07-21T04:00:00"/>
    <d v="2025-07-21T04:00:00"/>
    <d v="2025-07-23T04:00:00"/>
    <n v="5"/>
    <n v="2"/>
    <n v="7"/>
    <n v="92"/>
    <n v="85"/>
    <n v="30"/>
    <n v="0"/>
    <n v="0"/>
    <n v="0"/>
    <n v="0"/>
    <n v="0"/>
    <n v="0"/>
    <n v="0"/>
    <n v="30"/>
    <n v="62"/>
    <n v="55"/>
    <n v="-40"/>
    <n v="1"/>
  </r>
  <r>
    <s v="Cases &amp; Composites"/>
    <s v="CAS-256190-V3N6Y5"/>
    <s v="Ferdin Mustafa"/>
    <s v="Complete"/>
    <s v="Resolved"/>
    <s v="1-Urgent"/>
    <m/>
    <s v="25AC102"/>
    <s v="Repair-EA"/>
    <s v="OTC"/>
    <s v="GP7000"/>
    <s v="GP7000"/>
    <s v="75%"/>
    <d v="2025-06-19T13:56:31"/>
    <d v="2025-06-27T04:00:00"/>
    <d v="2025-06-27T04:00:00"/>
    <x v="7"/>
    <d v="2025-06-27T17:21:52"/>
    <s v="Jun2025 DR# 02203582"/>
    <m/>
    <m/>
    <m/>
    <m/>
    <s v=""/>
    <s v=""/>
    <n v="0"/>
    <n v="7.5857523148151813"/>
    <n v="7.5857523148151813"/>
    <n v="0"/>
    <n v="0"/>
    <n v="0"/>
    <n v="0"/>
    <n v="0"/>
    <n v="0"/>
    <n v="0"/>
    <n v="0"/>
    <n v="0"/>
    <n v="7.5857523148151813"/>
    <n v="7.5857523148151813"/>
    <n v="0"/>
    <n v="1"/>
  </r>
  <r>
    <s v="Cases &amp; Composites"/>
    <n v="113333"/>
    <s v="Austin Bryant"/>
    <s v="Complete"/>
    <s v="Closed"/>
    <s v="1-Urgent"/>
    <m/>
    <s v="25FC190"/>
    <s v="Repair-EA"/>
    <s v="OTC"/>
    <s v="PW2000"/>
    <s v="F117"/>
    <s v="75%"/>
    <d v="2025-05-30T04:00:00"/>
    <d v="2025-07-28T04:00:00"/>
    <d v="2025-07-28T04:00:00"/>
    <x v="57"/>
    <d v="2025-07-21T18:28:39"/>
    <s v="Jul2025"/>
    <d v="2025-07-10T04:00:00"/>
    <d v="2025-07-10T04:00:00"/>
    <d v="2025-07-10T04:00:00"/>
    <d v="2025-07-10T04:00:00"/>
    <n v="0"/>
    <n v="0"/>
    <n v="0"/>
    <n v="47"/>
    <n v="47"/>
    <n v="0"/>
    <n v="0"/>
    <n v="0"/>
    <n v="0"/>
    <n v="0"/>
    <n v="0"/>
    <n v="0"/>
    <n v="0"/>
    <n v="0"/>
    <n v="47"/>
    <n v="47"/>
    <n v="-12"/>
    <n v="1"/>
  </r>
  <r>
    <s v="Cases &amp; Composites"/>
    <n v="114305"/>
    <s v="Francisco Astiasaran"/>
    <s v="Complete"/>
    <s v="Closed"/>
    <s v="1-Urgent"/>
    <m/>
    <s v="25FC204"/>
    <s v="Repair-EA"/>
    <s v="OTC"/>
    <s v="PW2000"/>
    <s v="AMO"/>
    <s v="75%"/>
    <d v="2025-07-21T04:00:00"/>
    <d v="2025-08-22T04:00:00"/>
    <d v="2025-07-31T04:00:00"/>
    <x v="58"/>
    <d v="2025-07-31T17:32:48"/>
    <s v="Aug2025"/>
    <d v="2025-07-28T04:00:00"/>
    <d v="2025-07-28T04:00:00"/>
    <d v="2025-07-28T04:00:00"/>
    <d v="2025-07-30T04:00:00"/>
    <n v="0"/>
    <n v="2"/>
    <n v="2"/>
    <n v="10"/>
    <n v="8"/>
    <n v="3"/>
    <n v="0"/>
    <n v="0"/>
    <n v="0"/>
    <n v="0"/>
    <n v="0"/>
    <n v="0"/>
    <n v="0"/>
    <n v="3"/>
    <n v="7"/>
    <n v="5"/>
    <n v="-22"/>
    <n v="1"/>
  </r>
  <r>
    <s v="Cases &amp; Composites"/>
    <n v="114136"/>
    <s v="Francisco Astiasaran"/>
    <s v="Complete"/>
    <s v="Open"/>
    <s v="1-Urgent"/>
    <m/>
    <s v="25FC207"/>
    <s v="Repair-EA"/>
    <s v="OTC"/>
    <s v="PW2000"/>
    <s v="AMO"/>
    <s v="50%"/>
    <d v="2025-07-10T04:00:00"/>
    <d v="2025-08-29T04:00:00"/>
    <d v="2025-07-31T04:00:00"/>
    <x v="59"/>
    <d v="2025-08-03T04:00:00"/>
    <s v="Aug2025"/>
    <d v="2025-07-28T04:00:00"/>
    <d v="2025-07-28T04:00:00"/>
    <d v="2025-07-30T04:00:00"/>
    <d v="2025-07-30T04:00:00"/>
    <n v="0"/>
    <n v="0"/>
    <n v="0"/>
    <n v="24"/>
    <n v="24"/>
    <n v="0"/>
    <n v="0"/>
    <n v="0"/>
    <n v="0"/>
    <n v="0"/>
    <n v="0"/>
    <n v="0"/>
    <n v="0"/>
    <n v="0"/>
    <n v="24"/>
    <n v="24"/>
    <n v="-26"/>
    <n v="1"/>
  </r>
  <r>
    <s v="Cases &amp; Composites"/>
    <s v="CAS-163741-T2H8B8"/>
    <s v="Pedro Iturrino"/>
    <s v="Complete"/>
    <s v="Resolved"/>
    <s v="2-Routine"/>
    <n v="1"/>
    <s v="22KC646"/>
    <s v="Repair-EA"/>
    <s v="OTC"/>
    <s v="PW4000"/>
    <s v="AMO"/>
    <m/>
    <d v="2022-11-17T20:44:57"/>
    <d v="2023-03-10T05:00:00"/>
    <d v="2024-04-12T04:00:00"/>
    <x v="60"/>
    <d v="2024-04-08T20:57:50"/>
    <s v="APR"/>
    <d v="2023-01-06T05:00:00"/>
    <d v="2023-04-14T04:00:00"/>
    <d v="2023-04-14T04:00:00"/>
    <d v="2023-05-19T04:00:00"/>
    <n v="97.958333333328483"/>
    <n v="35"/>
    <n v="132.95833333332848"/>
    <n v="507.30211805555155"/>
    <n v="374.34378472222306"/>
    <n v="0"/>
    <n v="0"/>
    <n v="0"/>
    <n v="0"/>
    <n v="0"/>
    <n v="45"/>
    <n v="0"/>
    <n v="112"/>
    <n v="157"/>
    <n v="350.30211805555155"/>
    <n v="217.34378472222306"/>
    <n v="394.95833333332848"/>
    <n v="0"/>
  </r>
  <r>
    <s v="Cases &amp; Composites"/>
    <s v="CAS-165815-M4Y1S2"/>
    <s v="Ferdin Mustafa"/>
    <s v="Complete"/>
    <s v="Resolved"/>
    <s v="2-Routine"/>
    <n v="1"/>
    <s v="23KC390"/>
    <s v="Repair-EA"/>
    <s v="OTC"/>
    <s v="PW4000"/>
    <s v="AMO"/>
    <m/>
    <d v="2022-12-13T10:25:03"/>
    <d v="2023-08-25T04:00:00"/>
    <d v="2024-02-02T05:00:00"/>
    <x v="61"/>
    <d v="2024-01-31T15:03:28"/>
    <m/>
    <d v="2023-07-06T04:00:00"/>
    <d v="2023-08-01T04:00:00"/>
    <d v="2023-08-01T04:00:00"/>
    <d v="2023-12-22T05:00:00"/>
    <n v="26"/>
    <n v="143.04166666667152"/>
    <n v="169.04166666667152"/>
    <n v="413.77427083333896"/>
    <n v="244.73260416666744"/>
    <n v="0"/>
    <n v="0"/>
    <n v="0"/>
    <n v="0"/>
    <n v="0"/>
    <n v="9"/>
    <n v="0"/>
    <n v="0"/>
    <n v="9"/>
    <n v="404.77427083333896"/>
    <n v="235.73260416666744"/>
    <n v="159.04166666667152"/>
    <n v="0"/>
  </r>
  <r>
    <s v="Cases &amp; Composites"/>
    <s v="CAS-192478-B0K2T1"/>
    <s v="Pedro Iturrino"/>
    <s v="Complete"/>
    <s v="Resolved"/>
    <s v="2-Routine"/>
    <n v="1"/>
    <s v="23KC555"/>
    <s v="Repair-EA"/>
    <s v="OTC"/>
    <s v="PW4000"/>
    <s v="AMO"/>
    <m/>
    <d v="2023-09-18T18:55:50"/>
    <d v="2024-01-19T05:00:00"/>
    <d v="2024-02-09T05:00:00"/>
    <x v="62"/>
    <d v="2024-01-30T13:45:52"/>
    <s v="JAN"/>
    <d v="2023-10-18T04:00:00"/>
    <d v="2023-11-06T05:00:00"/>
    <d v="2023-11-06T05:00:00"/>
    <d v="2023-11-06T05:00:00"/>
    <n v="19.041666666671517"/>
    <n v="0"/>
    <n v="19.041666666671517"/>
    <n v="132.41956018518977"/>
    <n v="113.37789351851825"/>
    <n v="0"/>
    <n v="0"/>
    <n v="0"/>
    <n v="0"/>
    <n v="0"/>
    <n v="0"/>
    <n v="0"/>
    <n v="10"/>
    <n v="10"/>
    <n v="122.41956018518977"/>
    <n v="103.37789351851825"/>
    <n v="10"/>
    <n v="0"/>
  </r>
  <r>
    <s v="Cases &amp; Composites"/>
    <s v="MSG-230809-1EA69A"/>
    <s v="Ferdin Mustafa"/>
    <s v="Complete"/>
    <s v="Complete"/>
    <s v="2-Routine"/>
    <n v="1"/>
    <s v="23CCQ98"/>
    <s v="Repair-EA"/>
    <s v="EM"/>
    <s v="PW1000G"/>
    <s v="PIP"/>
    <m/>
    <d v="2023-08-09T04:00:00"/>
    <d v="2023-12-22T05:00:00"/>
    <d v="2025-01-08T05:00:00"/>
    <x v="63"/>
    <d v="2025-01-08T14:16:12"/>
    <s v="January - Evaluate and substantiate continued viability of subject Cat3a DMCs in CIR manual PN 5315653 for applicability GTFA models and run parameters.  Review latest ESW and update as necessary"/>
    <d v="2023-10-04T04:00:00"/>
    <d v="2024-09-30T04:00:00"/>
    <d v="2024-09-30T04:00:00"/>
    <d v="2024-12-22T05:00:00"/>
    <n v="362"/>
    <n v="83.041666666671517"/>
    <n v="445.04166666667152"/>
    <n v="517.04166666667152"/>
    <n v="72"/>
    <n v="0"/>
    <n v="0"/>
    <n v="0"/>
    <n v="0"/>
    <n v="0"/>
    <n v="208.99278038194461"/>
    <n v="14.163330127310473"/>
    <n v="0"/>
    <n v="223.15611050925509"/>
    <n v="293.88555615741643"/>
    <n v="-151.15611050925509"/>
    <n v="382"/>
    <n v="0"/>
  </r>
  <r>
    <s v="Cases &amp; Composites"/>
    <s v="MSG-230927-FA2DFA"/>
    <s v="Orlando Melendez Colon"/>
    <s v="Complete"/>
    <s v="Complete"/>
    <s v="2-Routine"/>
    <n v="1"/>
    <s v="23VC441"/>
    <s v="Repair-EA"/>
    <s v="EM"/>
    <s v="V2500"/>
    <s v="V2500"/>
    <m/>
    <d v="2023-09-27T04:00:00"/>
    <d v="2023-10-27T04:00:00"/>
    <d v="2024-02-29T05:00:00"/>
    <x v="64"/>
    <d v="2024-03-01T02:04:54"/>
    <s v="feb"/>
    <m/>
    <m/>
    <m/>
    <m/>
    <s v=""/>
    <s v=""/>
    <n v="0"/>
    <n v="153.04166666667152"/>
    <n v="153.04166666667152"/>
    <n v="0"/>
    <n v="0"/>
    <n v="0"/>
    <n v="0"/>
    <n v="0"/>
    <n v="0"/>
    <n v="0"/>
    <n v="0"/>
    <n v="0"/>
    <n v="153.04166666667152"/>
    <n v="153.04166666667152"/>
    <n v="123.04166666667152"/>
    <n v="0"/>
  </r>
  <r>
    <s v="Cases &amp; Composites"/>
    <s v="CAS-196388-L0G1Y1"/>
    <s v="Tyler Abusbah"/>
    <s v="Complete"/>
    <s v="Resolved"/>
    <s v="2-Routine"/>
    <n v="1"/>
    <s v="23CCV05"/>
    <s v="Repair-EA"/>
    <s v="OTC"/>
    <s v="PW1000G"/>
    <s v="30K"/>
    <m/>
    <d v="2023-10-26T16:14:39"/>
    <d v="2024-01-26T05:00:00"/>
    <d v="2024-06-20T04:00:00"/>
    <x v="65"/>
    <d v="2024-06-14T14:18:03"/>
    <s v="IDC. June"/>
    <d v="2024-01-23T05:00:00"/>
    <d v="2024-02-29T05:00:00"/>
    <d v="2024-02-29T05:00:00"/>
    <d v="2024-06-12T04:00:00"/>
    <n v="37"/>
    <n v="103.95833333332848"/>
    <n v="140.95833333332848"/>
    <n v="231.48982638888992"/>
    <n v="90.531493055561441"/>
    <n v="0"/>
    <n v="0"/>
    <n v="0"/>
    <n v="0"/>
    <n v="0"/>
    <n v="0"/>
    <n v="0"/>
    <n v="0"/>
    <n v="0"/>
    <n v="231.48982638888992"/>
    <n v="90.531493055561441"/>
    <n v="139.95833333332848"/>
    <n v="0"/>
  </r>
  <r>
    <s v="Cases &amp; Composites"/>
    <s v="CAS-197405-N1T5T8"/>
    <s v="Pedro Iturrino"/>
    <s v="Complete"/>
    <s v="Resolved"/>
    <s v="2-Routine"/>
    <n v="1"/>
    <s v="23KC614"/>
    <s v="Repair-EA"/>
    <s v="OTC"/>
    <s v="PW4000"/>
    <s v="AMO"/>
    <m/>
    <d v="2023-11-06T16:06:30"/>
    <d v="2024-03-20T04:00:00"/>
    <d v="2024-04-26T04:00:00"/>
    <x v="66"/>
    <d v="2024-04-23T21:24:43"/>
    <s v="APR"/>
    <d v="2023-12-01T05:00:00"/>
    <d v="2024-02-01T05:00:00"/>
    <d v="2024-02-01T05:00:00"/>
    <d v="2024-03-22T04:00:00"/>
    <n v="62"/>
    <n v="49.958333333328483"/>
    <n v="111.95833333332848"/>
    <n v="168.49548611111095"/>
    <n v="56.537152777782467"/>
    <n v="0"/>
    <n v="0"/>
    <n v="0"/>
    <n v="0"/>
    <n v="0"/>
    <n v="20"/>
    <n v="0"/>
    <n v="0"/>
    <n v="20"/>
    <n v="148.49548611111095"/>
    <n v="36.537152777782467"/>
    <n v="34"/>
    <n v="0"/>
  </r>
  <r>
    <s v="Cases &amp; Composites"/>
    <s v="CAS-195198-G9T8C2"/>
    <s v="Orlando Melendez Colon"/>
    <s v="Complete"/>
    <s v="Resolved"/>
    <s v="2-Routine"/>
    <n v="1"/>
    <s v="23VG359"/>
    <s v="Repair-EA"/>
    <s v="OTC"/>
    <s v="V2500"/>
    <s v="V2500"/>
    <m/>
    <d v="2023-10-16T14:03:17"/>
    <d v="2024-03-13T04:00:00"/>
    <d v="2024-04-12T04:00:00"/>
    <x v="67"/>
    <d v="2024-04-10T00:33:46"/>
    <s v="Apr"/>
    <d v="2023-12-13T05:00:00"/>
    <d v="2024-01-19T05:00:00"/>
    <d v="2024-01-19T05:00:00"/>
    <d v="2024-04-04T04:00:00"/>
    <n v="37"/>
    <n v="75.958333333328483"/>
    <n v="112.95833333332848"/>
    <n v="175.58105324074131"/>
    <n v="62.622719907412829"/>
    <n v="0"/>
    <n v="0"/>
    <n v="0"/>
    <n v="0"/>
    <n v="0"/>
    <n v="22"/>
    <n v="0"/>
    <n v="0"/>
    <n v="22"/>
    <n v="153.58105324074131"/>
    <n v="40.622719907412829"/>
    <n v="27"/>
    <n v="0"/>
  </r>
  <r>
    <s v="Cases &amp; Composites"/>
    <s v="CAS-200911-V2N2B7"/>
    <s v="Jia Chen"/>
    <s v="Complete"/>
    <s v="Resolved"/>
    <s v="2-Routine"/>
    <n v="1"/>
    <s v="23KC658"/>
    <s v="Repair-EA"/>
    <s v="OTC"/>
    <s v="PW4000"/>
    <s v="AMO"/>
    <m/>
    <d v="2023-12-11T23:39:09"/>
    <d v="2024-02-22T05:00:00"/>
    <d v="2024-02-22T05:00:00"/>
    <x v="68"/>
    <d v="2024-02-09T19:05:27"/>
    <s v="FEB2"/>
    <d v="2024-01-09T05:00:00"/>
    <d v="2024-01-10T05:00:00"/>
    <d v="2024-01-10T05:00:00"/>
    <d v="2024-02-07T05:00:00"/>
    <n v="1"/>
    <n v="28"/>
    <n v="29"/>
    <n v="59.222812500003783"/>
    <n v="30.222812500003783"/>
    <n v="0"/>
    <n v="0"/>
    <n v="0"/>
    <n v="0"/>
    <n v="0"/>
    <n v="0"/>
    <n v="0"/>
    <n v="0"/>
    <n v="0"/>
    <n v="59.222812500003783"/>
    <n v="30.222812500003783"/>
    <n v="-13"/>
    <n v="1"/>
  </r>
  <r>
    <s v="Cases &amp; Composites"/>
    <s v="CAS-200647-C0G3W2"/>
    <s v="Ferdin Mustafa"/>
    <s v="Complete"/>
    <s v="Resolved"/>
    <s v="2-Routine"/>
    <n v="1"/>
    <s v="24KC026"/>
    <s v="Repair-EA"/>
    <s v="OTC"/>
    <s v="PW4000"/>
    <s v="AMO"/>
    <m/>
    <d v="2023-12-08T13:22:50"/>
    <d v="2024-03-08T05:00:00"/>
    <d v="2024-02-23T05:00:00"/>
    <x v="69"/>
    <d v="2024-01-26T16:04:13"/>
    <m/>
    <d v="2024-01-09T05:00:00"/>
    <d v="2024-01-09T05:00:00"/>
    <d v="2024-01-09T05:00:00"/>
    <d v="2024-01-09T05:00:00"/>
    <n v="0"/>
    <n v="0"/>
    <n v="0"/>
    <n v="48.650810185186856"/>
    <n v="48.650810185186856"/>
    <n v="0"/>
    <n v="0"/>
    <n v="0"/>
    <n v="0"/>
    <n v="0"/>
    <n v="0"/>
    <n v="0"/>
    <n v="0"/>
    <n v="0"/>
    <n v="48.650810185186856"/>
    <n v="48.650810185186856"/>
    <n v="-42"/>
    <n v="1"/>
  </r>
  <r>
    <s v="Cases &amp; Composites"/>
    <s v="MSG-240111-F5E3BB"/>
    <s v="Francisco Astiasaran"/>
    <s v="Complete"/>
    <s v="Complete"/>
    <s v="2-Routine"/>
    <n v="1"/>
    <s v="11CC131B"/>
    <s v="Repair-EA"/>
    <s v="EM"/>
    <s v="PW1000G"/>
    <s v="PIP"/>
    <m/>
    <d v="2024-01-11T05:00:00"/>
    <d v="2024-04-15T04:00:00"/>
    <d v="2024-12-20T05:00:00"/>
    <x v="70"/>
    <d v="2024-12-19T19:13:28"/>
    <s v="DEC. Due to DesMet has concerns on the adhesive in 20CCK95A and 11CC131A, some additional validation and testing is needed to confirm tasks applicability. "/>
    <m/>
    <m/>
    <m/>
    <m/>
    <s v=""/>
    <s v=""/>
    <n v="0"/>
    <n v="343"/>
    <n v="343"/>
    <n v="0"/>
    <n v="0"/>
    <n v="0"/>
    <n v="0"/>
    <n v="0"/>
    <n v="0"/>
    <n v="0"/>
    <n v="111.80105909721897"/>
    <n v="111.80105909721897"/>
    <n v="231.19894090278103"/>
    <n v="231.19894090278103"/>
    <n v="248.04166666667152"/>
    <n v="0"/>
  </r>
  <r>
    <s v="Cases &amp; Composites"/>
    <s v="MSG-240117-BC4B80"/>
    <s v="Ferdin Mustafa"/>
    <s v="Complete"/>
    <s v="Complete"/>
    <s v="2-Routine"/>
    <n v="1"/>
    <s v="16CC311B"/>
    <s v="Repair-EA"/>
    <s v="MR"/>
    <s v="PW1000G"/>
    <s v="30K"/>
    <s v="75%"/>
    <d v="2024-01-17T05:00:00"/>
    <d v="2024-04-12T04:00:00"/>
    <d v="2025-02-07T05:00:00"/>
    <x v="71"/>
    <d v="2025-01-16T18:54:43"/>
    <s v="HPT Case"/>
    <m/>
    <m/>
    <m/>
    <m/>
    <s v=""/>
    <s v=""/>
    <n v="0"/>
    <n v="357"/>
    <n v="357"/>
    <n v="0"/>
    <n v="0"/>
    <n v="4.2837456828710856"/>
    <n v="0"/>
    <n v="0"/>
    <n v="0"/>
    <n v="0"/>
    <n v="0"/>
    <n v="4.2837456828710856"/>
    <n v="352.71625431712891"/>
    <n v="352.71625431712891"/>
    <n v="271.04166666667152"/>
    <n v="0"/>
  </r>
  <r>
    <s v="Cases &amp; Composites"/>
    <s v="CAS-202845-P9X0S6"/>
    <s v="Pedro Iturrino"/>
    <s v="Complete"/>
    <s v="Resolved"/>
    <s v="2-Routine"/>
    <n v="1"/>
    <s v="24CC671"/>
    <s v="Repair-EA"/>
    <s v="OTC"/>
    <s v="PW1000G"/>
    <s v="30K"/>
    <m/>
    <d v="2024-01-04T21:33:06"/>
    <d v="2024-04-26T04:00:00"/>
    <d v="2024-05-31T04:00:00"/>
    <x v="72"/>
    <d v="2024-05-21T13:08:43"/>
    <s v="IDCMAY"/>
    <d v="2024-03-28T04:00:00"/>
    <d v="2024-04-22T04:00:00"/>
    <d v="2024-04-22T04:00:00"/>
    <d v="2024-04-28T04:00:00"/>
    <n v="25"/>
    <n v="6"/>
    <n v="31"/>
    <n v="136.26868055554951"/>
    <n v="105.26868055554951"/>
    <n v="0"/>
    <n v="0"/>
    <n v="0"/>
    <n v="0"/>
    <n v="0"/>
    <n v="20.037145474540011"/>
    <n v="0"/>
    <n v="0"/>
    <n v="20.037145474540011"/>
    <n v="116.2315350810095"/>
    <n v="85.231535081009497"/>
    <n v="24"/>
    <n v="0"/>
  </r>
  <r>
    <s v="Cases &amp; Composites"/>
    <s v="CAS-204477-B6P7F6"/>
    <s v="Pedro Iturrino"/>
    <s v="Complete"/>
    <s v="Resolved"/>
    <s v="2-Routine"/>
    <n v="1"/>
    <s v="24KC105"/>
    <s v="Repair-EA"/>
    <s v="OTC"/>
    <s v="PW4000"/>
    <s v="AMO"/>
    <m/>
    <d v="2024-01-22T20:58:54"/>
    <d v="2024-06-14T04:00:00"/>
    <d v="2024-08-02T04:00:00"/>
    <x v="73"/>
    <d v="2024-07-25T19:12:25"/>
    <s v="July"/>
    <d v="2024-02-27T05:00:00"/>
    <d v="2024-05-13T04:00:00"/>
    <d v="2024-05-13T04:00:00"/>
    <d v="2024-06-26T04:00:00"/>
    <n v="75.958333333328483"/>
    <n v="44"/>
    <n v="119.95833333332848"/>
    <n v="184.2924305555498"/>
    <n v="64.334097222221317"/>
    <n v="0"/>
    <n v="0"/>
    <n v="0"/>
    <n v="0"/>
    <n v="0"/>
    <n v="49"/>
    <n v="3"/>
    <n v="0"/>
    <n v="52"/>
    <n v="132.2924305555498"/>
    <n v="12.334097222221317"/>
    <n v="41"/>
    <n v="0"/>
  </r>
  <r>
    <s v="Cases &amp; Composites"/>
    <s v="MSG-240209-739172"/>
    <s v="Jia Chen"/>
    <s v="Complete"/>
    <s v="Complete"/>
    <s v="2-Routine"/>
    <n v="1"/>
    <s v="23VC522A"/>
    <s v="Repair-EA"/>
    <s v="OTC"/>
    <s v="V2500"/>
    <s v="AMO"/>
    <m/>
    <d v="2024-02-09T05:00:00"/>
    <d v="2024-02-14T05:00:00"/>
    <d v="2024-02-20T05:00:00"/>
    <x v="74"/>
    <d v="2024-02-19T22:40:56"/>
    <m/>
    <m/>
    <m/>
    <m/>
    <m/>
    <s v=""/>
    <s v=""/>
    <n v="0"/>
    <n v="10"/>
    <n v="10"/>
    <n v="0"/>
    <n v="0"/>
    <n v="0"/>
    <n v="0"/>
    <n v="0"/>
    <n v="0"/>
    <n v="0"/>
    <n v="0"/>
    <n v="0"/>
    <n v="10"/>
    <n v="10"/>
    <n v="5"/>
    <n v="0"/>
  </r>
  <r>
    <s v="Cases &amp; Composites"/>
    <s v="CAS-206329-W3L9V4"/>
    <s v="Ferdin Mustafa"/>
    <s v="Complete"/>
    <s v="Resolved"/>
    <s v="2-Routine"/>
    <n v="1"/>
    <s v="24KC094"/>
    <s v="Repair-EA"/>
    <s v="OTC"/>
    <s v="PW4000"/>
    <s v="OCE"/>
    <m/>
    <d v="2024-02-09T18:11:31"/>
    <d v="2024-04-11T04:00:00"/>
    <d v="2024-04-25T04:00:00"/>
    <x v="75"/>
    <d v="2024-04-24T13:23:26"/>
    <s v="Apr"/>
    <d v="2024-03-01T05:00:00"/>
    <d v="2024-03-04T05:00:00"/>
    <d v="2024-03-04T05:00:00"/>
    <d v="2024-03-28T04:00:00"/>
    <n v="3"/>
    <n v="23.958333333328483"/>
    <n v="26.958333333328483"/>
    <n v="69.408668981479423"/>
    <n v="42.45033564815094"/>
    <n v="0"/>
    <n v="0"/>
    <n v="0"/>
    <n v="0"/>
    <n v="0"/>
    <n v="0"/>
    <n v="0"/>
    <n v="6"/>
    <n v="6"/>
    <n v="63.408668981479423"/>
    <n v="36.45033564815094"/>
    <n v="8"/>
    <n v="0"/>
  </r>
  <r>
    <s v="Cases &amp; Composites"/>
    <s v="CAS-206596-R2J3W6"/>
    <s v="Robert Thompson"/>
    <s v="Complete"/>
    <s v="Resolved"/>
    <s v="2-Routine"/>
    <n v="1"/>
    <s v="24CC476"/>
    <s v="Repair-EA"/>
    <s v="MR"/>
    <s v="PW1000G"/>
    <s v="24K"/>
    <m/>
    <d v="2024-02-13T17:35:55"/>
    <d v="2024-05-20T04:00:00"/>
    <d v="2024-04-29T04:00:00"/>
    <x v="76"/>
    <d v="2024-04-29T13:58:33"/>
    <s v="Apr"/>
    <d v="2024-02-21T05:00:00"/>
    <d v="2024-02-26T05:00:00"/>
    <d v="2024-02-26T05:00:00"/>
    <d v="2024-03-08T05:00:00"/>
    <n v="5"/>
    <n v="11"/>
    <n v="16"/>
    <n v="71.43339120370365"/>
    <n v="55.43339120370365"/>
    <n v="0"/>
    <n v="0"/>
    <n v="0"/>
    <n v="0"/>
    <n v="0"/>
    <n v="0"/>
    <n v="0"/>
    <n v="0"/>
    <n v="0"/>
    <n v="71.43339120370365"/>
    <n v="55.43339120370365"/>
    <n v="-25"/>
    <n v="1"/>
  </r>
  <r>
    <s v="Cases &amp; Composites"/>
    <s v="MSG-240304-2C6BB7"/>
    <s v="Ferdin Mustafa"/>
    <s v="Complete"/>
    <s v="Complete"/>
    <s v="2-Routine"/>
    <n v="1"/>
    <s v="22KC638A"/>
    <s v="Repair-EA"/>
    <s v="OTC"/>
    <s v="PW4000"/>
    <s v="OCE"/>
    <m/>
    <d v="2024-03-04T05:00:00"/>
    <d v="2024-04-05T04:00:00"/>
    <d v="2024-03-20T04:00:00"/>
    <x v="77"/>
    <d v="2024-03-28T12:33:31"/>
    <m/>
    <m/>
    <m/>
    <m/>
    <m/>
    <s v=""/>
    <s v=""/>
    <n v="0"/>
    <n v="16.958333333328483"/>
    <n v="16.958333333328483"/>
    <n v="0"/>
    <n v="0"/>
    <n v="0"/>
    <n v="0"/>
    <n v="0"/>
    <n v="0"/>
    <n v="0"/>
    <n v="0"/>
    <n v="0"/>
    <n v="16.958333333328483"/>
    <n v="16.958333333328483"/>
    <n v="-15"/>
    <n v="1"/>
  </r>
  <r>
    <s v="Cases &amp; Composites"/>
    <s v="CAS-208479-S9T6P8"/>
    <s v="Jia Chen"/>
    <s v="Complete"/>
    <s v="Resolved"/>
    <s v="2-Routine"/>
    <n v="1"/>
    <s v="22FC288B"/>
    <s v="Repair-EA"/>
    <s v="OTC"/>
    <s v="PW2000"/>
    <s v="AMO"/>
    <m/>
    <d v="2024-03-04T16:19:03"/>
    <d v="2024-06-21T04:00:00"/>
    <d v="2024-05-21T04:00:00"/>
    <x v="78"/>
    <d v="2024-05-14T13:22:19"/>
    <s v="May"/>
    <d v="2024-04-01T04:00:00"/>
    <d v="2024-04-29T04:00:00"/>
    <d v="2024-04-29T04:00:00"/>
    <d v="2024-04-29T04:00:00"/>
    <n v="28"/>
    <n v="0"/>
    <n v="28"/>
    <n v="69.486770833333139"/>
    <n v="41.486770833333139"/>
    <n v="0"/>
    <n v="0"/>
    <n v="0"/>
    <n v="0"/>
    <n v="0"/>
    <n v="17"/>
    <n v="0"/>
    <n v="0"/>
    <n v="17"/>
    <n v="52.486770833333139"/>
    <n v="24.486770833333139"/>
    <n v="-39"/>
    <n v="1"/>
  </r>
  <r>
    <s v="Cases &amp; Composites"/>
    <s v="MSG-240126-5A47AC"/>
    <s v="Francisco Astiasaran"/>
    <s v="Complete"/>
    <s v="Complete"/>
    <s v="2-Routine"/>
    <n v="1"/>
    <s v="20CCK95C"/>
    <s v="Repair-EA"/>
    <s v="MR"/>
    <s v="PW1000G"/>
    <s v="PIP"/>
    <m/>
    <d v="2024-01-26T05:00:00"/>
    <d v="2025-01-03T05:00:00"/>
    <d v="2025-01-13T05:00:00"/>
    <x v="79"/>
    <d v="2025-01-14T19:33:55"/>
    <s v="JAN. Utilize learning from 11CC131B to evaluate and substantiate 20CCK95 continued viability of subject DMC for applicability to GTFA models and parameters."/>
    <m/>
    <m/>
    <m/>
    <m/>
    <s v=""/>
    <s v=""/>
    <n v="0"/>
    <n v="354"/>
    <n v="354"/>
    <n v="0"/>
    <n v="0"/>
    <n v="0"/>
    <n v="0"/>
    <n v="0"/>
    <n v="0"/>
    <n v="0"/>
    <n v="121.97776807870832"/>
    <n v="121.97776807870832"/>
    <n v="232.02223192129168"/>
    <n v="232.02223192129168"/>
    <n v="11"/>
    <n v="0"/>
  </r>
  <r>
    <s v="Cases &amp; Composites"/>
    <n v="104240"/>
    <s v="Robert Thompson"/>
    <s v="Complete"/>
    <s v="Closed"/>
    <s v="2-Routine"/>
    <n v="1"/>
    <s v="24FC082"/>
    <s v="Repair-EA"/>
    <s v="EM"/>
    <s v="PW2000"/>
    <s v="AMO"/>
    <m/>
    <d v="2024-02-21T05:00:00"/>
    <d v="2024-05-31T04:00:00"/>
    <d v="2024-10-11T04:00:00"/>
    <x v="80"/>
    <d v="2024-09-27T18:10:01"/>
    <s v="Sept"/>
    <d v="2024-04-19T04:00:00"/>
    <d v="2024-05-02T04:00:00"/>
    <d v="2024-05-02T04:00:00"/>
    <d v="2024-07-10T04:00:00"/>
    <n v="13"/>
    <n v="69"/>
    <n v="82"/>
    <n v="218.95833333332848"/>
    <n v="136.95833333332848"/>
    <n v="0"/>
    <n v="0"/>
    <n v="0"/>
    <n v="0"/>
    <n v="0"/>
    <n v="0"/>
    <n v="0"/>
    <n v="0"/>
    <n v="0"/>
    <n v="218.95833333332848"/>
    <n v="136.95833333332848"/>
    <n v="119"/>
    <n v="0"/>
  </r>
  <r>
    <s v="Cases &amp; Composites"/>
    <s v="CAS-208608-D5H3S9"/>
    <s v="Orlando Melendez Colon"/>
    <s v="Complete"/>
    <s v="Resolved"/>
    <s v="2-Routine"/>
    <n v="1"/>
    <s v="24VG054"/>
    <s v="Repair-EA"/>
    <s v="OTC"/>
    <s v="V2500"/>
    <s v="V2500"/>
    <m/>
    <d v="2024-03-05T17:56:49"/>
    <d v="2024-03-20T04:00:00"/>
    <d v="2024-03-21T04:00:00"/>
    <x v="1"/>
    <d v="2024-03-21T18:29:11"/>
    <m/>
    <d v="2024-03-14T04:00:00"/>
    <d v="2024-03-14T04:00:00"/>
    <d v="2024-03-14T04:00:00"/>
    <d v="2024-03-14T04:00:00"/>
    <n v="0"/>
    <n v="0"/>
    <n v="0"/>
    <n v="13.418877314812562"/>
    <n v="13.418877314812562"/>
    <n v="0"/>
    <n v="0"/>
    <n v="0"/>
    <n v="0"/>
    <n v="0"/>
    <n v="0"/>
    <n v="0"/>
    <n v="0"/>
    <n v="0"/>
    <n v="13.418877314812562"/>
    <n v="13.418877314812562"/>
    <n v="-1"/>
    <n v="1"/>
  </r>
  <r>
    <s v="Cases &amp; Composites"/>
    <s v="CAS-208623-D6W7J1"/>
    <s v="Orlando Melendez Colon"/>
    <s v="Complete"/>
    <s v="Resolved"/>
    <s v="2-Routine"/>
    <n v="1"/>
    <s v="24VG055"/>
    <s v="Repair-EA"/>
    <s v="OTC"/>
    <s v="V2500"/>
    <s v="V2500"/>
    <m/>
    <d v="2024-03-05T20:06:54"/>
    <d v="2024-03-25T04:00:00"/>
    <d v="2024-03-25T04:00:00"/>
    <x v="81"/>
    <d v="2024-03-25T17:36:49"/>
    <s v="Mar"/>
    <d v="2024-03-14T04:00:00"/>
    <d v="2024-03-21T04:00:00"/>
    <d v="2024-03-21T04:00:00"/>
    <d v="2024-03-21T04:00:00"/>
    <n v="7"/>
    <n v="0"/>
    <n v="7"/>
    <n v="19.328541666662204"/>
    <n v="12.328541666662204"/>
    <n v="0"/>
    <n v="0"/>
    <n v="0"/>
    <n v="0"/>
    <n v="0"/>
    <n v="0"/>
    <n v="0"/>
    <n v="0"/>
    <n v="0"/>
    <n v="19.328541666662204"/>
    <n v="12.328541666662204"/>
    <n v="0"/>
    <n v="1"/>
  </r>
  <r>
    <s v="Cases &amp; Composites"/>
    <s v="CAS-209796-H6R0L6"/>
    <s v="Jia Chen"/>
    <s v="Complete"/>
    <s v="Resolved"/>
    <s v="2-Routine"/>
    <n v="1"/>
    <s v="24VC110"/>
    <s v="Repair-EA"/>
    <s v="OTC"/>
    <s v="V2500"/>
    <s v="V2500"/>
    <m/>
    <d v="2024-03-18T18:51:25"/>
    <d v="2024-08-14T04:00:00"/>
    <d v="2024-08-20T04:00:00"/>
    <x v="82"/>
    <d v="2024-08-16T15:37:41"/>
    <s v="Aug"/>
    <d v="2024-04-02T04:00:00"/>
    <d v="2024-04-16T04:00:00"/>
    <d v="2024-04-16T04:00:00"/>
    <d v="2024-07-12T04:00:00"/>
    <n v="14"/>
    <n v="87"/>
    <n v="101"/>
    <n v="149.38096064814454"/>
    <n v="48.380960648144537"/>
    <n v="0"/>
    <n v="0"/>
    <n v="0"/>
    <n v="0"/>
    <n v="0"/>
    <n v="0"/>
    <n v="0"/>
    <n v="0"/>
    <n v="0"/>
    <n v="149.38096064814454"/>
    <n v="48.380960648144537"/>
    <n v="1"/>
    <n v="0"/>
  </r>
  <r>
    <s v="Cases &amp; Composites"/>
    <s v="MSG-240126-167421"/>
    <s v="Ferdin Mustafa"/>
    <s v="Complete"/>
    <s v="Complete"/>
    <s v="2-Routine"/>
    <n v="1"/>
    <s v="24CCS07"/>
    <s v="Repair-EA"/>
    <s v="MR"/>
    <s v="PW1000G"/>
    <s v="PIP"/>
    <m/>
    <d v="2024-01-26T05:00:00"/>
    <d v="2025-07-04T04:00:00"/>
    <d v="2025-01-17T05:00:00"/>
    <x v="83"/>
    <d v="2025-01-14T14:22:45"/>
    <s v="January - Task needs to be updated to latest PN....Add Evaluation and substantiation of subject DMCs for applicability to GTFA models and parameters. Ensure repairable limits are within requirements and evaluate options for limit expansion."/>
    <d v="2024-11-12T05:00:00"/>
    <d v="2024-11-22T05:00:00"/>
    <d v="2024-11-22T05:00:00"/>
    <d v="2024-12-20T05:00:00"/>
    <n v="10"/>
    <n v="28"/>
    <n v="38"/>
    <n v="353"/>
    <n v="315"/>
    <n v="0"/>
    <n v="0"/>
    <n v="7.208712650462985"/>
    <n v="0"/>
    <n v="29.728673784724378"/>
    <n v="0"/>
    <n v="0"/>
    <n v="6.0158679398155073"/>
    <n v="42.953254375002871"/>
    <n v="310.04674562499713"/>
    <n v="272.04674562499713"/>
    <n v="-171.95833333332848"/>
    <n v="1"/>
  </r>
  <r>
    <s v="Cases &amp; Composites"/>
    <s v="MSG-240126-C508DD"/>
    <s v="Bruce Zoyaar"/>
    <s v="Complete"/>
    <s v="Complete"/>
    <s v="2-Routine"/>
    <n v="1"/>
    <s v="19CCD54A"/>
    <s v="Repair-EA"/>
    <s v="MR"/>
    <s v="PW1000G"/>
    <s v="PIP"/>
    <s v="75%"/>
    <d v="2024-01-26T05:00:00"/>
    <d v="2024-12-11T05:00:00"/>
    <d v="2025-01-14T05:00:00"/>
    <x v="84"/>
    <d v="2025-01-17T20:51:56"/>
    <s v="Task needs to be updated to latest PN....Add Evaluation and substantiation of subject DMCs for applicability to GTFA models and parameters. Ensure repairable limits are within requirements and evaluate options for limit expansion."/>
    <d v="2024-11-18T05:00:00"/>
    <d v="2024-11-22T05:00:00"/>
    <d v="2024-11-22T05:00:00"/>
    <d v="2024-12-20T05:00:00"/>
    <n v="4"/>
    <n v="28"/>
    <n v="32"/>
    <n v="357"/>
    <n v="325"/>
    <n v="0"/>
    <n v="0"/>
    <n v="0"/>
    <n v="0"/>
    <n v="0"/>
    <n v="0"/>
    <n v="0"/>
    <n v="0"/>
    <n v="0"/>
    <n v="357"/>
    <n v="325"/>
    <n v="37"/>
    <n v="0"/>
  </r>
  <r>
    <s v="Cases &amp; Composites"/>
    <s v="MSG-240126-DEECB9"/>
    <s v="Bruce Zoyaar"/>
    <s v="Complete"/>
    <s v="Complete"/>
    <s v="2-Routine"/>
    <n v="1"/>
    <s v="22CCD52C"/>
    <s v="Repair-EA"/>
    <s v="MR"/>
    <s v="PW1000G"/>
    <s v="PIP"/>
    <m/>
    <d v="2024-01-26T05:00:00"/>
    <d v="2024-10-03T04:00:00"/>
    <d v="2025-01-28T05:00:00"/>
    <x v="84"/>
    <d v="2025-01-17T15:59:25"/>
    <s v="Evaluate and substantiate continued viability of subject DMCs for applicability to GTFA model and parameters. Ensure stack up allowances with GTFA config as well as repairable limits meet requirements. Evaluate options for limit expansion."/>
    <d v="2024-10-11T04:00:00"/>
    <d v="2024-11-07T05:00:00"/>
    <d v="2024-11-07T05:00:00"/>
    <d v="2025-01-10T05:00:00"/>
    <n v="27.041666666671517"/>
    <n v="64"/>
    <n v="91.041666666671517"/>
    <n v="357"/>
    <n v="265.95833333332848"/>
    <n v="0"/>
    <n v="0"/>
    <n v="0"/>
    <n v="0"/>
    <n v="0"/>
    <n v="72.15351572916552"/>
    <n v="0"/>
    <n v="0"/>
    <n v="72.15351572916552"/>
    <n v="284.84648427083448"/>
    <n v="193.80481760416296"/>
    <n v="106.04166666667152"/>
    <n v="0"/>
  </r>
  <r>
    <s v="Cases &amp; Composites"/>
    <n v="104973"/>
    <s v="Ferdin Mustafa"/>
    <s v="Complete"/>
    <s v="Closed"/>
    <s v="2-Routine"/>
    <n v="1"/>
    <s v="24FC099"/>
    <s v="Repair-EA"/>
    <s v="OTC"/>
    <s v="PW2000"/>
    <s v="F117"/>
    <m/>
    <d v="2024-03-27T04:00:00"/>
    <d v="2024-07-04T04:00:00"/>
    <d v="2024-07-04T04:00:00"/>
    <x v="85"/>
    <d v="2024-05-07T14:51:22"/>
    <s v="May"/>
    <d v="2024-04-12T04:00:00"/>
    <d v="2024-04-15T04:00:00"/>
    <d v="2024-04-15T04:00:00"/>
    <d v="2024-05-02T04:00:00"/>
    <n v="3"/>
    <n v="17"/>
    <n v="20"/>
    <n v="41"/>
    <n v="21"/>
    <n v="0"/>
    <n v="0"/>
    <n v="0"/>
    <n v="0"/>
    <n v="0"/>
    <n v="0"/>
    <n v="0"/>
    <n v="0"/>
    <n v="0"/>
    <n v="41"/>
    <n v="21"/>
    <n v="-58"/>
    <n v="1"/>
  </r>
  <r>
    <s v="Cases &amp; Composites"/>
    <s v="CAS-211414-N2Q5H9"/>
    <s v="Robert Thompson"/>
    <s v="Complete"/>
    <s v="Resolved"/>
    <s v="2-Routine"/>
    <n v="1"/>
    <s v="24KC233"/>
    <s v="Repair-EA"/>
    <s v="OTC"/>
    <s v="PW4000"/>
    <s v="AMO"/>
    <m/>
    <d v="2024-04-04T16:19:02"/>
    <d v="2024-08-16T04:00:00"/>
    <d v="2024-08-16T04:00:00"/>
    <x v="86"/>
    <d v="2024-08-16T18:16:11"/>
    <s v="Customer is RSL"/>
    <d v="2024-04-24T04:00:00"/>
    <d v="2024-04-24T04:00:00"/>
    <d v="2024-04-24T04:00:00"/>
    <d v="2024-08-15T04:00:00"/>
    <n v="0"/>
    <n v="113"/>
    <n v="113"/>
    <n v="133.48678240740264"/>
    <n v="20.486782407402643"/>
    <n v="0"/>
    <n v="0"/>
    <n v="0"/>
    <n v="0"/>
    <n v="0"/>
    <n v="0"/>
    <n v="0"/>
    <n v="61"/>
    <n v="61"/>
    <n v="72.486782407402643"/>
    <n v="-40.513217592597357"/>
    <n v="0"/>
    <n v="1"/>
  </r>
  <r>
    <s v="Cases &amp; Composites"/>
    <s v="CAS-212102-W2X7S2"/>
    <s v="Ferdin Mustafa"/>
    <s v="Complete"/>
    <s v="Resolved"/>
    <s v="2-Routine"/>
    <n v="1"/>
    <s v="24FC168"/>
    <s v="Repair-EA"/>
    <s v="OTC"/>
    <s v="PW2000"/>
    <s v="OCE"/>
    <m/>
    <d v="2024-04-11T17:03:32"/>
    <d v="2024-06-28T04:00:00"/>
    <d v="2024-10-17T04:00:00"/>
    <x v="87"/>
    <d v="2024-08-12T16:26:22"/>
    <s v="August - "/>
    <d v="2024-05-08T04:00:00"/>
    <d v="2024-06-07T04:00:00"/>
    <d v="2024-06-07T04:00:00"/>
    <d v="2024-07-30T04:00:00"/>
    <n v="30"/>
    <n v="53"/>
    <n v="83"/>
    <n v="122.455879629626"/>
    <n v="39.455879629625997"/>
    <n v="0"/>
    <n v="0"/>
    <n v="0"/>
    <n v="0"/>
    <n v="0"/>
    <n v="0"/>
    <n v="0"/>
    <n v="0"/>
    <n v="0"/>
    <n v="122.455879629626"/>
    <n v="39.455879629625997"/>
    <n v="45"/>
    <n v="0"/>
  </r>
  <r>
    <s v="Cases &amp; Composites"/>
    <s v="CAS-215012-B9K9Q1"/>
    <s v="Ferdin Mustafa"/>
    <s v="Complete"/>
    <s v="Resolved"/>
    <s v="2-Routine"/>
    <n v="1"/>
    <s v="24KC094A"/>
    <s v="Repair-EA"/>
    <s v="OTC"/>
    <s v="PW4000"/>
    <s v="OCE"/>
    <s v="75%"/>
    <d v="2024-05-15T14:06:19"/>
    <d v="2024-07-05T04:00:00"/>
    <d v="2024-09-12T04:00:00"/>
    <x v="88"/>
    <d v="2024-07-05T18:34:27"/>
    <s v="July"/>
    <d v="2024-05-24T04:00:00"/>
    <d v="2024-05-29T04:00:00"/>
    <d v="2024-05-29T04:00:00"/>
    <d v="2024-05-29T04:00:00"/>
    <n v="5"/>
    <n v="0"/>
    <n v="5"/>
    <n v="47.578946759254904"/>
    <n v="42.578946759254904"/>
    <n v="0"/>
    <n v="0"/>
    <n v="0"/>
    <n v="0"/>
    <n v="0"/>
    <n v="0"/>
    <n v="0"/>
    <n v="0"/>
    <n v="0"/>
    <n v="47.578946759254904"/>
    <n v="42.578946759254904"/>
    <n v="-3"/>
    <n v="1"/>
  </r>
  <r>
    <s v="Cases &amp; Composites"/>
    <s v="CAS-215633-Q7N0D1"/>
    <s v="Jia Chen"/>
    <s v="Complete"/>
    <s v="Resolved"/>
    <s v="2-Routine"/>
    <n v="1"/>
    <s v="24KC305"/>
    <s v="Repair-EA"/>
    <s v="OTC"/>
    <s v="PW4000"/>
    <s v="AMO"/>
    <s v="75%"/>
    <d v="2024-05-22T13:38:41"/>
    <d v="2024-06-04T04:00:00"/>
    <d v="2024-06-04T04:00:00"/>
    <x v="89"/>
    <d v="2024-05-31T20:46:12"/>
    <m/>
    <d v="2024-05-28T04:00:00"/>
    <d v="2024-05-30T04:00:00"/>
    <d v="2024-05-30T04:00:00"/>
    <d v="2024-05-30T04:00:00"/>
    <n v="2"/>
    <n v="0"/>
    <n v="2"/>
    <n v="8.5981365740735782"/>
    <n v="6.5981365740735782"/>
    <n v="3"/>
    <n v="0"/>
    <n v="0"/>
    <n v="0"/>
    <n v="1"/>
    <n v="0"/>
    <n v="0"/>
    <n v="0"/>
    <n v="4"/>
    <n v="4.5981365740735782"/>
    <n v="2.5981365740735782"/>
    <n v="-4"/>
    <n v="1"/>
  </r>
  <r>
    <s v="Cases &amp; Composites"/>
    <s v="CAS-217277-T8T4B2"/>
    <s v="Jia Chen"/>
    <s v="Complete"/>
    <s v="Resolved"/>
    <s v="2-Routine"/>
    <n v="1"/>
    <s v="24CCE90"/>
    <s v="Repair-EA"/>
    <s v="OTC"/>
    <s v="PW1000G"/>
    <s v="24K"/>
    <s v="75%"/>
    <d v="2024-06-06T11:53:48"/>
    <d v="2024-07-16T04:00:00"/>
    <d v="2024-07-16T04:00:00"/>
    <x v="90"/>
    <d v="2024-07-08T14:53:06"/>
    <s v="July - DIFFUSER INNER CASE ASSEMBLY - W-SEAL PLASMA COAT REPAIR - 21CCM16B LIMIT EXTENSION"/>
    <d v="2024-06-21T04:00:00"/>
    <d v="2024-06-26T04:00:00"/>
    <d v="2024-06-26T04:00:00"/>
    <d v="2024-06-26T04:00:00"/>
    <n v="5"/>
    <n v="0"/>
    <n v="5"/>
    <n v="31.67097222222219"/>
    <n v="26.67097222222219"/>
    <n v="0"/>
    <n v="0"/>
    <n v="0"/>
    <n v="0"/>
    <n v="0"/>
    <n v="0"/>
    <n v="0"/>
    <n v="0"/>
    <n v="0"/>
    <n v="31.67097222222219"/>
    <n v="26.67097222222219"/>
    <n v="-8"/>
    <n v="1"/>
  </r>
  <r>
    <s v="Cases &amp; Composites"/>
    <s v="CAS-216555-R7G0Y8"/>
    <s v="Jia Chen"/>
    <s v="Complete"/>
    <s v="Resolved"/>
    <s v="2-Routine"/>
    <n v="1"/>
    <s v="24VCA13"/>
    <s v="Repair-EA"/>
    <s v="OTC"/>
    <s v="V2500"/>
    <s v="V2500"/>
    <s v="75%"/>
    <d v="2024-05-30T14:35:32"/>
    <d v="2024-08-07T04:00:00"/>
    <d v="2024-08-07T04:00:00"/>
    <x v="91"/>
    <d v="2024-07-30T21:06:32"/>
    <m/>
    <m/>
    <m/>
    <m/>
    <m/>
    <s v=""/>
    <s v=""/>
    <n v="0"/>
    <n v="60.558657407404098"/>
    <n v="60.558657407404098"/>
    <n v="0"/>
    <n v="0"/>
    <n v="0"/>
    <n v="0"/>
    <n v="0"/>
    <n v="0"/>
    <n v="0"/>
    <n v="0"/>
    <n v="0"/>
    <n v="60.558657407404098"/>
    <n v="60.558657407404098"/>
    <n v="-8"/>
    <n v="1"/>
  </r>
  <r>
    <s v="Cases &amp; Composites"/>
    <s v="CAS-218168-V0N1Y0"/>
    <s v="Robert Thompson"/>
    <s v="Complete"/>
    <s v="Resolved"/>
    <s v="2-Routine"/>
    <n v="1"/>
    <s v="24CCL61"/>
    <s v="Repair-EA"/>
    <s v="OTC"/>
    <s v="PW1000G"/>
    <s v="AMO"/>
    <s v="25%"/>
    <d v="2024-06-17T11:51:12"/>
    <d v="2024-07-31T04:00:00"/>
    <d v="2024-08-23T04:00:00"/>
    <x v="87"/>
    <d v="2024-08-12T21:13:26"/>
    <m/>
    <m/>
    <m/>
    <m/>
    <m/>
    <s v=""/>
    <s v=""/>
    <n v="0"/>
    <n v="55.67277777777781"/>
    <n v="55.67277777777781"/>
    <n v="0"/>
    <n v="0"/>
    <n v="0"/>
    <n v="0"/>
    <n v="0"/>
    <n v="0"/>
    <n v="0"/>
    <n v="0"/>
    <n v="0"/>
    <n v="55.67277777777781"/>
    <n v="55.67277777777781"/>
    <n v="12"/>
    <n v="0"/>
  </r>
  <r>
    <s v="Cases &amp; Composites"/>
    <s v="CAS-222485-Z2X4B1"/>
    <s v="James Evans"/>
    <s v="Complete"/>
    <s v="Resolved"/>
    <s v="2-Routine"/>
    <n v="1"/>
    <s v="24KC450"/>
    <s v="Repair-EA"/>
    <s v="OTC"/>
    <s v="PW4000"/>
    <s v="AMO"/>
    <s v="75%"/>
    <d v="2024-07-27T16:10:35"/>
    <d v="2024-07-31T04:00:00"/>
    <d v="2024-07-31T04:00:00"/>
    <x v="92"/>
    <d v="2024-07-31T19:15:54"/>
    <m/>
    <m/>
    <m/>
    <m/>
    <m/>
    <s v=""/>
    <s v=""/>
    <n v="0"/>
    <n v="3.4926504629620467"/>
    <n v="3.4926504629620467"/>
    <n v="0"/>
    <n v="0"/>
    <n v="0"/>
    <n v="0"/>
    <n v="0"/>
    <n v="0"/>
    <n v="0"/>
    <n v="0"/>
    <n v="0"/>
    <n v="3.4926504629620467"/>
    <n v="3.4926504629620467"/>
    <n v="0"/>
    <n v="1"/>
  </r>
  <r>
    <s v="Cases &amp; Composites"/>
    <s v="MSG-240729-99B7C6"/>
    <s v="Ferdin Mustafa"/>
    <s v="Complete"/>
    <s v="Complete"/>
    <s v="2-Routine"/>
    <n v="1"/>
    <s v="19KC545A"/>
    <s v="Repair-EA"/>
    <s v="EM"/>
    <s v="PW4000"/>
    <s v="F117"/>
    <s v="75%"/>
    <d v="2024-07-29T04:00:00"/>
    <d v="2024-08-21T04:00:00"/>
    <d v="2024-08-21T04:00:00"/>
    <x v="93"/>
    <d v="2024-08-23T14:25:59"/>
    <s v="August - ESTO requests EM alignment with QN rework"/>
    <d v="2024-07-30T04:00:00"/>
    <d v="2024-07-31T04:00:00"/>
    <d v="2024-07-31T04:00:00"/>
    <d v="2024-08-01T04:00:00"/>
    <n v="1"/>
    <n v="1"/>
    <n v="2"/>
    <n v="23"/>
    <n v="21"/>
    <n v="0"/>
    <n v="0"/>
    <n v="0"/>
    <n v="0"/>
    <n v="0"/>
    <n v="0"/>
    <n v="0"/>
    <n v="0"/>
    <n v="0"/>
    <n v="23"/>
    <n v="21"/>
    <n v="0"/>
    <n v="1"/>
  </r>
  <r>
    <s v="Cases &amp; Composites"/>
    <n v="107640"/>
    <s v="Ferdin Mustafa"/>
    <s v="Complete"/>
    <s v="Closed"/>
    <s v="2-Routine"/>
    <n v="1"/>
    <s v="24FC280"/>
    <s v="Repair-EA"/>
    <s v="OTC"/>
    <s v="PW2000"/>
    <s v="F117"/>
    <s v="75%"/>
    <d v="2024-08-13T04:00:00"/>
    <d v="2024-08-30T04:00:00"/>
    <d v="2024-08-30T04:00:00"/>
    <x v="94"/>
    <d v="2024-08-28T15:11:30"/>
    <s v="Similiar to 107422"/>
    <d v="2024-08-19T04:00:00"/>
    <d v="2024-08-19T04:00:00"/>
    <d v="2024-08-19T04:00:00"/>
    <d v="2024-08-19T04:00:00"/>
    <n v="0"/>
    <n v="0"/>
    <n v="0"/>
    <n v="15"/>
    <n v="15"/>
    <n v="0"/>
    <n v="0"/>
    <n v="0"/>
    <n v="0"/>
    <n v="0"/>
    <n v="0"/>
    <n v="0"/>
    <n v="0"/>
    <n v="0"/>
    <n v="15"/>
    <n v="15"/>
    <n v="-2"/>
    <n v="1"/>
  </r>
  <r>
    <s v="Cases &amp; Composites"/>
    <s v="CAS-226425-H0R7C4"/>
    <s v="Robert Thompson"/>
    <s v="Complete"/>
    <s v="Resolved"/>
    <s v="2-Routine"/>
    <n v="1"/>
    <s v="24KC539"/>
    <s v="Repair-EA"/>
    <s v="OTC"/>
    <s v="PW4000"/>
    <s v="AMO"/>
    <m/>
    <d v="2024-09-04T18:50:28"/>
    <d v="2024-12-31T05:00:00"/>
    <d v="2024-09-27T04:00:00"/>
    <x v="40"/>
    <d v="2024-09-23T14:49:24"/>
    <m/>
    <d v="2024-09-19T04:00:00"/>
    <d v="2024-09-20T04:00:00"/>
    <d v="2024-09-20T04:00:00"/>
    <d v="2024-09-20T04:00:00"/>
    <n v="1"/>
    <n v="0"/>
    <n v="1"/>
    <n v="18.381620370368182"/>
    <n v="17.381620370368182"/>
    <n v="0"/>
    <n v="0"/>
    <n v="0"/>
    <n v="0"/>
    <n v="0"/>
    <n v="8"/>
    <n v="0"/>
    <n v="0"/>
    <n v="8"/>
    <n v="10.381620370368182"/>
    <n v="9.3816203703681822"/>
    <n v="-99.041666666671517"/>
    <n v="1"/>
  </r>
  <r>
    <s v="Cases &amp; Composites"/>
    <s v="CAS-228817-N8C0J4"/>
    <s v="Orlando Melendez Colon"/>
    <s v="Complete"/>
    <s v="Resolved"/>
    <s v="2-Routine"/>
    <n v="1"/>
    <s v="24VC323"/>
    <s v="Repair-EA"/>
    <s v="OTC"/>
    <s v="V2500"/>
    <s v="V2500"/>
    <m/>
    <d v="2024-09-26T03:01:15"/>
    <d v="2024-10-11T04:00:00"/>
    <d v="2024-10-11T04:00:00"/>
    <x v="95"/>
    <d v="2024-09-30T18:38:56"/>
    <m/>
    <d v="2024-09-27T04:00:00"/>
    <d v="2024-09-27T04:00:00"/>
    <d v="2024-09-27T04:00:00"/>
    <d v="2024-09-27T04:00:00"/>
    <n v="0"/>
    <n v="0"/>
    <n v="0"/>
    <n v="4.0407986111094942"/>
    <n v="4.0407986111094942"/>
    <n v="0"/>
    <n v="0"/>
    <n v="0"/>
    <n v="0"/>
    <n v="0"/>
    <n v="0"/>
    <n v="0"/>
    <n v="0"/>
    <n v="0"/>
    <n v="4.0407986111094942"/>
    <n v="4.0407986111094942"/>
    <n v="-11"/>
    <n v="1"/>
  </r>
  <r>
    <s v="Cases &amp; Composites"/>
    <s v="MSG-240614-A2F783"/>
    <s v="Francisco Astiasaran"/>
    <s v="Complete"/>
    <s v="Complete"/>
    <s v="2-Routine"/>
    <n v="1"/>
    <s v="24CCT44"/>
    <s v="Repair-EA"/>
    <s v="EM"/>
    <s v="PW1000G"/>
    <s v="PIP"/>
    <s v="75%"/>
    <d v="2024-06-14T04:00:00"/>
    <d v="2024-11-28T05:00:00"/>
    <d v="2025-01-10T05:00:00"/>
    <x v="71"/>
    <d v="2025-01-08T19:20:38"/>
    <s v="DEC. Evaluate and substantiate continued viability of subject DMCs in CIR for applicability GTFA models and run parameters. Additionally ensure DMC is inline with latest ESW and that current inspection limits. Review See comments for guidance.."/>
    <d v="2024-11-06T05:00:00"/>
    <d v="2024-11-14T05:00:00"/>
    <d v="2024-11-14T05:00:00"/>
    <d v="2024-11-14T05:00:00"/>
    <n v="8"/>
    <n v="0"/>
    <n v="8"/>
    <n v="208.04166666667152"/>
    <n v="200.04166666667152"/>
    <n v="0"/>
    <n v="0"/>
    <n v="0"/>
    <n v="0"/>
    <n v="0"/>
    <n v="0"/>
    <n v="0"/>
    <n v="0"/>
    <n v="0"/>
    <n v="208.04166666667152"/>
    <n v="200.04166666667152"/>
    <n v="41"/>
    <n v="0"/>
  </r>
  <r>
    <s v="Cases &amp; Composites"/>
    <s v="CAS-234012-Z5V0Q5"/>
    <s v="Francisco Astiasaran"/>
    <s v="Complete"/>
    <s v="Resolved"/>
    <s v="2-Routine"/>
    <n v="1"/>
    <s v="08AC093D"/>
    <s v="Repair-EA"/>
    <s v="EM"/>
    <s v="GP7000"/>
    <s v="GP7000"/>
    <s v="75%"/>
    <d v="2024-11-13T20:16:45"/>
    <d v="2025-01-29T05:00:00"/>
    <d v="2025-01-29T05:00:00"/>
    <x v="96"/>
    <d v="2025-01-30T17:00:41"/>
    <s v="Fan Blade Fairing"/>
    <m/>
    <m/>
    <m/>
    <m/>
    <s v=""/>
    <s v=""/>
    <n v="0"/>
    <n v="77.363368055557657"/>
    <n v="77.363368055557657"/>
    <n v="0"/>
    <n v="0"/>
    <n v="0"/>
    <n v="0"/>
    <n v="0"/>
    <n v="0"/>
    <n v="0"/>
    <n v="0"/>
    <n v="0"/>
    <n v="77.363368055557657"/>
    <n v="77.363368055557657"/>
    <n v="1"/>
    <n v="0"/>
  </r>
  <r>
    <s v="Cases &amp; Composites"/>
    <s v="MSG-241119-306769"/>
    <s v="Ferdin Mustafa"/>
    <s v="Complete"/>
    <s v="Complete"/>
    <s v="2-Routine"/>
    <n v="1"/>
    <s v="16CCD27A"/>
    <s v="Repair-EA"/>
    <s v="EM"/>
    <s v="PW1000G"/>
    <s v="PIP"/>
    <m/>
    <d v="2024-11-19T05:00:00"/>
    <d v="2024-12-20T05:00:00"/>
    <d v="2025-01-21T05:00:00"/>
    <x v="79"/>
    <d v="2025-01-15T14:56:41"/>
    <s v="This REA was originally submitted as  Discretionary. Please Review convert to EM as necessary and add GTFA applicability evaluating the specific run parameters. Follow GTFA guidance see comments for more information "/>
    <m/>
    <m/>
    <m/>
    <m/>
    <s v=""/>
    <s v=""/>
    <n v="0"/>
    <n v="56"/>
    <n v="56"/>
    <n v="0"/>
    <n v="0"/>
    <n v="0"/>
    <n v="0"/>
    <n v="0"/>
    <n v="0"/>
    <n v="0"/>
    <n v="0"/>
    <n v="0"/>
    <n v="56"/>
    <n v="56"/>
    <n v="25"/>
    <n v="0"/>
  </r>
  <r>
    <s v="Cases &amp; Composites"/>
    <s v="MSG-241121-0491BB"/>
    <s v="Ferdin Mustafa"/>
    <s v="Complete"/>
    <s v="Complete"/>
    <s v="2-Routine"/>
    <n v="1"/>
    <s v="24KC492A"/>
    <s v="Repair-EA"/>
    <s v="OTC"/>
    <s v="PW4000"/>
    <m/>
    <s v="75%"/>
    <d v="2024-11-21T05:00:00"/>
    <d v="2025-01-10T05:00:00"/>
    <d v="2025-01-15T05:00:00"/>
    <x v="97"/>
    <d v="2025-01-16T02:17:02"/>
    <s v="Crack discovered during post-cold work FPI from 24KC492.  Follow up to MERLIN 107652 (MSG-240814-317DA9)."/>
    <d v="2024-12-13T05:00:00"/>
    <d v="2025-01-02T05:00:00"/>
    <d v="2025-01-02T05:00:00"/>
    <d v="2025-01-08T05:00:00"/>
    <n v="20"/>
    <n v="6"/>
    <n v="26"/>
    <n v="49"/>
    <n v="23"/>
    <n v="0"/>
    <n v="3"/>
    <n v="0"/>
    <n v="0"/>
    <n v="0"/>
    <n v="0"/>
    <n v="0"/>
    <n v="0"/>
    <n v="3"/>
    <n v="46"/>
    <n v="20"/>
    <n v="-1"/>
    <n v="1"/>
  </r>
  <r>
    <s v="Cases &amp; Composites"/>
    <s v="MSG-241119-BA8EB9"/>
    <s v="Ferdin Mustafa"/>
    <s v="Complete"/>
    <s v="Complete"/>
    <s v="2-Routine"/>
    <n v="1"/>
    <s v="18CCL05D"/>
    <s v="Repair-EA"/>
    <s v="MR"/>
    <s v="PW1000G"/>
    <s v="PIP"/>
    <s v="75%"/>
    <d v="2024-11-19T05:00:00"/>
    <d v="2024-12-23T05:00:00"/>
    <d v="2025-01-28T05:00:00"/>
    <x v="10"/>
    <d v="2025-01-28T14:09:46"/>
    <s v="This REA was originally submitted as  Discretionary. Please Review convert to EM as necessary and add GTFA applicability evaluating the specific run parameters. Follow GTFA guidance; see comments for more information "/>
    <d v="2024-12-04T05:00:00"/>
    <d v="2024-12-11T05:00:00"/>
    <d v="2024-12-11T05:00:00"/>
    <d v="2024-12-19T05:00:00"/>
    <n v="7"/>
    <n v="8"/>
    <n v="15"/>
    <n v="66"/>
    <n v="51"/>
    <n v="0"/>
    <n v="0"/>
    <n v="0"/>
    <n v="0"/>
    <n v="0"/>
    <n v="0"/>
    <n v="0"/>
    <n v="0"/>
    <n v="0"/>
    <n v="66"/>
    <n v="51"/>
    <n v="32"/>
    <n v="0"/>
  </r>
  <r>
    <s v="Cases &amp; Composites"/>
    <s v="MSG-241119-AA4CF4"/>
    <s v="Francisco Astiasaran"/>
    <s v="Complete"/>
    <s v="Complete"/>
    <s v="2-Routine"/>
    <n v="1"/>
    <s v="25CC142"/>
    <s v="Repair-EA"/>
    <s v="EM"/>
    <s v="PW1000G"/>
    <s v="PIP"/>
    <m/>
    <d v="2024-11-19T05:00:00"/>
    <d v="2025-01-22T05:00:00"/>
    <d v="2025-01-29T05:00:00"/>
    <x v="98"/>
    <d v="2025-01-29T16:30:07"/>
    <s v="JAN-This task is to deactivate the subject EA. It was reviewed that this EA is not used by PWAA and as cosmetic repair it is not driven by any VIS. Therefore no need to extend applicability for GTFA Commonality; instead deactivate . Guidance provided"/>
    <m/>
    <m/>
    <m/>
    <m/>
    <s v=""/>
    <s v=""/>
    <n v="0"/>
    <n v="71"/>
    <n v="71"/>
    <n v="0"/>
    <n v="0"/>
    <n v="0"/>
    <n v="0"/>
    <n v="0"/>
    <n v="0"/>
    <n v="0"/>
    <n v="0"/>
    <n v="0"/>
    <n v="71"/>
    <n v="71"/>
    <n v="7"/>
    <n v="0"/>
  </r>
  <r>
    <s v="Cases &amp; Composites"/>
    <s v="MSG-250107-1B344E"/>
    <s v="Francisco Astiasaran"/>
    <s v="Complete"/>
    <s v="Complete"/>
    <s v="2-Routine"/>
    <n v="1"/>
    <s v="19CCQ82D"/>
    <s v="Repair-EA"/>
    <s v="Discretionary"/>
    <s v="PW1000G"/>
    <s v="PIP"/>
    <m/>
    <d v="2025-01-07T05:00:00"/>
    <d v="2025-01-30T05:00:00"/>
    <d v="2025-01-30T05:00:00"/>
    <x v="99"/>
    <d v="2025-01-28T21:04:20"/>
    <s v="JAN"/>
    <m/>
    <m/>
    <m/>
    <m/>
    <s v=""/>
    <s v=""/>
    <n v="0"/>
    <n v="21"/>
    <n v="21"/>
    <n v="0"/>
    <n v="0"/>
    <n v="0"/>
    <n v="0"/>
    <n v="0"/>
    <n v="0"/>
    <n v="0"/>
    <n v="0"/>
    <n v="0"/>
    <n v="21"/>
    <n v="21"/>
    <n v="-2"/>
    <n v="1"/>
  </r>
  <r>
    <s v="Cases &amp; Composites"/>
    <s v="MSG-ID-20230317140936967-878"/>
    <s v="Francisco Astiasaran"/>
    <s v="Complete"/>
    <s v="Complete"/>
    <s v="2-Routine"/>
    <n v="2"/>
    <s v="23CC984"/>
    <s v="Repair-EA"/>
    <s v="EM"/>
    <s v="PW1000G"/>
    <s v="PIP"/>
    <m/>
    <d v="2023-03-17T04:00:00"/>
    <d v="2023-04-21T04:00:00"/>
    <d v="2025-02-07T05:00:00"/>
    <x v="100"/>
    <d v="2025-02-06T18:58:39"/>
    <s v="FEB - This task supports GTFA validation of Category 3B EM repairs to support AMM development.  Update and validate the subject DMC for GTFA applicability. PW1000G-C-72-11-03-00A-649A-D &amp; PW1000G-C-72-11-03-01A-649A-A Blend Leading Egde."/>
    <d v="2023-04-04T04:00:00"/>
    <d v="2023-05-15T04:00:00"/>
    <d v="2023-05-15T04:00:00"/>
    <d v="2024-10-31T04:00:00"/>
    <n v="41"/>
    <n v="535"/>
    <n v="576"/>
    <n v="692.04166666667152"/>
    <n v="116.04166666667152"/>
    <n v="0"/>
    <n v="0"/>
    <n v="0"/>
    <n v="0"/>
    <n v="0"/>
    <n v="25.01863765046437"/>
    <n v="401.08825248843641"/>
    <n v="0"/>
    <n v="426.10689013890078"/>
    <n v="265.93477652777074"/>
    <n v="-310.06522347222926"/>
    <n v="657.04166666667152"/>
    <n v="0"/>
  </r>
  <r>
    <s v="Cases &amp; Composites"/>
    <s v="CAS-180327-V7M4M0"/>
    <s v="Robert Thompson"/>
    <s v="Complete"/>
    <s v="Resolved"/>
    <s v="2-Routine"/>
    <n v="2"/>
    <s v="23FC181"/>
    <s v="Repair-EA"/>
    <s v="EM"/>
    <s v="PW2000"/>
    <s v="OCE"/>
    <m/>
    <d v="2023-05-16T17:26:09"/>
    <d v="2024-04-30T04:00:00"/>
    <d v="2024-06-07T04:00:00"/>
    <x v="101"/>
    <d v="2024-06-06T20:10:54"/>
    <s v="June"/>
    <m/>
    <m/>
    <m/>
    <m/>
    <s v=""/>
    <s v=""/>
    <n v="0"/>
    <n v="386.44017361111037"/>
    <n v="386.44017361111037"/>
    <n v="0"/>
    <n v="0"/>
    <n v="0"/>
    <n v="0"/>
    <n v="0"/>
    <n v="0"/>
    <n v="0"/>
    <n v="0"/>
    <n v="0"/>
    <n v="386.44017361111037"/>
    <n v="386.44017361111037"/>
    <n v="37"/>
    <n v="0"/>
  </r>
  <r>
    <s v="Cases &amp; Composites"/>
    <s v="CAS-182115-R9C4C5"/>
    <s v="Jia Chen"/>
    <s v="Complete"/>
    <s v="Resolved"/>
    <s v="2-Routine"/>
    <n v="2"/>
    <s v="22CCD52B"/>
    <s v="Repair-EA"/>
    <s v="MR"/>
    <s v="PW1000G"/>
    <s v="30K"/>
    <m/>
    <d v="2023-06-05T16:24:28"/>
    <d v="2023-09-08T04:00:00"/>
    <d v="2024-03-15T04:00:00"/>
    <x v="102"/>
    <d v="2024-03-12T15:14:26"/>
    <s v="TIC Inner. mar1"/>
    <d v="2023-06-29T04:00:00"/>
    <d v="2023-07-11T04:00:00"/>
    <d v="2023-07-11T04:00:00"/>
    <d v="2023-12-14T05:00:00"/>
    <n v="12"/>
    <n v="156.04166666667152"/>
    <n v="168.04166666667152"/>
    <n v="279.48300925926014"/>
    <n v="111.44134259258863"/>
    <n v="0"/>
    <n v="0"/>
    <n v="0"/>
    <n v="0"/>
    <n v="0"/>
    <n v="0"/>
    <n v="0"/>
    <n v="39.948579178242653"/>
    <n v="39.948579178242653"/>
    <n v="239.53443008101749"/>
    <n v="71.492763414345973"/>
    <n v="185"/>
    <n v="0"/>
  </r>
  <r>
    <s v="Cases &amp; Composites"/>
    <s v="CAS-181829-Z9G8R9"/>
    <s v="Orlando Melendez Colon"/>
    <s v="Complete"/>
    <s v="Resolved"/>
    <s v="2-Routine"/>
    <n v="2"/>
    <s v="24VG099"/>
    <s v="Repair-EA"/>
    <s v="EM"/>
    <s v="V2500"/>
    <s v="V2500"/>
    <m/>
    <d v="2023-06-01T15:18:48"/>
    <d v="2023-11-30T05:00:00"/>
    <d v="2024-07-18T04:00:00"/>
    <x v="103"/>
    <d v="2024-07-18T03:30:27"/>
    <s v="July"/>
    <d v="2023-10-05T04:00:00"/>
    <d v="2023-12-15T05:00:00"/>
    <d v="2023-12-15T05:00:00"/>
    <d v="2023-12-15T05:00:00"/>
    <n v="71.041666666671517"/>
    <n v="0"/>
    <n v="71.041666666671517"/>
    <n v="405.52861111110542"/>
    <n v="334.4869444444339"/>
    <n v="0"/>
    <n v="0"/>
    <n v="0"/>
    <n v="0"/>
    <n v="0"/>
    <n v="0"/>
    <n v="0"/>
    <n v="0"/>
    <n v="0"/>
    <n v="405.52861111110542"/>
    <n v="334.4869444444339"/>
    <n v="223.95833333332848"/>
    <n v="0"/>
  </r>
  <r>
    <s v="Cases &amp; Composites"/>
    <s v="CAS-172261-Z6V4V1"/>
    <s v="Ferdin Mustafa"/>
    <s v="Complete"/>
    <s v="Resolved"/>
    <s v="2-Routine"/>
    <n v="2"/>
    <s v="23KC484"/>
    <s v="Repair-EA"/>
    <s v="OTC"/>
    <s v="PW4000"/>
    <s v="AMO"/>
    <m/>
    <d v="2023-02-21T14:07:07"/>
    <d v="2023-10-20T04:00:00"/>
    <d v="2024-03-28T04:00:00"/>
    <x v="81"/>
    <d v="2024-03-25T18:27:35"/>
    <m/>
    <d v="2023-08-28T04:00:00"/>
    <d v="2023-10-30T04:00:00"/>
    <d v="2023-10-30T04:00:00"/>
    <d v="2023-11-17T05:00:00"/>
    <n v="63"/>
    <n v="18.041666666671517"/>
    <n v="81.041666666671517"/>
    <n v="397.57839120370045"/>
    <n v="316.53672453702893"/>
    <n v="0"/>
    <n v="0"/>
    <n v="0"/>
    <n v="0"/>
    <n v="0"/>
    <n v="0"/>
    <n v="0"/>
    <n v="47"/>
    <n v="47"/>
    <n v="350.57839120370045"/>
    <n v="269.53672453702893"/>
    <n v="157"/>
    <n v="0"/>
  </r>
  <r>
    <s v="Cases &amp; Composites"/>
    <s v="CAS-190971-Q1Q9K7"/>
    <s v="Ferdin Mustafa"/>
    <s v="Complete"/>
    <s v="Resolved"/>
    <s v="2-Routine"/>
    <n v="2"/>
    <s v="23KC618"/>
    <s v="Repair-EA"/>
    <s v="OTC"/>
    <s v="PW4000"/>
    <s v="OCE"/>
    <m/>
    <d v="2023-09-04T08:48:35"/>
    <d v="2023-11-10T05:00:00"/>
    <d v="2024-02-16T05:00:00"/>
    <x v="68"/>
    <d v="2024-02-09T21:09:40"/>
    <s v="Feb1 KAL ESN P222242"/>
    <d v="2023-11-06T05:00:00"/>
    <d v="2023-12-08T05:00:00"/>
    <d v="2023-12-08T05:00:00"/>
    <d v="2023-12-18T05:00:00"/>
    <n v="32"/>
    <n v="10"/>
    <n v="42"/>
    <n v="157.84126157407445"/>
    <n v="115.84126157407445"/>
    <n v="0"/>
    <n v="0"/>
    <n v="0"/>
    <n v="0"/>
    <n v="0"/>
    <n v="0"/>
    <n v="0"/>
    <n v="0"/>
    <n v="0"/>
    <n v="157.84126157407445"/>
    <n v="115.84126157407445"/>
    <n v="91"/>
    <n v="0"/>
  </r>
  <r>
    <s v="Cases &amp; Composites"/>
    <s v="CAS-194339-S5F9B3"/>
    <s v="Pedro Iturrino"/>
    <s v="Complete"/>
    <s v="Resolved"/>
    <s v="2-Routine"/>
    <n v="2"/>
    <s v="23CCV00"/>
    <s v="Repair-EA"/>
    <s v="OTC"/>
    <s v="PW1000G"/>
    <s v="30K"/>
    <m/>
    <d v="2023-10-06T19:48:22"/>
    <d v="2023-12-01T05:00:00"/>
    <d v="2024-01-26T05:00:00"/>
    <x v="104"/>
    <d v="2024-01-23T19:29:18"/>
    <s v="IDC - damage to pass through hole, blend repair"/>
    <d v="2023-11-08T05:00:00"/>
    <d v="2023-11-15T05:00:00"/>
    <d v="2023-11-15T05:00:00"/>
    <d v="2023-12-18T05:00:00"/>
    <n v="7"/>
    <n v="33"/>
    <n v="40"/>
    <n v="108.38307870370772"/>
    <n v="68.383078703707724"/>
    <n v="0"/>
    <n v="0"/>
    <n v="0"/>
    <n v="0"/>
    <n v="0"/>
    <n v="6.9467028356448282"/>
    <n v="0"/>
    <n v="0"/>
    <n v="6.9467028356448282"/>
    <n v="101.4363758680629"/>
    <n v="61.436375868062896"/>
    <n v="53"/>
    <n v="0"/>
  </r>
  <r>
    <s v="Cases &amp; Composites"/>
    <s v="CAS-197677-V0X2Q5"/>
    <s v="Ferdin Mustafa"/>
    <s v="Complete"/>
    <s v="Resolved"/>
    <s v="2-Routine"/>
    <n v="2"/>
    <s v="24FC074"/>
    <s v="Repair-EA"/>
    <s v="OTC"/>
    <s v="PW2000"/>
    <m/>
    <m/>
    <d v="2023-11-08T12:44:34"/>
    <d v="2024-07-01T04:00:00"/>
    <d v="2024-09-24T04:00:00"/>
    <x v="105"/>
    <d v="2024-09-23T01:11:24"/>
    <s v="September"/>
    <d v="2024-03-01T05:00:00"/>
    <d v="2024-06-06T04:00:00"/>
    <d v="2024-06-06T04:00:00"/>
    <d v="2024-08-14T04:00:00"/>
    <n v="96.958333333328483"/>
    <n v="69"/>
    <n v="165.95833333332848"/>
    <n v="316.63571759258775"/>
    <n v="150.67738425925927"/>
    <n v="0"/>
    <n v="0"/>
    <n v="0"/>
    <n v="0"/>
    <n v="0"/>
    <n v="0"/>
    <n v="0"/>
    <n v="0"/>
    <n v="0"/>
    <n v="316.63571759258775"/>
    <n v="150.67738425925927"/>
    <n v="81"/>
    <n v="0"/>
  </r>
  <r>
    <s v="Cases &amp; Composites"/>
    <s v="CAS-202523-G9Q8M3"/>
    <s v="Robert Thompson"/>
    <s v="Complete"/>
    <s v="Resolved"/>
    <s v="2-Routine"/>
    <n v="2"/>
    <s v="24CC062"/>
    <s v="Repair-EA"/>
    <s v="OTC"/>
    <s v="PW1000G"/>
    <s v="24K"/>
    <m/>
    <d v="2024-01-02T14:47:01"/>
    <d v="2024-01-19T05:00:00"/>
    <d v="2024-01-26T05:00:00"/>
    <x v="106"/>
    <d v="2024-01-25T20:09:03"/>
    <s v="Jan."/>
    <d v="2024-01-09T05:00:00"/>
    <d v="2024-01-24T05:00:00"/>
    <d v="2024-01-24T05:00:00"/>
    <d v="2024-01-24T05:00:00"/>
    <n v="15"/>
    <n v="0"/>
    <n v="15"/>
    <n v="22.59234953703708"/>
    <n v="7.5923495370370802"/>
    <n v="0"/>
    <n v="0"/>
    <n v="0"/>
    <n v="0"/>
    <n v="0"/>
    <n v="0"/>
    <n v="0"/>
    <n v="0"/>
    <n v="0"/>
    <n v="22.59234953703708"/>
    <n v="7.5923495370370802"/>
    <n v="6"/>
    <n v="0"/>
  </r>
  <r>
    <s v="Cases &amp; Composites"/>
    <n v="103225"/>
    <s v="Robert Thompson"/>
    <s v="Complete"/>
    <s v="Closed"/>
    <s v="2-Routine"/>
    <n v="2"/>
    <s v="24FC015"/>
    <s v="Repair-EA"/>
    <s v="OTC"/>
    <s v="PW2000"/>
    <s v="AMO"/>
    <m/>
    <d v="2024-01-04T05:00:00"/>
    <d v="2024-01-26T05:00:00"/>
    <d v="2024-01-31T05:00:00"/>
    <x v="61"/>
    <d v="2024-01-31T16:28:33"/>
    <s v="Jan."/>
    <d v="2024-01-18T05:00:00"/>
    <d v="2024-01-26T05:00:00"/>
    <d v="2024-01-26T05:00:00"/>
    <d v="2024-01-30T05:00:00"/>
    <n v="8"/>
    <n v="4"/>
    <n v="12"/>
    <n v="27"/>
    <n v="15"/>
    <n v="0"/>
    <n v="0"/>
    <n v="0"/>
    <n v="0"/>
    <n v="0"/>
    <n v="0"/>
    <n v="0"/>
    <n v="0"/>
    <n v="0"/>
    <n v="27"/>
    <n v="15"/>
    <n v="5"/>
    <n v="0"/>
  </r>
  <r>
    <s v="Cases &amp; Composites"/>
    <s v="CAS-206116-K0B7Q4"/>
    <s v="Robert Thompson"/>
    <s v="Complete"/>
    <s v="Resolved"/>
    <s v="2-Routine"/>
    <n v="2"/>
    <s v="11KC492B"/>
    <s v="Repair-EA"/>
    <s v="Discretionary"/>
    <s v="PW4000"/>
    <s v="AMO"/>
    <m/>
    <d v="2024-02-08T16:31:47"/>
    <d v="2024-03-27T04:00:00"/>
    <d v="2024-07-17T04:00:00"/>
    <x v="107"/>
    <d v="2024-07-16T14:54:08"/>
    <s v="July"/>
    <d v="2024-02-21T05:00:00"/>
    <d v="2024-05-14T04:00:00"/>
    <d v="2024-05-14T04:00:00"/>
    <d v="2024-05-24T04:00:00"/>
    <n v="82.958333333328483"/>
    <n v="10"/>
    <n v="92.958333333328483"/>
    <n v="158.47792824073986"/>
    <n v="65.519594907411374"/>
    <n v="0"/>
    <n v="0"/>
    <n v="0"/>
    <n v="0"/>
    <n v="0"/>
    <n v="0"/>
    <n v="0"/>
    <n v="0"/>
    <n v="0"/>
    <n v="158.47792824073986"/>
    <n v="65.519594907411374"/>
    <n v="111"/>
    <n v="0"/>
  </r>
  <r>
    <s v="Cases &amp; Composites"/>
    <s v="CAS-206442-C7V7T5"/>
    <s v="Robert Thompson"/>
    <s v="Complete"/>
    <s v="Resolved"/>
    <s v="2-Routine"/>
    <n v="2"/>
    <s v="11KC489C"/>
    <s v="Repair-EA"/>
    <s v="Discretionary"/>
    <s v="PW4000"/>
    <s v="AMO"/>
    <m/>
    <d v="2024-02-12T15:49:18"/>
    <d v="2024-04-30T04:00:00"/>
    <d v="2024-04-19T04:00:00"/>
    <x v="108"/>
    <d v="2024-04-17T20:19:05"/>
    <s v="Apr"/>
    <d v="2024-02-21T05:00:00"/>
    <d v="2024-03-21T04:00:00"/>
    <d v="2024-03-21T04:00:00"/>
    <d v="2024-03-28T04:00:00"/>
    <n v="28.958333333328483"/>
    <n v="7"/>
    <n v="35.958333333328483"/>
    <n v="64.507430555553583"/>
    <n v="28.5490972222251"/>
    <n v="0"/>
    <n v="0"/>
    <n v="0"/>
    <n v="0"/>
    <n v="0"/>
    <n v="0"/>
    <n v="0"/>
    <n v="0"/>
    <n v="0"/>
    <n v="64.507430555553583"/>
    <n v="28.5490972222251"/>
    <n v="-13"/>
    <n v="1"/>
  </r>
  <r>
    <s v="Cases &amp; Composites"/>
    <s v="MSG-240126-610CF9"/>
    <s v="Dean Catlett"/>
    <s v="Complete"/>
    <s v="Complete"/>
    <s v="2-Routine"/>
    <n v="2"/>
    <s v="24CC830"/>
    <s v="Repair-EA"/>
    <s v="EM"/>
    <s v="PW1000G"/>
    <s v="PIP"/>
    <m/>
    <d v="2024-01-26T05:00:00"/>
    <d v="2024-09-10T04:00:00"/>
    <d v="2024-09-10T04:00:00"/>
    <x v="109"/>
    <d v="2024-04-23T19:17:16"/>
    <s v="Evaluate and substantiate continued viability of subject DMCs for applicability to GTFA models and parameters. Ensure repairable limits are within requirements and evaluate options for limit expansion.  Update applicability from &quot;All&quot; to specific PNs"/>
    <m/>
    <m/>
    <m/>
    <m/>
    <s v=""/>
    <s v=""/>
    <n v="0"/>
    <n v="86.958333333328483"/>
    <n v="86.958333333328483"/>
    <n v="0"/>
    <n v="0"/>
    <n v="0"/>
    <n v="0"/>
    <n v="0"/>
    <n v="0"/>
    <n v="0"/>
    <n v="0"/>
    <n v="0"/>
    <n v="86.958333333328483"/>
    <n v="86.958333333328483"/>
    <n v="-141"/>
    <n v="1"/>
  </r>
  <r>
    <s v="Cases &amp; Composites"/>
    <s v="CAS-213038-Q3G4J1"/>
    <s v="Robert Thompson"/>
    <s v="Complete"/>
    <s v="Resolved"/>
    <s v="2-Routine"/>
    <n v="2"/>
    <s v="24CCB34"/>
    <s v="Repair-EA"/>
    <s v="OTC"/>
    <s v="PW1000G"/>
    <s v="30K"/>
    <s v="75%"/>
    <d v="2024-04-22T14:27:09"/>
    <d v="2024-05-31T04:00:00"/>
    <d v="2024-05-30T04:00:00"/>
    <x v="110"/>
    <d v="2024-06-05T12:02:56"/>
    <s v="JuneFanR-Blade"/>
    <d v="2024-05-01T04:00:00"/>
    <d v="2024-05-02T04:00:00"/>
    <d v="2024-05-02T04:00:00"/>
    <d v="2024-05-23T04:00:00"/>
    <n v="1"/>
    <n v="21"/>
    <n v="22"/>
    <n v="42.564479166663659"/>
    <n v="20.564479166663659"/>
    <n v="0"/>
    <n v="0"/>
    <n v="0"/>
    <n v="0"/>
    <n v="0"/>
    <n v="0"/>
    <n v="0"/>
    <n v="0"/>
    <n v="0"/>
    <n v="42.564479166663659"/>
    <n v="20.564479166663659"/>
    <n v="4"/>
    <n v="0"/>
  </r>
  <r>
    <s v="Cases &amp; Composites"/>
    <n v="105640"/>
    <s v="Robert Thompson"/>
    <s v="Complete"/>
    <s v="Closed"/>
    <s v="2-Routine"/>
    <n v="2"/>
    <s v="24FC200"/>
    <s v="Repair-EA"/>
    <s v="Discretionary"/>
    <s v="PW2000"/>
    <s v="F117"/>
    <m/>
    <d v="2024-04-30T04:00:00"/>
    <d v="2024-05-30T04:00:00"/>
    <d v="2024-10-11T04:00:00"/>
    <x v="111"/>
    <d v="2024-10-02T18:49:46"/>
    <s v="Sept"/>
    <d v="2024-07-15T04:00:00"/>
    <d v="2024-07-16T04:00:00"/>
    <d v="2024-07-16T04:00:00"/>
    <d v="2024-08-15T04:00:00"/>
    <n v="1"/>
    <n v="30"/>
    <n v="31"/>
    <n v="154"/>
    <n v="123"/>
    <n v="0"/>
    <n v="0"/>
    <n v="0"/>
    <n v="0"/>
    <n v="0"/>
    <n v="0"/>
    <n v="0"/>
    <n v="0"/>
    <n v="0"/>
    <n v="154"/>
    <n v="123"/>
    <n v="124"/>
    <n v="0"/>
  </r>
  <r>
    <s v="Cases &amp; Composites"/>
    <s v="CAS-213975-N9Q9J4"/>
    <s v="Robert Thompson"/>
    <s v="Complete"/>
    <s v="Resolved"/>
    <s v="2-Routine"/>
    <n v="2"/>
    <s v="24KC307"/>
    <s v="Repair-EA"/>
    <s v="Discretionary"/>
    <s v="PW4000"/>
    <s v="AMO"/>
    <s v="50%"/>
    <d v="2024-05-02T17:28:17"/>
    <d v="2024-07-25T04:00:00"/>
    <d v="2024-08-16T04:00:00"/>
    <x v="112"/>
    <d v="2024-08-14T12:25:40"/>
    <s v="August"/>
    <m/>
    <m/>
    <m/>
    <m/>
    <s v=""/>
    <s v=""/>
    <n v="0"/>
    <n v="102.43869212962454"/>
    <n v="102.43869212962454"/>
    <n v="0"/>
    <n v="0"/>
    <n v="0"/>
    <n v="0"/>
    <n v="0"/>
    <n v="0"/>
    <n v="0"/>
    <n v="0"/>
    <n v="0"/>
    <n v="102.43869212962454"/>
    <n v="102.43869212962454"/>
    <n v="19"/>
    <n v="0"/>
  </r>
  <r>
    <s v="Cases &amp; Composites"/>
    <s v="CAS-222213-Y6N0V6"/>
    <s v="Ferdin Mustafa"/>
    <s v="Complete"/>
    <s v="Resolved"/>
    <s v="2-Routine"/>
    <n v="2"/>
    <s v="24KC363A"/>
    <s v="Repair-EA"/>
    <s v="OTC"/>
    <s v="PW4000"/>
    <s v="OCE"/>
    <s v="75%"/>
    <d v="2024-07-24T22:34:46"/>
    <d v="2024-09-13T04:00:00"/>
    <d v="2024-08-15T04:00:00"/>
    <x v="92"/>
    <d v="2024-07-31T19:56:22"/>
    <m/>
    <d v="2024-07-30T04:00:00"/>
    <d v="2024-07-30T04:00:00"/>
    <d v="2024-07-30T04:00:00"/>
    <d v="2024-07-30T04:00:00"/>
    <n v="0"/>
    <n v="0"/>
    <n v="0"/>
    <n v="6.2258564814765123"/>
    <n v="6.2258564814765123"/>
    <n v="0"/>
    <n v="0"/>
    <n v="0"/>
    <n v="0"/>
    <n v="0"/>
    <n v="0"/>
    <n v="0"/>
    <n v="0"/>
    <n v="0"/>
    <n v="6.2258564814765123"/>
    <n v="6.2258564814765123"/>
    <n v="-44"/>
    <n v="1"/>
  </r>
  <r>
    <s v="Cases &amp; Composites"/>
    <s v="MSG-240614-C81069"/>
    <s v="Ferdin Mustafa"/>
    <s v="Complete"/>
    <s v="Complete"/>
    <s v="2-Routine"/>
    <n v="2"/>
    <s v="24CCP24"/>
    <s v="Repair-EA"/>
    <s v="EM"/>
    <s v="PW1000G"/>
    <s v="PIP"/>
    <m/>
    <d v="2024-06-14T04:00:00"/>
    <d v="2024-10-31T04:00:00"/>
    <d v="2024-10-31T04:00:00"/>
    <x v="113"/>
    <d v="2024-10-28T14:40:55"/>
    <s v="Evaluate and substantiate continued viability of subject DMCs in EMM for applicability GTFA models and run parameters. Where not applicable Process PSAF to change DMC# to be Base Specific. See comments for further instructions."/>
    <m/>
    <m/>
    <m/>
    <m/>
    <s v=""/>
    <s v=""/>
    <n v="0"/>
    <n v="136"/>
    <n v="136"/>
    <n v="0"/>
    <n v="0"/>
    <n v="0"/>
    <n v="0"/>
    <n v="0"/>
    <n v="0"/>
    <n v="0"/>
    <n v="0"/>
    <n v="0"/>
    <n v="136"/>
    <n v="136"/>
    <n v="-3"/>
    <n v="1"/>
  </r>
  <r>
    <s v="Cases &amp; Composites"/>
    <s v="MSG-250110-D57A6D"/>
    <s v="Francisco Astiasaran"/>
    <s v="Complete"/>
    <s v="Complete"/>
    <s v="2-Routine"/>
    <n v="2"/>
    <s v="25CC053"/>
    <s v="Repair-EA"/>
    <s v="EM"/>
    <s v="PW1000G"/>
    <s v="PIP"/>
    <m/>
    <d v="2025-01-10T05:00:00"/>
    <d v="2025-01-27T05:00:00"/>
    <d v="2025-02-12T05:00:00"/>
    <x v="114"/>
    <d v="2025-02-12T13:40:49"/>
    <s v="FEB-Fan Blade PN 5331821"/>
    <d v="2025-01-14T05:00:00"/>
    <d v="2025-02-01T05:00:00"/>
    <d v="2025-02-01T05:00:00"/>
    <d v="2025-02-10T05:00:00"/>
    <n v="18"/>
    <n v="9"/>
    <n v="27"/>
    <n v="33"/>
    <n v="6"/>
    <n v="0"/>
    <n v="0"/>
    <n v="0"/>
    <n v="0"/>
    <n v="0"/>
    <n v="0"/>
    <n v="0"/>
    <n v="0"/>
    <n v="0"/>
    <n v="33"/>
    <n v="6"/>
    <n v="16"/>
    <n v="0"/>
  </r>
  <r>
    <s v="Cases &amp; Composites"/>
    <s v="CAS-148404-Q1L7D1"/>
    <s v="Ferdin Mustafa"/>
    <s v="Complete"/>
    <s v="Resolved"/>
    <s v="2-Routine"/>
    <n v="3"/>
    <s v="22CCH21"/>
    <s v="Repair-EA"/>
    <s v="EM"/>
    <s v="PW800"/>
    <m/>
    <m/>
    <d v="2022-05-11T21:03:18"/>
    <d v="2022-12-20T05:00:00"/>
    <d v="2024-01-05T05:00:00"/>
    <x v="115"/>
    <d v="2024-01-08T12:59:14"/>
    <m/>
    <d v="2022-10-13T04:00:00"/>
    <d v="2023-03-23T04:00:00"/>
    <d v="2023-03-23T04:00:00"/>
    <d v="2023-08-29T04:00:00"/>
    <n v="161"/>
    <n v="159"/>
    <n v="320"/>
    <n v="603.33104166667181"/>
    <n v="283.33104166667181"/>
    <n v="0"/>
    <n v="0"/>
    <n v="0"/>
    <n v="0"/>
    <n v="0"/>
    <n v="0"/>
    <n v="0"/>
    <n v="0"/>
    <n v="0"/>
    <n v="603.33104166667181"/>
    <n v="283.33104166667181"/>
    <n v="381"/>
    <n v="0"/>
  </r>
  <r>
    <s v="Cases &amp; Composites"/>
    <s v="CAS-158869-Z5C9C5"/>
    <s v="James Evans"/>
    <s v="Complete"/>
    <s v="Resolved"/>
    <s v="2-Routine"/>
    <n v="3"/>
    <s v="17CCI96I"/>
    <s v="Repair-EA"/>
    <s v="EM"/>
    <s v="PW1000G"/>
    <s v="30K"/>
    <m/>
    <d v="2022-09-20T20:33:55"/>
    <d v="2022-11-29T05:00:00"/>
    <d v="2024-06-14T04:00:00"/>
    <x v="116"/>
    <d v="2024-06-14T17:48:52"/>
    <s v="FanR-Blade - CIR - Strip &amp; Reapply Polyurethane Erosion Coating"/>
    <m/>
    <m/>
    <m/>
    <m/>
    <s v=""/>
    <s v=""/>
    <n v="0"/>
    <n v="630.30978009258979"/>
    <n v="630.30978009258979"/>
    <n v="0"/>
    <n v="0"/>
    <n v="0"/>
    <n v="0"/>
    <n v="0"/>
    <n v="0"/>
    <n v="0"/>
    <n v="188.22325593749702"/>
    <n v="188.22325593749702"/>
    <n v="442.08652415509277"/>
    <n v="442.08652415509277"/>
    <n v="560.95833333332848"/>
    <n v="0"/>
  </r>
  <r>
    <s v="Cases &amp; Composites"/>
    <s v="CAS-167234-Z5N5X1"/>
    <s v="Pedro Iturrino"/>
    <s v="Complete"/>
    <s v="Resolved"/>
    <s v="2-Routine"/>
    <n v="3"/>
    <s v="23CC345"/>
    <s v="Repair-EA"/>
    <s v="OTC"/>
    <s v="PW1000G"/>
    <s v="30K"/>
    <m/>
    <d v="2022-12-30T19:04:25"/>
    <d v="2023-04-28T04:00:00"/>
    <d v="2024-03-22T04:00:00"/>
    <x v="117"/>
    <d v="2024-03-22T16:16:38"/>
    <s v="IDC  MAR2"/>
    <d v="2023-03-23T04:00:00"/>
    <d v="2023-04-05T04:00:00"/>
    <d v="2023-04-05T04:00:00"/>
    <d v="2023-09-29T04:00:00"/>
    <n v="13"/>
    <n v="177"/>
    <n v="190"/>
    <n v="445.37193287036644"/>
    <n v="255.37193287036644"/>
    <n v="0"/>
    <n v="0"/>
    <n v="0"/>
    <n v="0"/>
    <n v="0"/>
    <n v="0"/>
    <n v="0"/>
    <n v="0.90879208333353745"/>
    <n v="0.90879208333353745"/>
    <n v="444.4631407870329"/>
    <n v="254.4631407870329"/>
    <n v="327"/>
    <n v="0"/>
  </r>
  <r>
    <s v="Cases &amp; Composites"/>
    <s v="CAS-176098-V4K5N6"/>
    <s v="Robert Thompson"/>
    <s v="Complete"/>
    <s v="Resolved"/>
    <s v="2-Routine"/>
    <n v="3"/>
    <s v="23FC158"/>
    <s v="Repair-EA"/>
    <s v="OTC"/>
    <s v="PW2000"/>
    <s v="OCE"/>
    <m/>
    <d v="2023-03-30T20:13:18"/>
    <d v="2023-12-22T05:00:00"/>
    <d v="2024-01-31T05:00:00"/>
    <x v="118"/>
    <d v="2024-01-16T15:03:28"/>
    <s v="Jan."/>
    <d v="2023-06-13T04:00:00"/>
    <d v="2023-06-14T04:00:00"/>
    <d v="2023-06-14T04:00:00"/>
    <d v="2023-06-28T04:00:00"/>
    <n v="1"/>
    <n v="14"/>
    <n v="15"/>
    <n v="291.3657638888908"/>
    <n v="276.3657638888908"/>
    <n v="0"/>
    <n v="0"/>
    <n v="0"/>
    <n v="0"/>
    <n v="0"/>
    <n v="0"/>
    <n v="0"/>
    <n v="0"/>
    <n v="0"/>
    <n v="291.3657638888908"/>
    <n v="276.3657638888908"/>
    <n v="25"/>
    <n v="0"/>
  </r>
  <r>
    <s v="Cases &amp; Composites"/>
    <s v="MSG-ID-20230512123251010-172"/>
    <s v="Dean Catlett"/>
    <s v="Complete"/>
    <s v="Complete"/>
    <s v="2-Routine"/>
    <n v="3"/>
    <s v="23KC585"/>
    <s v="Repair-EA"/>
    <s v="OTC"/>
    <s v="PW4000"/>
    <s v="OCE"/>
    <m/>
    <d v="2023-05-12T04:00:00"/>
    <d v="2023-12-01T05:00:00"/>
    <d v="2024-06-04T04:00:00"/>
    <x v="119"/>
    <d v="2024-05-02T14:39:09"/>
    <s v="S/N 9132. May 2024"/>
    <d v="2023-05-18T04:00:00"/>
    <d v="2024-04-23T04:00:00"/>
    <d v="2024-04-23T04:00:00"/>
    <d v="2024-04-23T04:00:00"/>
    <n v="341"/>
    <n v="0"/>
    <n v="341"/>
    <n v="355"/>
    <n v="14"/>
    <n v="0"/>
    <n v="0"/>
    <n v="0"/>
    <n v="0"/>
    <n v="0"/>
    <n v="0"/>
    <n v="0"/>
    <n v="0"/>
    <n v="0"/>
    <n v="355"/>
    <n v="14"/>
    <n v="151.95833333332848"/>
    <n v="0"/>
  </r>
  <r>
    <s v="Cases &amp; Composites"/>
    <s v="CAS-181701-Q2R9F0"/>
    <s v="Jia Chen"/>
    <s v="Complete"/>
    <s v="Active"/>
    <s v="2-Routine"/>
    <n v="3"/>
    <s v="23KC515"/>
    <s v="Repair-EA"/>
    <s v="OTC"/>
    <s v="PW4000"/>
    <s v="AMO"/>
    <m/>
    <d v="2023-05-31T13:41:12"/>
    <d v="2023-12-12T05:00:00"/>
    <d v="2024-02-16T05:00:00"/>
    <x v="120"/>
    <d v="2024-02-12T18:48:11"/>
    <s v="FEB2"/>
    <d v="2023-11-30T05:00:00"/>
    <d v="2023-12-01T05:00:00"/>
    <d v="2023-12-01T05:00:00"/>
    <d v="2024-01-19T05:00:00"/>
    <n v="1"/>
    <n v="49"/>
    <n v="50"/>
    <n v="256.63805555555882"/>
    <n v="206.63805555555882"/>
    <n v="0"/>
    <n v="0"/>
    <n v="0"/>
    <n v="0"/>
    <n v="0"/>
    <n v="0"/>
    <n v="0"/>
    <n v="0"/>
    <n v="0"/>
    <n v="256.63805555555882"/>
    <n v="206.63805555555882"/>
    <n v="62"/>
    <n v="0"/>
  </r>
  <r>
    <s v="Cases &amp; Composites"/>
    <s v="CAS-181064-P9L4R0"/>
    <s v="Ferdin Mustafa"/>
    <s v="Complete"/>
    <s v="Resolved"/>
    <s v="2-Routine"/>
    <n v="3"/>
    <s v="23AC085"/>
    <s v="Repair-EA"/>
    <s v="EM"/>
    <s v="GP7000"/>
    <s v="GP7000"/>
    <m/>
    <d v="2023-05-24T11:11:00"/>
    <d v="2023-12-01T05:00:00"/>
    <d v="2024-06-26T04:00:00"/>
    <x v="121"/>
    <d v="2024-06-11T13:00:02"/>
    <s v="June"/>
    <d v="2023-09-14T04:00:00"/>
    <d v="2023-09-18T04:00:00"/>
    <d v="2023-09-18T04:00:00"/>
    <d v="2024-01-31T05:00:00"/>
    <n v="4"/>
    <n v="135.04166666667152"/>
    <n v="139.04166666667152"/>
    <n v="382.7006944444438"/>
    <n v="243.65902777777228"/>
    <n v="0"/>
    <n v="0"/>
    <n v="0"/>
    <n v="0"/>
    <n v="0"/>
    <n v="0"/>
    <n v="0"/>
    <n v="0"/>
    <n v="0"/>
    <n v="382.7006944444438"/>
    <n v="243.65902777777228"/>
    <n v="191.95833333332848"/>
    <n v="0"/>
  </r>
  <r>
    <s v="Cases &amp; Composites"/>
    <s v="CAS-205524-P7J8N0"/>
    <s v="Robert Thompson"/>
    <s v="Complete"/>
    <s v="Resolved"/>
    <s v="2-Routine"/>
    <n v="3"/>
    <s v="20CC974B"/>
    <s v="Repair-EA"/>
    <s v="EM"/>
    <s v="PW1000G"/>
    <s v="30K"/>
    <m/>
    <d v="2024-02-01T18:42:09"/>
    <d v="2024-04-12T04:00:00"/>
    <d v="2024-04-05T04:00:00"/>
    <x v="122"/>
    <d v="2024-04-05T13:37:06"/>
    <s v="AprFanR-Cone"/>
    <m/>
    <m/>
    <m/>
    <m/>
    <s v=""/>
    <s v=""/>
    <n v="0"/>
    <n v="63.387395833327901"/>
    <n v="63.387395833327901"/>
    <n v="0"/>
    <n v="0"/>
    <n v="0"/>
    <n v="0"/>
    <n v="0"/>
    <n v="0"/>
    <n v="0"/>
    <n v="0"/>
    <n v="0"/>
    <n v="63.387395833327901"/>
    <n v="63.387395833327901"/>
    <n v="-7"/>
    <n v="1"/>
  </r>
  <r>
    <s v="Cases &amp; Composites"/>
    <s v="CAS-208502-H9D6S5"/>
    <s v="Robert Thompson"/>
    <s v="Complete"/>
    <s v="Resolved"/>
    <s v="2-Routine"/>
    <n v="3"/>
    <s v="24KC209"/>
    <s v="Repair-EA"/>
    <s v="OTC"/>
    <s v="PW4000"/>
    <s v="AMO"/>
    <m/>
    <d v="2024-03-04T20:24:03"/>
    <d v="2024-04-29T04:00:00"/>
    <d v="2024-05-03T04:00:00"/>
    <x v="123"/>
    <d v="2024-05-02T20:54:38"/>
    <s v="May"/>
    <m/>
    <m/>
    <m/>
    <m/>
    <s v=""/>
    <s v=""/>
    <n v="0"/>
    <n v="58.316631944442634"/>
    <n v="58.316631944442634"/>
    <n v="0"/>
    <n v="0"/>
    <n v="0"/>
    <n v="0"/>
    <n v="0"/>
    <n v="0"/>
    <n v="0"/>
    <n v="0"/>
    <n v="0"/>
    <n v="58.316631944442634"/>
    <n v="58.316631944442634"/>
    <n v="3"/>
    <n v="0"/>
  </r>
  <r>
    <s v="Cases &amp; Composites"/>
    <s v="CAS-218301-W4D3W8"/>
    <s v="Ferdin Mustafa"/>
    <s v="Complete"/>
    <s v="Resolved"/>
    <s v="2-Routine"/>
    <n v="3"/>
    <s v="24KC363"/>
    <s v="Repair-EA"/>
    <s v="OTC"/>
    <s v="PW4000"/>
    <s v="OCE"/>
    <s v="75%"/>
    <d v="2024-06-17T15:06:06"/>
    <d v="2024-10-07T04:00:00"/>
    <d v="2024-10-07T04:00:00"/>
    <x v="3"/>
    <d v="2024-07-19T14:48:42"/>
    <s v="July"/>
    <d v="2024-06-27T04:00:00"/>
    <d v="2024-06-27T04:00:00"/>
    <d v="2024-06-27T04:00:00"/>
    <d v="2024-06-27T04:00:00"/>
    <n v="0"/>
    <n v="0"/>
    <n v="0"/>
    <n v="30.537430555552419"/>
    <n v="30.537430555552419"/>
    <n v="0"/>
    <n v="0"/>
    <n v="0"/>
    <n v="0"/>
    <n v="0"/>
    <n v="0"/>
    <n v="0"/>
    <n v="0"/>
    <n v="0"/>
    <n v="30.537430555552419"/>
    <n v="30.537430555552419"/>
    <n v="-81"/>
    <n v="1"/>
  </r>
  <r>
    <s v="Cases &amp; Composites"/>
    <s v="CAS-257437-S8R2J4"/>
    <s v="Joshua Desjardins"/>
    <s v="Complete"/>
    <s v="Resolved"/>
    <s v="2-Routine"/>
    <n v="3"/>
    <s v="25AC108"/>
    <s v="Repair-EA"/>
    <s v="Discretionary"/>
    <s v="GP7000"/>
    <s v="GP7000"/>
    <m/>
    <d v="2025-07-01T12:51:10"/>
    <d v="2025-07-15T04:00:00"/>
    <d v="2025-07-15T04:00:00"/>
    <x v="124"/>
    <d v="2025-07-09T18:28:50"/>
    <s v="DR# 02201923"/>
    <m/>
    <m/>
    <m/>
    <m/>
    <s v=""/>
    <s v=""/>
    <n v="0"/>
    <n v="6.6311342592598521"/>
    <n v="6.6311342592598521"/>
    <n v="0"/>
    <n v="0"/>
    <n v="0"/>
    <n v="0"/>
    <n v="0"/>
    <n v="0"/>
    <n v="0"/>
    <n v="0"/>
    <n v="0"/>
    <n v="6.6311342592598521"/>
    <n v="6.6311342592598521"/>
    <n v="-7"/>
    <n v="1"/>
  </r>
  <r>
    <s v="Cases &amp; Composites"/>
    <n v="100872"/>
    <s v="Jia Chen"/>
    <s v="Complete"/>
    <s v="Closed"/>
    <s v="2-Routine"/>
    <n v="4"/>
    <s v="23FC119A"/>
    <s v="Repair-EA"/>
    <s v="OTC"/>
    <s v="PW2000"/>
    <s v="AMO"/>
    <m/>
    <d v="2023-08-31T04:00:00"/>
    <d v="2023-12-22T05:00:00"/>
    <d v="2024-02-28T05:00:00"/>
    <x v="125"/>
    <d v="2024-02-16T19:45:07"/>
    <s v="FEB2"/>
    <d v="2023-09-07T04:00:00"/>
    <d v="2023-09-15T04:00:00"/>
    <d v="2023-09-15T04:00:00"/>
    <d v="2024-02-14T05:00:00"/>
    <n v="8"/>
    <n v="152.04166666667152"/>
    <n v="160.04166666667152"/>
    <n v="169.04166666667152"/>
    <n v="9"/>
    <n v="0"/>
    <n v="0"/>
    <n v="0"/>
    <n v="0"/>
    <n v="0"/>
    <n v="0"/>
    <n v="0"/>
    <n v="0"/>
    <n v="0"/>
    <n v="169.04166666667152"/>
    <n v="9"/>
    <n v="56"/>
    <n v="0"/>
  </r>
  <r>
    <s v="Cases &amp; Composites"/>
    <s v="CAS-181836-T9D3S7"/>
    <s v="Ferdin Mustafa"/>
    <s v="Complete"/>
    <s v="Resolved"/>
    <s v="2-Routine"/>
    <n v="4"/>
    <s v="23KC529"/>
    <s v="Repair-EA"/>
    <s v="OTC"/>
    <s v="PW4000"/>
    <s v="AMO"/>
    <m/>
    <d v="2023-06-01T16:20:49"/>
    <d v="2023-12-08T05:00:00"/>
    <d v="2024-01-31T05:00:00"/>
    <x v="126"/>
    <d v="2024-01-30T18:31:18"/>
    <m/>
    <d v="2023-10-03T04:00:00"/>
    <d v="2023-11-09T05:00:00"/>
    <d v="2023-11-09T05:00:00"/>
    <d v="2023-12-21T05:00:00"/>
    <n v="37.041666666671517"/>
    <n v="42"/>
    <n v="79.041666666671517"/>
    <n v="242.52721064814978"/>
    <n v="163.48554398147826"/>
    <n v="0"/>
    <n v="0"/>
    <n v="0"/>
    <n v="0"/>
    <n v="0"/>
    <n v="0"/>
    <n v="0"/>
    <n v="0"/>
    <n v="0"/>
    <n v="242.52721064814978"/>
    <n v="163.48554398147826"/>
    <n v="53"/>
    <n v="0"/>
  </r>
  <r>
    <s v="Cases &amp; Composites"/>
    <s v="CAS-190843-V6S2C0"/>
    <s v="Pedro Iturrino"/>
    <s v="Complete"/>
    <s v="Resolved"/>
    <s v="2-Routine"/>
    <n v="4"/>
    <s v="23KC580"/>
    <s v="Repair-EA"/>
    <s v="OTC"/>
    <s v="PW4000"/>
    <s v="AMO"/>
    <m/>
    <d v="2023-09-06T20:09:32"/>
    <d v="2024-01-26T05:00:00"/>
    <d v="2024-03-08T05:00:00"/>
    <x v="127"/>
    <d v="2024-03-01T10:45:48"/>
    <s v="FEB2"/>
    <d v="2023-11-14T05:00:00"/>
    <d v="2023-11-27T05:00:00"/>
    <d v="2023-11-27T05:00:00"/>
    <d v="2023-11-30T05:00:00"/>
    <n v="13"/>
    <n v="3"/>
    <n v="16"/>
    <n v="175.36837962963182"/>
    <n v="159.36837962963182"/>
    <n v="0"/>
    <n v="0"/>
    <n v="0"/>
    <n v="0"/>
    <n v="0"/>
    <n v="0"/>
    <n v="0"/>
    <n v="0"/>
    <n v="0"/>
    <n v="175.36837962963182"/>
    <n v="159.36837962963182"/>
    <n v="34"/>
    <n v="0"/>
  </r>
  <r>
    <s v="Cases &amp; Composites"/>
    <s v="CAS-195500-B7Q3X4"/>
    <s v="Jia Chen"/>
    <s v="Complete"/>
    <s v="Resolved"/>
    <s v="2-Routine"/>
    <n v="4"/>
    <s v="23FC329"/>
    <s v="Repair-EA"/>
    <s v="Discretionary"/>
    <s v="PW2000"/>
    <s v="AMO"/>
    <m/>
    <d v="2023-10-18T13:57:43"/>
    <d v="2024-02-16T05:00:00"/>
    <d v="2024-02-16T05:00:00"/>
    <x v="128"/>
    <d v="2024-02-07T15:11:05"/>
    <s v="FEB1"/>
    <d v="2023-11-17T05:00:00"/>
    <d v="2023-12-21T05:00:00"/>
    <d v="2023-12-21T05:00:00"/>
    <d v="2023-12-21T05:00:00"/>
    <n v="34"/>
    <n v="0"/>
    <n v="34"/>
    <n v="111.62658564814774"/>
    <n v="77.626585648147739"/>
    <n v="0"/>
    <n v="0"/>
    <n v="0"/>
    <n v="0"/>
    <n v="0"/>
    <n v="4"/>
    <n v="0"/>
    <n v="0"/>
    <n v="4"/>
    <n v="107.62658564814774"/>
    <n v="73.626585648147739"/>
    <n v="-9"/>
    <n v="1"/>
  </r>
  <r>
    <s v="Cases &amp; Composites"/>
    <s v="CAS-196510-G0K6B8"/>
    <s v="Robert Thompson"/>
    <s v="Complete"/>
    <s v="Resolved"/>
    <s v="2-Routine"/>
    <n v="4"/>
    <s v="22CCG93B"/>
    <s v="Repair-EA"/>
    <s v="EM"/>
    <s v="PW1000G"/>
    <s v="24K"/>
    <m/>
    <d v="2023-10-27T12:27:19"/>
    <d v="2024-02-16T05:00:00"/>
    <d v="2024-03-22T04:00:00"/>
    <x v="129"/>
    <d v="2024-03-25T13:15:15"/>
    <s v="Mar2"/>
    <d v="2023-12-01T05:00:00"/>
    <d v="2024-03-07T05:00:00"/>
    <d v="2024-03-07T05:00:00"/>
    <d v="2024-03-07T05:00:00"/>
    <n v="97"/>
    <n v="0"/>
    <n v="97"/>
    <n v="146.64769675925345"/>
    <n v="49.647696759253449"/>
    <n v="0"/>
    <n v="0"/>
    <n v="0"/>
    <n v="0"/>
    <n v="0"/>
    <n v="23.089565879628935"/>
    <n v="0"/>
    <n v="0"/>
    <n v="23.089565879628935"/>
    <n v="123.55813087962451"/>
    <n v="26.558130879624514"/>
    <n v="34.958333333328483"/>
    <n v="0"/>
  </r>
  <r>
    <s v="Cases &amp; Composites"/>
    <s v="CAS-196528-T0G2Y5"/>
    <s v="Orlando Melendez Colon"/>
    <s v="Complete"/>
    <s v="Resolved"/>
    <s v="2-Routine"/>
    <n v="4"/>
    <s v="23VC493"/>
    <s v="Repair-EA"/>
    <s v="OTC"/>
    <s v="V2500"/>
    <s v="V2500"/>
    <m/>
    <d v="2023-10-27T14:43:02"/>
    <d v="2024-01-19T05:00:00"/>
    <d v="2024-05-24T04:00:00"/>
    <x v="130"/>
    <d v="2024-05-20T16:34:30"/>
    <s v="May"/>
    <d v="2023-12-13T05:00:00"/>
    <d v="2023-12-22T05:00:00"/>
    <d v="2023-12-22T05:00:00"/>
    <d v="2023-12-22T05:00:00"/>
    <n v="9"/>
    <n v="0"/>
    <n v="9"/>
    <n v="195.55344907406834"/>
    <n v="186.55344907406834"/>
    <n v="0"/>
    <n v="0"/>
    <n v="0"/>
    <n v="0"/>
    <n v="0"/>
    <n v="0"/>
    <n v="0"/>
    <n v="38"/>
    <n v="38"/>
    <n v="157.55344907406834"/>
    <n v="148.55344907406834"/>
    <n v="111.95833333332848"/>
    <n v="0"/>
  </r>
  <r>
    <s v="Cases &amp; Composites"/>
    <s v="CAS-195545-R6V4J5"/>
    <s v="Ferdin Mustafa"/>
    <s v="Complete"/>
    <s v="Resolved"/>
    <s v="2-Routine"/>
    <n v="4"/>
    <s v="23KC652"/>
    <s v="Repair-EA"/>
    <s v="OTC"/>
    <s v="PW4000"/>
    <m/>
    <m/>
    <d v="2023-10-19T10:44:59"/>
    <d v="2024-01-12T05:00:00"/>
    <d v="2024-01-31T05:00:00"/>
    <x v="30"/>
    <d v="2024-01-22T21:46:28"/>
    <m/>
    <d v="2023-11-01T04:00:00"/>
    <d v="2023-12-11T05:00:00"/>
    <d v="2023-12-11T05:00:00"/>
    <d v="2024-01-08T05:00:00"/>
    <n v="40.041666666671517"/>
    <n v="28"/>
    <n v="68.041666666671517"/>
    <n v="94.760428240741021"/>
    <n v="26.718761574069504"/>
    <n v="0"/>
    <n v="0"/>
    <n v="0"/>
    <n v="0"/>
    <n v="0"/>
    <n v="7"/>
    <n v="0"/>
    <n v="0"/>
    <n v="7"/>
    <n v="87.760428240741021"/>
    <n v="19.718761574069504"/>
    <n v="10"/>
    <n v="0"/>
  </r>
  <r>
    <s v="Cases &amp; Composites"/>
    <s v="CAS-197681-M2J4H7"/>
    <s v="Ferdin Mustafa"/>
    <s v="Complete"/>
    <s v="Resolved"/>
    <s v="2-Routine"/>
    <n v="4"/>
    <s v="24KC117"/>
    <s v="Repair-EA"/>
    <s v="OTC"/>
    <s v="PW4000"/>
    <s v="AMO"/>
    <m/>
    <d v="2023-11-08T12:56:08"/>
    <d v="2024-06-05T04:00:00"/>
    <d v="2024-09-30T04:00:00"/>
    <x v="40"/>
    <d v="2024-09-24T05:00:33"/>
    <s v="September"/>
    <d v="2023-11-29T05:00:00"/>
    <d v="2024-02-26T05:00:00"/>
    <d v="2024-02-26T05:00:00"/>
    <d v="2024-06-21T04:00:00"/>
    <n v="89"/>
    <n v="115.95833333332848"/>
    <n v="204.95833333332848"/>
    <n v="319.62768518517987"/>
    <n v="114.66935185185139"/>
    <n v="0"/>
    <n v="0"/>
    <n v="0"/>
    <n v="0"/>
    <n v="0"/>
    <n v="5"/>
    <n v="0"/>
    <n v="0"/>
    <n v="5"/>
    <n v="314.62768518517987"/>
    <n v="109.66935185185139"/>
    <n v="110"/>
    <n v="0"/>
  </r>
  <r>
    <s v="Cases &amp; Composites"/>
    <s v="CAS-203434-K7W1R0"/>
    <s v="Jia Chen"/>
    <s v="Complete"/>
    <s v="Resolved"/>
    <s v="2-Routine"/>
    <n v="4"/>
    <s v="24CCD55"/>
    <s v="Repair-EA"/>
    <s v="OTC"/>
    <s v="PW1000G"/>
    <s v="24K"/>
    <m/>
    <d v="2024-01-11T16:22:19"/>
    <d v="2024-05-06T04:00:00"/>
    <d v="2024-06-28T04:00:00"/>
    <x v="131"/>
    <d v="2024-07-01T13:25:44"/>
    <s v="June"/>
    <d v="2024-02-22T05:00:00"/>
    <d v="2024-05-03T04:00:00"/>
    <d v="2024-05-03T04:00:00"/>
    <d v="2024-06-06T04:00:00"/>
    <n v="70.958333333328483"/>
    <n v="34"/>
    <n v="104.95833333332848"/>
    <n v="170.48450231481547"/>
    <n v="65.52616898148699"/>
    <n v="0"/>
    <n v="0"/>
    <n v="0"/>
    <n v="0"/>
    <n v="0"/>
    <n v="15.151072870372445"/>
    <n v="0"/>
    <n v="0"/>
    <n v="15.151072870372445"/>
    <n v="155.33342944444303"/>
    <n v="50.375096111114544"/>
    <n v="55"/>
    <n v="0"/>
  </r>
  <r>
    <s v="Cases &amp; Composites"/>
    <s v="CAS-207809-D3T5Z9"/>
    <s v="Jia Chen"/>
    <s v="Complete"/>
    <s v="Resolved"/>
    <s v="2-Routine"/>
    <n v="4"/>
    <s v="24VC095"/>
    <s v="Repair-EA"/>
    <s v="OTC"/>
    <s v="V2500"/>
    <s v="AMO"/>
    <m/>
    <d v="2024-02-26T15:49:19"/>
    <d v="2024-04-16T04:00:00"/>
    <d v="2024-05-22T04:00:00"/>
    <x v="72"/>
    <d v="2024-05-20T20:33:03"/>
    <s v="May"/>
    <d v="2024-03-07T05:00:00"/>
    <d v="2024-05-03T04:00:00"/>
    <d v="2024-05-03T04:00:00"/>
    <d v="2024-05-08T04:00:00"/>
    <n v="56.958333333328483"/>
    <n v="5"/>
    <n v="61.958333333328483"/>
    <n v="83.507418981476803"/>
    <n v="21.549085648148321"/>
    <n v="0"/>
    <n v="0"/>
    <n v="0"/>
    <n v="0"/>
    <n v="0"/>
    <n v="0"/>
    <n v="0"/>
    <n v="0"/>
    <n v="0"/>
    <n v="83.507418981476803"/>
    <n v="21.549085648148321"/>
    <n v="34"/>
    <n v="0"/>
  </r>
  <r>
    <s v="Cases &amp; Composites"/>
    <s v="CAS-209381-B0Y4R1"/>
    <s v="Robert Thompson"/>
    <s v="Complete"/>
    <s v="Resolved"/>
    <s v="2-Routine"/>
    <n v="4"/>
    <s v="15CCF04G"/>
    <s v="Repair-EA"/>
    <s v="EM"/>
    <s v="PW1000G"/>
    <s v="30K"/>
    <m/>
    <d v="2024-03-13T15:38:36"/>
    <d v="2024-05-03T04:00:00"/>
    <d v="2024-04-29T04:00:00"/>
    <x v="132"/>
    <d v="2024-04-29T17:32:45"/>
    <s v="FanR-Blade"/>
    <m/>
    <m/>
    <m/>
    <m/>
    <s v=""/>
    <s v=""/>
    <n v="0"/>
    <n v="46.514861111107166"/>
    <n v="46.514861111107166"/>
    <n v="0"/>
    <n v="0"/>
    <n v="0"/>
    <n v="0"/>
    <n v="0"/>
    <n v="0"/>
    <n v="0"/>
    <n v="0"/>
    <n v="0"/>
    <n v="46.514861111107166"/>
    <n v="46.514861111107166"/>
    <n v="-4"/>
    <n v="1"/>
  </r>
  <r>
    <s v="Cases &amp; Composites"/>
    <s v="CAS-211529-V9L0T8"/>
    <s v="Ferdin Mustafa"/>
    <s v="Complete"/>
    <s v="Resolved"/>
    <s v="2-Routine"/>
    <n v="4"/>
    <s v="24KC201"/>
    <s v="Repair-EA"/>
    <s v="EM"/>
    <s v="PW4000"/>
    <m/>
    <m/>
    <d v="2024-04-05T17:47:54"/>
    <d v="2024-06-07T04:00:00"/>
    <d v="2024-08-23T04:00:00"/>
    <x v="85"/>
    <d v="2024-05-08T13:13:55"/>
    <s v="May"/>
    <m/>
    <m/>
    <m/>
    <m/>
    <s v=""/>
    <s v=""/>
    <n v="0"/>
    <n v="31.42506944444176"/>
    <n v="31.42506944444176"/>
    <n v="0"/>
    <n v="0"/>
    <n v="0"/>
    <n v="0"/>
    <n v="0"/>
    <n v="0"/>
    <n v="0"/>
    <n v="0"/>
    <n v="0"/>
    <n v="31.42506944444176"/>
    <n v="31.42506944444176"/>
    <n v="-31"/>
    <n v="1"/>
  </r>
  <r>
    <s v="Cases &amp; Composites"/>
    <n v="105360"/>
    <s v="Pedro Iturrino"/>
    <s v="Complete"/>
    <s v="Closed"/>
    <s v="2-Routine"/>
    <n v="4"/>
    <s v="24FC136"/>
    <s v="Repair-EA"/>
    <s v="OTC"/>
    <s v="PW2000"/>
    <s v="AMO"/>
    <m/>
    <d v="2024-04-17T04:00:00"/>
    <d v="2024-05-28T04:00:00"/>
    <d v="2024-05-28T04:00:00"/>
    <x v="133"/>
    <d v="2024-05-22T12:42:03"/>
    <m/>
    <d v="2024-05-06T04:00:00"/>
    <d v="2024-05-07T04:00:00"/>
    <d v="2024-05-07T04:00:00"/>
    <d v="2024-05-09T04:00:00"/>
    <n v="1"/>
    <n v="2"/>
    <n v="3"/>
    <n v="34"/>
    <n v="31"/>
    <n v="0"/>
    <n v="0"/>
    <n v="0"/>
    <n v="0"/>
    <n v="0"/>
    <n v="1"/>
    <n v="0"/>
    <n v="0"/>
    <n v="1"/>
    <n v="33"/>
    <n v="30"/>
    <n v="-7"/>
    <n v="1"/>
  </r>
  <r>
    <s v="Cases &amp; Composites"/>
    <s v="CAS-214982-X2T0F9"/>
    <s v="Robert Thompson"/>
    <s v="Complete"/>
    <s v="Resolved"/>
    <s v="2-Routine"/>
    <n v="4"/>
    <s v="24KC295"/>
    <s v="Repair-EA"/>
    <s v="OTC"/>
    <s v="PW4000"/>
    <s v="AMO"/>
    <s v="50%"/>
    <d v="2024-05-14T17:16:35"/>
    <d v="2024-06-14T04:00:00"/>
    <d v="2024-06-04T04:00:00"/>
    <x v="134"/>
    <d v="2024-06-06T12:08:04"/>
    <s v="June"/>
    <d v="2024-05-21T04:00:00"/>
    <d v="2024-05-23T04:00:00"/>
    <d v="2024-05-23T04:00:00"/>
    <d v="2024-05-30T04:00:00"/>
    <n v="2"/>
    <n v="7"/>
    <n v="9"/>
    <n v="21.446817129624833"/>
    <n v="12.446817129624833"/>
    <n v="0"/>
    <n v="0"/>
    <n v="0"/>
    <n v="0"/>
    <n v="0"/>
    <n v="0"/>
    <n v="0"/>
    <n v="0"/>
    <n v="0"/>
    <n v="21.446817129624833"/>
    <n v="12.446817129624833"/>
    <n v="-9"/>
    <n v="1"/>
  </r>
  <r>
    <s v="Cases &amp; Composites"/>
    <s v="MSG-240111-343FFA"/>
    <s v="Bruce Zoyaar"/>
    <s v="Complete"/>
    <s v="Complete"/>
    <s v="2-Routine"/>
    <n v="4"/>
    <s v="21CCM16C"/>
    <s v="Repair-EA"/>
    <s v="MR"/>
    <s v="PW1000G"/>
    <s v="24K"/>
    <m/>
    <d v="2024-01-11T05:00:00"/>
    <d v="2024-08-23T04:00:00"/>
    <d v="2025-02-14T05:00:00"/>
    <x v="135"/>
    <d v="2025-02-11T19:28:27"/>
    <s v="Feb - Revise 21CCm16B to allow for larger repair limits. Field data from OTC supports this: 23(CC872/CCL23/CC844/CCH59). 23CCh59 is largest wear. Current repair uses  PWA53-47,and an equivalent is 271-47, consider updating when 53-47 limit reached."/>
    <d v="2024-07-18T04:00:00"/>
    <d v="2024-07-19T04:00:00"/>
    <d v="2024-07-19T04:00:00"/>
    <d v="2024-10-20T04:00:00"/>
    <n v="1"/>
    <n v="93"/>
    <n v="94"/>
    <n v="397"/>
    <n v="303"/>
    <n v="0"/>
    <n v="0"/>
    <n v="0"/>
    <n v="0"/>
    <n v="0"/>
    <n v="0"/>
    <n v="0"/>
    <n v="0"/>
    <n v="0"/>
    <n v="397"/>
    <n v="303"/>
    <n v="172.04166666667152"/>
    <n v="0"/>
  </r>
  <r>
    <s v="Cases &amp; Composites"/>
    <s v="MSG-250521-5411ED"/>
    <s v="Alexander Page"/>
    <s v="Complete"/>
    <s v="Complete"/>
    <s v="2-Routine"/>
    <n v="4"/>
    <s v="22CCD52E"/>
    <s v="Repair-EA"/>
    <s v="EM"/>
    <s v="PW1000G"/>
    <s v="30K"/>
    <s v="75%"/>
    <d v="2025-05-21T04:00:00"/>
    <d v="2025-08-08T04:00:00"/>
    <d v="2025-08-08T04:00:00"/>
    <x v="136"/>
    <d v="2025-07-21T15:54:21"/>
    <s v="Planning in support of 2025 TIC Inner Case part recovery"/>
    <d v="2025-06-02T04:00:00"/>
    <d v="2025-06-02T04:00:00"/>
    <d v="2025-07-16T04:00:00"/>
    <d v="2025-07-16T04:00:00"/>
    <n v="0"/>
    <n v="0"/>
    <n v="0"/>
    <n v="58"/>
    <n v="58"/>
    <n v="0"/>
    <n v="0"/>
    <n v="0"/>
    <n v="0"/>
    <n v="0"/>
    <n v="0"/>
    <n v="0"/>
    <n v="0"/>
    <n v="0"/>
    <n v="58"/>
    <n v="58"/>
    <n v="-21"/>
    <n v="1"/>
  </r>
  <r>
    <s v="Cases &amp; Composites"/>
    <s v="CAS-171976-D6F1X2"/>
    <s v="Ferdin Mustafa"/>
    <s v="Complete"/>
    <s v="Resolved"/>
    <s v="2-Routine"/>
    <n v="5"/>
    <s v="23CCE89"/>
    <s v="Repair-EA"/>
    <s v="EM"/>
    <s v="PW800"/>
    <s v="17-24K"/>
    <m/>
    <d v="2023-02-17T21:46:09"/>
    <d v="2023-08-18T04:00:00"/>
    <d v="2024-02-15T05:00:00"/>
    <x v="127"/>
    <d v="2024-02-29T19:43:07"/>
    <s v="Feb1"/>
    <m/>
    <m/>
    <m/>
    <m/>
    <s v=""/>
    <s v=""/>
    <n v="0"/>
    <n v="376.30128472222714"/>
    <n v="376.30128472222714"/>
    <n v="0"/>
    <n v="0"/>
    <n v="0"/>
    <n v="0"/>
    <n v="0"/>
    <n v="0"/>
    <n v="0"/>
    <n v="0"/>
    <n v="0"/>
    <n v="376.30128472222714"/>
    <n v="376.30128472222714"/>
    <n v="195.04166666667152"/>
    <n v="0"/>
  </r>
  <r>
    <s v="Cases &amp; Composites"/>
    <s v="CAS-178009-N9J0G4"/>
    <s v="Robert Thompson"/>
    <s v="Complete"/>
    <s v="Resolved"/>
    <s v="2-Routine"/>
    <n v="5"/>
    <s v="20CC288A"/>
    <s v="Repair-EA"/>
    <s v="EM"/>
    <s v="PW1000G"/>
    <s v="24K"/>
    <m/>
    <d v="2023-04-20T18:17:21"/>
    <d v="2023-05-12T04:00:00"/>
    <d v="2023-12-22T05:00:00"/>
    <x v="137"/>
    <d v="2024-01-02T20:48:29"/>
    <m/>
    <d v="2023-06-27T04:00:00"/>
    <d v="2023-06-30T04:00:00"/>
    <d v="2023-06-30T04:00:00"/>
    <d v="2023-12-14T05:00:00"/>
    <n v="3"/>
    <n v="167.04166666667152"/>
    <n v="170.04166666667152"/>
    <n v="256.44628472222394"/>
    <n v="86.404618055552419"/>
    <n v="0"/>
    <n v="0"/>
    <n v="0"/>
    <n v="0"/>
    <n v="0"/>
    <n v="0"/>
    <n v="135.08897734954371"/>
    <n v="0"/>
    <n v="135.08897734954371"/>
    <n v="121.35730737268022"/>
    <n v="-48.684359293991292"/>
    <n v="235.04166666667152"/>
    <n v="0"/>
  </r>
  <r>
    <s v="Cases &amp; Composites"/>
    <s v="CAS-181112-G6S7C4"/>
    <s v="Robert Thompson"/>
    <s v="Complete"/>
    <s v="Resolved"/>
    <s v="2-Routine"/>
    <n v="5"/>
    <s v="22CC864A"/>
    <s v="Repair-EA"/>
    <s v="EM"/>
    <s v="PW1000G"/>
    <s v="24K"/>
    <m/>
    <d v="2023-05-24T18:45:26"/>
    <d v="2023-09-08T04:00:00"/>
    <d v="2024-05-27T04:00:00"/>
    <x v="138"/>
    <d v="2024-05-16T17:57:16"/>
    <s v="May"/>
    <m/>
    <m/>
    <m/>
    <m/>
    <s v=""/>
    <s v=""/>
    <n v="0"/>
    <n v="357.38511574074073"/>
    <n v="357.38511574074073"/>
    <n v="0"/>
    <n v="0"/>
    <n v="0"/>
    <n v="0"/>
    <n v="0"/>
    <n v="0"/>
    <n v="0"/>
    <n v="0"/>
    <n v="0"/>
    <n v="357.38511574074073"/>
    <n v="357.38511574074073"/>
    <n v="251"/>
    <n v="0"/>
  </r>
  <r>
    <s v="Cases &amp; Composites"/>
    <s v="CAS-189465-B1P5S4"/>
    <s v="Pedro Iturrino"/>
    <s v="Complete"/>
    <s v="Active"/>
    <s v="2-Routine"/>
    <n v="5"/>
    <s v="23KC469"/>
    <s v="Repair-EA"/>
    <s v="OTC"/>
    <s v="PW4000"/>
    <s v="AMO"/>
    <m/>
    <d v="2023-08-18T19:20:57"/>
    <d v="2023-12-15T05:00:00"/>
    <d v="2024-01-25T05:00:00"/>
    <x v="139"/>
    <d v="2024-01-04T13:29:37"/>
    <m/>
    <d v="2023-09-28T04:00:00"/>
    <d v="2023-12-08T05:00:00"/>
    <d v="2023-12-08T05:00:00"/>
    <d v="2023-12-08T05:00:00"/>
    <n v="71.041666666671517"/>
    <n v="0"/>
    <n v="71.041666666671517"/>
    <n v="137.40211805555737"/>
    <n v="66.360451388885849"/>
    <n v="0"/>
    <n v="0"/>
    <n v="0"/>
    <n v="0"/>
    <n v="0"/>
    <n v="5"/>
    <n v="0"/>
    <n v="0"/>
    <n v="5"/>
    <n v="132.40211805555737"/>
    <n v="61.360451388885849"/>
    <n v="19"/>
    <n v="0"/>
  </r>
  <r>
    <s v="Cases &amp; Composites"/>
    <s v="CAS-192003-Z5G6B7"/>
    <s v="Orlando Melendez Colon"/>
    <s v="Complete"/>
    <s v="Resolved"/>
    <s v="2-Routine"/>
    <n v="5"/>
    <s v="20VG063A"/>
    <s v="Repair-EA"/>
    <s v="EM"/>
    <s v="V2500"/>
    <s v="V2500"/>
    <m/>
    <d v="2023-09-13T13:53:18"/>
    <d v="2024-04-19T04:00:00"/>
    <d v="2024-07-18T04:00:00"/>
    <x v="140"/>
    <d v="2024-07-18T16:21:13"/>
    <s v="July"/>
    <m/>
    <m/>
    <m/>
    <m/>
    <s v=""/>
    <s v=""/>
    <n v="0"/>
    <n v="300.58798611110979"/>
    <n v="300.58798611110979"/>
    <n v="0"/>
    <n v="0"/>
    <n v="0"/>
    <n v="0"/>
    <n v="0"/>
    <n v="0"/>
    <n v="0"/>
    <n v="0"/>
    <n v="0"/>
    <n v="300.58798611110979"/>
    <n v="300.58798611110979"/>
    <n v="82"/>
    <n v="0"/>
  </r>
  <r>
    <s v="Cases &amp; Composites"/>
    <s v="CAS-194906-Q8W8W5"/>
    <s v="Pedro Iturrino"/>
    <s v="Complete"/>
    <s v="Resolved"/>
    <s v="2-Routine"/>
    <n v="5"/>
    <s v="23KC568"/>
    <s v="Repair-EA"/>
    <s v="OTC"/>
    <s v="PW4000"/>
    <s v="AMO"/>
    <m/>
    <d v="2023-10-12T20:50:15"/>
    <d v="2024-04-01T04:00:00"/>
    <d v="2024-05-24T04:00:00"/>
    <x v="141"/>
    <d v="2024-05-22T19:21:30"/>
    <s v="MAY"/>
    <d v="2023-12-04T05:00:00"/>
    <d v="2024-02-19T05:00:00"/>
    <d v="2024-02-19T05:00:00"/>
    <d v="2024-04-15T04:00:00"/>
    <n v="77"/>
    <n v="55.958333333328483"/>
    <n v="132.95833333332848"/>
    <n v="222.29843749999418"/>
    <n v="89.340104166665697"/>
    <n v="0"/>
    <n v="0"/>
    <n v="0"/>
    <n v="0"/>
    <n v="0"/>
    <n v="9"/>
    <n v="0"/>
    <n v="0"/>
    <n v="9"/>
    <n v="213.29843749999418"/>
    <n v="80.340104166665697"/>
    <n v="51"/>
    <n v="0"/>
  </r>
  <r>
    <s v="Cases &amp; Composites"/>
    <s v="CAS-195075-Q7X9L7"/>
    <s v="Pedro Iturrino"/>
    <s v="Complete"/>
    <s v="Resolved"/>
    <s v="2-Routine"/>
    <n v="5"/>
    <s v="23KC598"/>
    <s v="Repair-EA"/>
    <s v="OTC"/>
    <s v="PW4000"/>
    <s v="AMO"/>
    <m/>
    <d v="2023-10-13T20:12:55"/>
    <d v="2024-02-15T05:00:00"/>
    <d v="2024-02-23T05:00:00"/>
    <x v="125"/>
    <d v="2024-02-19T14:10:10"/>
    <s v="FEB2"/>
    <d v="2023-11-06T05:00:00"/>
    <d v="2024-02-06T05:00:00"/>
    <d v="2024-02-06T05:00:00"/>
    <d v="2024-02-07T05:00:00"/>
    <n v="92"/>
    <n v="1"/>
    <n v="93"/>
    <n v="125.36603009259852"/>
    <n v="32.366030092598521"/>
    <n v="0"/>
    <n v="0"/>
    <n v="0"/>
    <n v="0"/>
    <n v="0"/>
    <n v="0"/>
    <n v="0"/>
    <n v="0"/>
    <n v="0"/>
    <n v="125.36603009259852"/>
    <n v="32.366030092598521"/>
    <n v="1"/>
    <n v="0"/>
  </r>
  <r>
    <s v="Cases &amp; Composites"/>
    <s v="CAS-197442-L0F0G1"/>
    <s v="Jia Chen"/>
    <s v="Complete"/>
    <s v="Resolved"/>
    <s v="2-Routine"/>
    <n v="5"/>
    <s v="23FC349"/>
    <s v="Repair-EA"/>
    <s v="OTC"/>
    <s v="PW2000"/>
    <s v="AMO"/>
    <m/>
    <d v="2023-11-06T20:58:43"/>
    <d v="2024-02-29T05:00:00"/>
    <d v="2024-02-29T05:00:00"/>
    <x v="142"/>
    <d v="2024-02-21T16:13:55"/>
    <s v="Previous blending or wear puts the case wall below the minimum thickness for the standard blend repair-06. FEB2"/>
    <d v="2023-12-01T05:00:00"/>
    <d v="2023-12-21T05:00:00"/>
    <d v="2023-12-21T05:00:00"/>
    <d v="2024-01-24T05:00:00"/>
    <n v="20"/>
    <n v="34"/>
    <n v="54"/>
    <n v="106.33422453703679"/>
    <n v="52.334224537036789"/>
    <n v="0"/>
    <n v="0"/>
    <n v="0"/>
    <n v="0"/>
    <n v="0"/>
    <n v="8"/>
    <n v="0"/>
    <n v="0"/>
    <n v="8"/>
    <n v="98.334224537036789"/>
    <n v="44.334224537036789"/>
    <n v="-8"/>
    <n v="1"/>
  </r>
  <r>
    <s v="Cases &amp; Composites"/>
    <s v="CAS-198367-T0X0W2"/>
    <s v="Jia Chen"/>
    <s v="Complete"/>
    <s v="Resolved"/>
    <s v="2-Routine"/>
    <n v="5"/>
    <s v="24CC330"/>
    <s v="Repair-EA"/>
    <s v="OTC"/>
    <s v="PW1000G"/>
    <s v="AMO"/>
    <m/>
    <d v="2023-11-15T15:26:25"/>
    <d v="2024-03-26T04:00:00"/>
    <d v="2024-04-19T04:00:00"/>
    <x v="143"/>
    <d v="2024-03-26T15:35:18"/>
    <s v="TIC Inner"/>
    <d v="2024-02-02T05:00:00"/>
    <d v="2024-02-05T05:00:00"/>
    <d v="2024-02-05T05:00:00"/>
    <d v="2024-03-08T05:00:00"/>
    <n v="3"/>
    <n v="32"/>
    <n v="35"/>
    <n v="131.52332175925403"/>
    <n v="96.523321759254031"/>
    <n v="0"/>
    <n v="0"/>
    <n v="0"/>
    <n v="0"/>
    <n v="0"/>
    <n v="0"/>
    <n v="0"/>
    <n v="0"/>
    <n v="0"/>
    <n v="131.52332175925403"/>
    <n v="96.523321759254031"/>
    <n v="0"/>
    <n v="1"/>
  </r>
  <r>
    <s v="Cases &amp; Composites"/>
    <s v="CAS-198498-S8R3Q2"/>
    <s v="Pedro Iturrino"/>
    <s v="Complete"/>
    <s v="Resolved"/>
    <s v="2-Routine"/>
    <n v="5"/>
    <s v="23VC555"/>
    <s v="Repair-EA"/>
    <s v="OTC"/>
    <s v="V2500"/>
    <s v="AMO"/>
    <m/>
    <d v="2023-11-16T13:41:36"/>
    <d v="2024-02-29T05:00:00"/>
    <d v="2024-03-22T04:00:00"/>
    <x v="144"/>
    <d v="2024-03-15T14:24:18"/>
    <s v="MAR1"/>
    <d v="2023-12-08T05:00:00"/>
    <d v="2023-12-22T05:00:00"/>
    <d v="2023-12-22T05:00:00"/>
    <d v="2023-12-22T05:00:00"/>
    <n v="14"/>
    <n v="0"/>
    <n v="14"/>
    <n v="118.59611111111008"/>
    <n v="104.59611111111008"/>
    <n v="0"/>
    <n v="0"/>
    <n v="0"/>
    <n v="0"/>
    <n v="0"/>
    <n v="0"/>
    <n v="0"/>
    <n v="0"/>
    <n v="0"/>
    <n v="118.59611111111008"/>
    <n v="104.59611111111008"/>
    <n v="13.958333333328483"/>
    <n v="0"/>
  </r>
  <r>
    <s v="Cases &amp; Composites"/>
    <s v="MSG-231018-4D1648"/>
    <s v="Robert Thompson"/>
    <s v="Complete"/>
    <s v="Complete"/>
    <s v="2-Routine"/>
    <n v="5"/>
    <s v="22CCB40C"/>
    <s v="Repair-EA"/>
    <s v="EM"/>
    <s v="PW1000G"/>
    <s v="24K"/>
    <m/>
    <d v="2023-10-18T04:00:00"/>
    <d v="2024-03-15T04:00:00"/>
    <d v="2024-04-30T04:00:00"/>
    <x v="109"/>
    <d v="2024-04-23T14:04:58"/>
    <s v="AprUpdate the Current Body Blend Repair on the Flan Blade with extended limits - revise EA 22CCB40A - Extend serviceable limits  - 0.010&quot; and then repairable limits to ???"/>
    <d v="2023-11-29T05:00:00"/>
    <d v="2024-01-22T05:00:00"/>
    <d v="2024-01-22T05:00:00"/>
    <d v="2024-03-12T04:00:00"/>
    <n v="54"/>
    <n v="49.958333333328483"/>
    <n v="103.95833333332848"/>
    <n v="187"/>
    <n v="83.041666666671517"/>
    <n v="0"/>
    <n v="0"/>
    <n v="0"/>
    <n v="0"/>
    <n v="0"/>
    <n v="0"/>
    <n v="0"/>
    <n v="0"/>
    <n v="0"/>
    <n v="187"/>
    <n v="83.041666666671517"/>
    <n v="38"/>
    <n v="0"/>
  </r>
  <r>
    <s v="Cases &amp; Composites"/>
    <s v="CAS-198816-K4K5R1"/>
    <s v="Robert Thompson"/>
    <s v="Complete"/>
    <s v="Resolved"/>
    <s v="2-Routine"/>
    <n v="5"/>
    <s v="21CC250D"/>
    <s v="Repair-EA"/>
    <s v="EM"/>
    <s v="PW1000G"/>
    <s v="30K"/>
    <m/>
    <d v="2023-11-20T18:22:01"/>
    <d v="2024-05-22T04:00:00"/>
    <d v="2024-06-14T04:00:00"/>
    <x v="145"/>
    <d v="2024-06-14T17:57:38"/>
    <s v="FanR-Blade_x000a__x000a_June"/>
    <d v="2023-11-27T05:00:00"/>
    <d v="2024-01-22T05:00:00"/>
    <d v="2024-01-22T05:00:00"/>
    <d v="2024-01-22T05:00:00"/>
    <n v="56"/>
    <n v="0"/>
    <n v="56"/>
    <n v="205.40137731481082"/>
    <n v="149.40137731481082"/>
    <n v="0"/>
    <n v="0"/>
    <n v="0"/>
    <n v="0"/>
    <n v="0"/>
    <n v="0"/>
    <n v="0"/>
    <n v="0"/>
    <n v="0"/>
    <n v="205.40137731481082"/>
    <n v="149.40137731481082"/>
    <n v="22"/>
    <n v="0"/>
  </r>
  <r>
    <s v="Cases &amp; Composites"/>
    <s v="CAS-199019-J5W9H9"/>
    <s v="Tyler Abusbah"/>
    <s v="Complete"/>
    <s v="Resolved"/>
    <s v="2-Routine"/>
    <n v="5"/>
    <s v="24KC262"/>
    <s v="Repair-EA"/>
    <s v="OTC"/>
    <s v="PW4000"/>
    <s v="AMO"/>
    <m/>
    <d v="2023-11-22T08:23:39"/>
    <d v="2024-05-30T04:00:00"/>
    <d v="2024-09-06T04:00:00"/>
    <x v="146"/>
    <d v="2024-09-05T01:44:32"/>
    <s v="End customer is P&amp;W RSL (July 2024 Commitment). Sept"/>
    <d v="2024-04-30T04:00:00"/>
    <d v="2024-05-02T04:00:00"/>
    <d v="2024-05-02T04:00:00"/>
    <d v="2024-05-15T04:00:00"/>
    <n v="2"/>
    <n v="13"/>
    <n v="15"/>
    <n v="286.81690972221986"/>
    <n v="271.81690972221986"/>
    <n v="0"/>
    <n v="0"/>
    <n v="0"/>
    <n v="0"/>
    <n v="0"/>
    <n v="0"/>
    <n v="0"/>
    <n v="0"/>
    <n v="0"/>
    <n v="286.81690972221986"/>
    <n v="271.81690972221986"/>
    <n v="97"/>
    <n v="0"/>
  </r>
  <r>
    <s v="Cases &amp; Composites"/>
    <s v="CAS-207810-L9N9C1"/>
    <s v="Jia Chen"/>
    <s v="Complete"/>
    <s v="Resolved"/>
    <s v="2-Routine"/>
    <n v="5"/>
    <s v="23KC517A"/>
    <s v="Repair-EA"/>
    <s v="OTC"/>
    <s v="PW4000"/>
    <s v="AMO"/>
    <m/>
    <d v="2024-02-26T15:58:45"/>
    <d v="2024-04-26T04:00:00"/>
    <d v="2024-06-24T04:00:00"/>
    <x v="134"/>
    <d v="2024-06-05T19:35:24"/>
    <s v="June"/>
    <d v="2024-02-29T05:00:00"/>
    <d v="2024-02-29T05:00:00"/>
    <d v="2024-02-29T05:00:00"/>
    <d v="2024-02-29T05:00:00"/>
    <n v="0"/>
    <n v="0"/>
    <n v="0"/>
    <n v="99.500868055554747"/>
    <n v="99.500868055554747"/>
    <n v="0"/>
    <n v="0"/>
    <n v="0"/>
    <n v="0"/>
    <n v="56"/>
    <n v="0"/>
    <n v="0"/>
    <n v="0"/>
    <n v="56"/>
    <n v="43.500868055554747"/>
    <n v="43.500868055554747"/>
    <n v="40"/>
    <n v="0"/>
  </r>
  <r>
    <s v="Cases &amp; Composites"/>
    <s v="CAS-204533-F9R6V0"/>
    <s v="Ferdin Mustafa"/>
    <s v="Complete"/>
    <s v="Resolved"/>
    <s v="2-Routine"/>
    <n v="5"/>
    <s v="24KC248"/>
    <s v="Repair-EA"/>
    <s v="OTC"/>
    <s v="PW4000"/>
    <s v="AMO"/>
    <m/>
    <d v="2024-01-23T09:44:33"/>
    <d v="2024-08-08T04:00:00"/>
    <d v="2024-06-28T04:00:00"/>
    <x v="147"/>
    <d v="2024-06-21T19:50:32"/>
    <s v="June"/>
    <d v="2024-04-19T04:00:00"/>
    <d v="2024-06-14T04:00:00"/>
    <d v="2024-06-14T04:00:00"/>
    <d v="2024-06-14T04:00:00"/>
    <n v="56"/>
    <n v="0"/>
    <n v="56"/>
    <n v="149.76072916666453"/>
    <n v="93.760729166664532"/>
    <n v="0"/>
    <n v="0"/>
    <n v="0"/>
    <n v="0"/>
    <n v="0"/>
    <n v="0"/>
    <n v="0"/>
    <n v="0"/>
    <n v="0"/>
    <n v="149.76072916666453"/>
    <n v="93.760729166664532"/>
    <n v="-48"/>
    <n v="1"/>
  </r>
  <r>
    <s v="Cases &amp; Composites"/>
    <s v="CAS-212100-L9L0L9"/>
    <s v="Pedro Iturrino"/>
    <s v="Complete"/>
    <s v="Resolved"/>
    <s v="2-Routine"/>
    <n v="5"/>
    <s v="24KC269"/>
    <s v="Repair-EA"/>
    <s v="OTC"/>
    <s v="PW4000"/>
    <s v="AMO"/>
    <m/>
    <d v="2024-04-11T16:32:38"/>
    <d v="2024-08-09T04:00:00"/>
    <d v="2024-08-16T04:00:00"/>
    <x v="87"/>
    <d v="2024-08-12T19:37:43"/>
    <s v="AUG"/>
    <d v="2024-05-23T04:00:00"/>
    <d v="2024-06-28T04:00:00"/>
    <d v="2024-06-28T04:00:00"/>
    <d v="2024-07-01T04:00:00"/>
    <n v="36"/>
    <n v="3"/>
    <n v="39"/>
    <n v="122.47733796296234"/>
    <n v="83.477337962962338"/>
    <n v="0"/>
    <n v="0"/>
    <n v="0"/>
    <n v="0"/>
    <n v="12"/>
    <n v="0"/>
    <n v="0"/>
    <n v="0"/>
    <n v="12"/>
    <n v="110.47733796296234"/>
    <n v="71.477337962962338"/>
    <n v="3"/>
    <n v="0"/>
  </r>
  <r>
    <s v="Cases &amp; Composites"/>
    <s v="CAS-218041-C7B6D8"/>
    <s v="Robert Thompson"/>
    <s v="Complete"/>
    <s v="Resolved"/>
    <s v="2-Routine"/>
    <n v="5"/>
    <s v="24KC357"/>
    <s v="Repair-EA"/>
    <s v="OTC"/>
    <s v="PW4000"/>
    <s v="AMO"/>
    <s v="50%"/>
    <d v="2024-06-13T21:27:52"/>
    <d v="2024-09-30T04:00:00"/>
    <d v="2024-07-12T04:00:00"/>
    <x v="90"/>
    <d v="2024-07-08T21:17:10"/>
    <s v="July"/>
    <d v="2024-06-20T04:00:00"/>
    <d v="2024-06-20T04:00:00"/>
    <d v="2024-06-20T04:00:00"/>
    <d v="2024-06-20T04:00:00"/>
    <n v="0"/>
    <n v="0"/>
    <n v="0"/>
    <n v="24.272314814814308"/>
    <n v="24.272314814814308"/>
    <n v="0"/>
    <n v="0"/>
    <n v="0"/>
    <n v="0"/>
    <n v="0"/>
    <n v="0"/>
    <n v="0"/>
    <n v="0"/>
    <n v="0"/>
    <n v="24.272314814814308"/>
    <n v="24.272314814814308"/>
    <n v="-84"/>
    <n v="1"/>
  </r>
  <r>
    <s v="Cases &amp; Composites"/>
    <s v="MSG-240624-895141"/>
    <s v="Robert Thompson"/>
    <s v="Complete"/>
    <s v="Complete"/>
    <s v="2-Routine"/>
    <n v="5"/>
    <s v="24KC368"/>
    <s v="Repair-EA"/>
    <s v="Discretionary"/>
    <s v="PW4000"/>
    <s v="OCE"/>
    <s v="75%"/>
    <d v="2024-06-24T04:00:00"/>
    <d v="2024-11-01T04:00:00"/>
    <d v="2024-07-31T04:00:00"/>
    <x v="148"/>
    <d v="2024-07-17T20:28:05"/>
    <s v="Fan Exit Guide Vane"/>
    <m/>
    <m/>
    <m/>
    <m/>
    <s v=""/>
    <s v=""/>
    <n v="0"/>
    <n v="23"/>
    <n v="23"/>
    <n v="0"/>
    <n v="0"/>
    <n v="0"/>
    <n v="0"/>
    <n v="0"/>
    <n v="0"/>
    <n v="0"/>
    <n v="0"/>
    <n v="0"/>
    <n v="23"/>
    <n v="23"/>
    <n v="-107"/>
    <n v="1"/>
  </r>
  <r>
    <s v="Cases &amp; Composites"/>
    <n v="107928"/>
    <s v="Robert Thompson"/>
    <s v="Complete"/>
    <s v="Closed"/>
    <s v="2-Routine"/>
    <n v="5"/>
    <s v="24FC269A"/>
    <s v="Repair-EA"/>
    <s v="OTC"/>
    <s v="PW2000"/>
    <s v="AMO"/>
    <m/>
    <d v="2024-08-26T04:00:00"/>
    <d v="2024-08-30T04:00:00"/>
    <d v="2024-08-30T04:00:00"/>
    <x v="94"/>
    <d v="2024-08-28T20:21:02"/>
    <m/>
    <m/>
    <m/>
    <m/>
    <m/>
    <s v=""/>
    <s v=""/>
    <n v="0"/>
    <n v="2"/>
    <n v="2"/>
    <n v="0"/>
    <n v="0"/>
    <n v="0"/>
    <n v="0"/>
    <n v="0"/>
    <n v="0"/>
    <n v="0"/>
    <n v="0"/>
    <n v="0"/>
    <n v="2"/>
    <n v="2"/>
    <n v="-2"/>
    <n v="1"/>
  </r>
  <r>
    <s v="Cases &amp; Composites"/>
    <s v="MSG-241007-53CB00"/>
    <s v="Brian K Holland"/>
    <s v="Complete"/>
    <s v="Complete"/>
    <s v="2-Routine"/>
    <n v="5"/>
    <s v="24CCS15"/>
    <s v="Repair-EA"/>
    <s v="EM"/>
    <s v="PW1000G"/>
    <s v="PIP"/>
    <m/>
    <d v="2024-10-07T04:00:00"/>
    <d v="2024-11-28T05:00:00"/>
    <d v="2024-11-28T05:00:00"/>
    <x v="149"/>
    <d v="2024-11-13T21:08:21"/>
    <s v="Evaluate and substantiate continued viability of subject DMCs in EMM and EM for applicability GTFA models and run parameters. Where not applicable Process PSAF to change DMC# to be Base Specific. See comments for guidance"/>
    <m/>
    <m/>
    <m/>
    <m/>
    <s v=""/>
    <s v=""/>
    <n v="0"/>
    <n v="37.041666666671517"/>
    <n v="37.041666666671517"/>
    <n v="0"/>
    <n v="0"/>
    <n v="0"/>
    <n v="0"/>
    <n v="0"/>
    <n v="0"/>
    <n v="0"/>
    <n v="0"/>
    <n v="0"/>
    <n v="37.041666666671517"/>
    <n v="37.041666666671517"/>
    <n v="-15"/>
    <n v="1"/>
  </r>
  <r>
    <s v="Cases &amp; Composites"/>
    <s v="CAS-241504-K8D4Q0"/>
    <s v="Bruce Zoyaar"/>
    <s v="Complete"/>
    <s v="Active"/>
    <s v="2-Routine"/>
    <n v="5"/>
    <s v="25KC090"/>
    <s v="Repair-EA"/>
    <s v="OTC"/>
    <s v="PW4000"/>
    <s v="AMO"/>
    <s v="75%"/>
    <d v="2025-01-29T14:59:23"/>
    <d v="2025-03-28T04:00:00"/>
    <d v="2025-03-17T04:00:00"/>
    <x v="50"/>
    <d v="2025-03-20T16:36:06"/>
    <s v="Mar 2025 -SRT"/>
    <d v="2025-02-06T05:00:00"/>
    <d v="2025-02-25T05:00:00"/>
    <d v="2025-02-25T05:00:00"/>
    <d v="2025-03-14T04:00:00"/>
    <n v="19"/>
    <n v="16.958333333328483"/>
    <n v="35.958333333328483"/>
    <n v="49.542094907403225"/>
    <n v="13.583761574074742"/>
    <n v="0"/>
    <n v="0"/>
    <n v="0"/>
    <n v="0"/>
    <n v="6"/>
    <n v="0"/>
    <n v="0"/>
    <n v="0"/>
    <n v="6"/>
    <n v="43.542094907403225"/>
    <n v="7.5837615740747424"/>
    <n v="-8"/>
    <n v="1"/>
  </r>
  <r>
    <s v="Cases &amp; Composites"/>
    <s v="CAS-256188-B9S2B4"/>
    <s v="Joshua Desjardins"/>
    <s v="Complete"/>
    <s v="Resolved"/>
    <s v="2-Routine"/>
    <n v="5"/>
    <s v="25AC098"/>
    <s v="Repair-EA"/>
    <s v="OTC"/>
    <s v="GP7000"/>
    <s v="GP7000"/>
    <s v="75%"/>
    <d v="2025-06-19T13:47:04"/>
    <d v="2025-06-19T04:00:00"/>
    <d v="2025-06-19T04:00:00"/>
    <x v="150"/>
    <d v="2025-06-20T15:32:21"/>
    <s v="Jun2025 DR# 02206726"/>
    <m/>
    <m/>
    <m/>
    <m/>
    <s v=""/>
    <s v=""/>
    <n v="0"/>
    <n v="-0.40768518518598285"/>
    <n v="-0.40768518518598285"/>
    <n v="0"/>
    <n v="0"/>
    <n v="0"/>
    <n v="0"/>
    <n v="0"/>
    <n v="0"/>
    <n v="0"/>
    <n v="0"/>
    <n v="0"/>
    <n v="-0.40768518518598285"/>
    <n v="-0.40768518518598285"/>
    <n v="0"/>
    <n v="1"/>
  </r>
  <r>
    <s v="Cases &amp; Composites"/>
    <s v="CAS-161071-K2C4V8"/>
    <s v="Robert Thompson"/>
    <s v="Complete"/>
    <s v="Resolved"/>
    <s v="2-Routine"/>
    <n v="6"/>
    <s v="15CCH20L"/>
    <s v="Repair-EA"/>
    <s v="EM"/>
    <s v="PW1000G"/>
    <s v="30K"/>
    <m/>
    <d v="2022-10-18T09:12:46"/>
    <d v="2023-06-30T04:00:00"/>
    <d v="2024-06-06T04:00:00"/>
    <x v="151"/>
    <d v="2024-06-10T11:09:23"/>
    <s v="FanR-Blade - CIR - Ground Tab Replacement Repair_x000a__x000a_June"/>
    <d v="2022-11-29T05:00:00"/>
    <d v="2022-12-12T05:00:00"/>
    <d v="2022-12-12T05:00:00"/>
    <d v="2022-12-13T05:00:00"/>
    <n v="13"/>
    <n v="1"/>
    <n v="14"/>
    <n v="597.78280092592468"/>
    <n v="583.78280092592468"/>
    <n v="0"/>
    <n v="0"/>
    <n v="0"/>
    <n v="0"/>
    <n v="0"/>
    <n v="0"/>
    <n v="0"/>
    <n v="0"/>
    <n v="0"/>
    <n v="597.78280092592468"/>
    <n v="583.78280092592468"/>
    <n v="343"/>
    <n v="0"/>
  </r>
  <r>
    <s v="Cases &amp; Composites"/>
    <s v="CAS-177333-R9W0Q8"/>
    <s v="Pedro Iturrino"/>
    <s v="Complete"/>
    <s v="Resolved"/>
    <s v="2-Routine"/>
    <n v="6"/>
    <s v="23KC306"/>
    <s v="Repair-EA"/>
    <s v="OTC"/>
    <s v="PW4000"/>
    <s v="AMO"/>
    <m/>
    <d v="2023-04-13T17:38:00"/>
    <d v="2024-01-19T05:00:00"/>
    <d v="2024-03-08T05:00:00"/>
    <x v="152"/>
    <d v="2024-03-05T18:06:58"/>
    <s v="MAR1"/>
    <d v="2023-09-15T04:00:00"/>
    <d v="2023-10-02T04:00:00"/>
    <d v="2023-10-02T04:00:00"/>
    <d v="2023-12-11T05:00:00"/>
    <n v="17"/>
    <n v="70.041666666671517"/>
    <n v="87.041666666671517"/>
    <n v="326.4736111111124"/>
    <n v="239.43194444444089"/>
    <n v="0"/>
    <n v="0"/>
    <n v="0"/>
    <n v="0"/>
    <n v="0"/>
    <n v="0"/>
    <n v="0"/>
    <n v="0"/>
    <n v="0"/>
    <n v="326.4736111111124"/>
    <n v="239.43194444444089"/>
    <n v="46"/>
    <n v="0"/>
  </r>
  <r>
    <s v="Cases &amp; Composites"/>
    <s v="CAS-187852-V3P2X4"/>
    <s v="Pedro Iturrino"/>
    <s v="Complete"/>
    <s v="Resolved"/>
    <s v="2-Routine"/>
    <n v="6"/>
    <s v="23KC488"/>
    <s v="Repair-EA"/>
    <s v="OTC"/>
    <s v="PW4000"/>
    <s v="AMO"/>
    <m/>
    <d v="2023-08-02T14:07:04"/>
    <d v="2023-11-13T05:00:00"/>
    <d v="2024-04-05T04:00:00"/>
    <x v="153"/>
    <d v="2024-04-01T13:56:25"/>
    <s v="APR1"/>
    <d v="2023-09-13T04:00:00"/>
    <d v="2023-10-12T04:00:00"/>
    <d v="2023-10-12T04:00:00"/>
    <d v="2024-01-10T05:00:00"/>
    <n v="29"/>
    <n v="90.041666666671517"/>
    <n v="119.04166666667152"/>
    <n v="239.57842592592351"/>
    <n v="120.53675925925199"/>
    <n v="0"/>
    <n v="0"/>
    <n v="0"/>
    <n v="0"/>
    <n v="0"/>
    <n v="21"/>
    <n v="32"/>
    <n v="0"/>
    <n v="53"/>
    <n v="186.57842592592351"/>
    <n v="67.536759259251994"/>
    <n v="136.95833333332848"/>
    <n v="0"/>
  </r>
  <r>
    <s v="Cases &amp; Composites"/>
    <s v="CAS-194653-F3T5Q1"/>
    <s v="Robert Thompson"/>
    <s v="Complete"/>
    <s v="Resolved"/>
    <s v="2-Routine"/>
    <n v="6"/>
    <s v="22CCE47A"/>
    <s v="Repair-EA"/>
    <s v="EM"/>
    <s v="PW1000G"/>
    <s v="30K"/>
    <m/>
    <d v="2023-10-27T12:18:10"/>
    <d v="2024-02-02T05:00:00"/>
    <d v="2024-03-29T04:00:00"/>
    <x v="154"/>
    <d v="2024-03-27T17:36:03"/>
    <s v="FanR-Blade_x000a__x000a_Mar2"/>
    <d v="2024-02-27T05:00:00"/>
    <d v="2024-03-07T05:00:00"/>
    <d v="2024-03-07T05:00:00"/>
    <d v="2024-03-07T05:00:00"/>
    <n v="9"/>
    <n v="0"/>
    <n v="9"/>
    <n v="151.65405092592118"/>
    <n v="142.65405092592118"/>
    <n v="0"/>
    <n v="0"/>
    <n v="0"/>
    <n v="0"/>
    <n v="0"/>
    <n v="0"/>
    <n v="0"/>
    <n v="0"/>
    <n v="0"/>
    <n v="151.65405092592118"/>
    <n v="142.65405092592118"/>
    <n v="53.958333333328483"/>
    <n v="0"/>
  </r>
  <r>
    <s v="Cases &amp; Composites"/>
    <s v="CAS-196152-X1T8H2"/>
    <s v="Jia Chen"/>
    <s v="Complete"/>
    <s v="Resolved"/>
    <s v="2-Routine"/>
    <n v="6"/>
    <s v="23KC581"/>
    <s v="Repair-EA"/>
    <s v="OTC"/>
    <s v="PW4000"/>
    <s v="AMO"/>
    <m/>
    <d v="2023-10-24T20:40:13"/>
    <d v="2024-01-25T05:00:00"/>
    <d v="2024-02-08T05:00:00"/>
    <x v="126"/>
    <d v="2024-01-30T22:08:05"/>
    <m/>
    <d v="2023-11-16T05:00:00"/>
    <d v="2023-12-19T05:00:00"/>
    <d v="2023-12-19T05:00:00"/>
    <d v="2024-01-15T05:00:00"/>
    <n v="33"/>
    <n v="27"/>
    <n v="60"/>
    <n v="97.347071759264509"/>
    <n v="37.347071759264509"/>
    <n v="0"/>
    <n v="0"/>
    <n v="0"/>
    <n v="0"/>
    <n v="0"/>
    <n v="10"/>
    <n v="14"/>
    <n v="0"/>
    <n v="24"/>
    <n v="73.347071759264509"/>
    <n v="13.347071759264509"/>
    <n v="5"/>
    <n v="0"/>
  </r>
  <r>
    <s v="Cases &amp; Composites"/>
    <s v="CAS-200416-T5T7F9"/>
    <s v="Jia Chen"/>
    <s v="Complete"/>
    <s v="Resolved"/>
    <s v="2-Routine"/>
    <n v="6"/>
    <s v="24FC031"/>
    <s v="Repair-EA"/>
    <s v="OTC"/>
    <s v="PW2000"/>
    <s v="AMO"/>
    <m/>
    <d v="2023-12-06T20:10:12"/>
    <d v="2024-04-12T04:00:00"/>
    <d v="2024-04-25T04:00:00"/>
    <x v="66"/>
    <d v="2024-04-23T16:10:43"/>
    <m/>
    <d v="2024-02-26T05:00:00"/>
    <d v="2024-02-27T05:00:00"/>
    <d v="2024-02-27T05:00:00"/>
    <d v="2024-03-19T04:00:00"/>
    <n v="1"/>
    <n v="20.958333333328483"/>
    <n v="21.958333333328483"/>
    <n v="138.32624999999825"/>
    <n v="116.36791666666977"/>
    <n v="0"/>
    <n v="0"/>
    <n v="0"/>
    <n v="0"/>
    <n v="0"/>
    <n v="7"/>
    <n v="0"/>
    <n v="12"/>
    <n v="19"/>
    <n v="119.32624999999825"/>
    <n v="97.367916666669771"/>
    <n v="11"/>
    <n v="0"/>
  </r>
  <r>
    <s v="Cases &amp; Composites"/>
    <s v="CAS-202170-D3L0S5"/>
    <s v="Pedro Iturrino"/>
    <s v="Complete"/>
    <s v="Resolved"/>
    <s v="2-Routine"/>
    <n v="6"/>
    <s v="24KC023"/>
    <s v="Repair-EA"/>
    <s v="OTC"/>
    <s v="PW4000"/>
    <s v="AMO"/>
    <m/>
    <d v="2023-12-26T17:27:51"/>
    <d v="2024-04-05T04:00:00"/>
    <d v="2024-03-15T04:00:00"/>
    <x v="127"/>
    <d v="2024-02-29T18:34:12"/>
    <m/>
    <d v="2024-01-29T05:00:00"/>
    <d v="2024-02-07T05:00:00"/>
    <d v="2024-02-07T05:00:00"/>
    <d v="2024-02-07T05:00:00"/>
    <n v="9"/>
    <n v="0"/>
    <n v="9"/>
    <n v="64.480659722226846"/>
    <n v="55.480659722226846"/>
    <n v="0"/>
    <n v="0"/>
    <n v="0"/>
    <n v="0"/>
    <n v="0"/>
    <n v="0"/>
    <n v="0"/>
    <n v="0"/>
    <n v="0"/>
    <n v="64.480659722226846"/>
    <n v="55.480659722226846"/>
    <n v="-35.958333333328483"/>
    <n v="1"/>
  </r>
  <r>
    <s v="Cases &amp; Composites"/>
    <s v="CAS-205005-P8G9D1"/>
    <s v="Jia Chen"/>
    <s v="Complete"/>
    <s v="Resolved"/>
    <s v="2-Routine"/>
    <n v="6"/>
    <s v="24KC065"/>
    <s v="Repair-EA"/>
    <s v="OTC"/>
    <s v="PW4000"/>
    <s v="AMO"/>
    <m/>
    <d v="2024-01-26T21:44:36"/>
    <d v="2024-04-17T04:00:00"/>
    <d v="2024-05-02T04:00:00"/>
    <x v="75"/>
    <d v="2024-04-19T20:50:53"/>
    <m/>
    <d v="2024-02-01T05:00:00"/>
    <d v="2024-02-07T05:00:00"/>
    <d v="2024-02-07T05:00:00"/>
    <d v="2024-04-18T04:00:00"/>
    <n v="6"/>
    <n v="70.958333333328483"/>
    <n v="76.958333333328483"/>
    <n v="83.260694444441469"/>
    <n v="6.3023611111129867"/>
    <n v="0"/>
    <n v="0"/>
    <n v="0"/>
    <n v="0"/>
    <n v="0"/>
    <n v="0"/>
    <n v="0"/>
    <n v="0"/>
    <n v="0"/>
    <n v="83.260694444441469"/>
    <n v="6.3023611111129867"/>
    <n v="2"/>
    <n v="0"/>
  </r>
  <r>
    <s v="Cases &amp; Composites"/>
    <s v="CAS-207640-F0D9W5"/>
    <s v="Jia Chen"/>
    <s v="Complete"/>
    <s v="Resolved"/>
    <s v="2-Routine"/>
    <n v="6"/>
    <s v="24KC109"/>
    <s v="Repair-EA"/>
    <s v="OTC"/>
    <s v="PW4000"/>
    <s v="AMO"/>
    <m/>
    <d v="2024-02-23T16:42:33"/>
    <d v="2024-07-04T04:00:00"/>
    <d v="2024-05-29T04:00:00"/>
    <x v="36"/>
    <d v="2024-05-24T17:46:09"/>
    <s v="May"/>
    <d v="2024-03-13T04:00:00"/>
    <d v="2024-04-25T04:00:00"/>
    <d v="2024-04-25T04:00:00"/>
    <d v="2024-05-02T04:00:00"/>
    <n v="43"/>
    <n v="7"/>
    <n v="50"/>
    <n v="90.470451388886431"/>
    <n v="40.470451388886431"/>
    <n v="0"/>
    <n v="0"/>
    <n v="0"/>
    <n v="0"/>
    <n v="0"/>
    <n v="12"/>
    <n v="0"/>
    <n v="0"/>
    <n v="12"/>
    <n v="78.470451388886431"/>
    <n v="28.470451388886431"/>
    <n v="-41"/>
    <n v="1"/>
  </r>
  <r>
    <s v="Cases &amp; Composites"/>
    <s v="CAS-218767-G2W0H9"/>
    <s v="James Evans"/>
    <s v="Complete"/>
    <s v="Resolved"/>
    <s v="2-Routine"/>
    <n v="6"/>
    <s v="24KC387"/>
    <s v="Repair-EA"/>
    <s v="OTC"/>
    <s v="PW4000"/>
    <m/>
    <s v="75%"/>
    <d v="2024-06-21T06:00:43"/>
    <d v="2024-07-12T04:00:00"/>
    <d v="2024-07-12T04:00:00"/>
    <x v="155"/>
    <d v="2024-07-13T12:44:00"/>
    <m/>
    <m/>
    <m/>
    <m/>
    <m/>
    <s v=""/>
    <s v=""/>
    <n v="0"/>
    <n v="20.916168981479132"/>
    <n v="20.916168981479132"/>
    <n v="0"/>
    <n v="0"/>
    <n v="0"/>
    <n v="0"/>
    <n v="0"/>
    <n v="0"/>
    <n v="0"/>
    <n v="0"/>
    <n v="0"/>
    <n v="20.916168981479132"/>
    <n v="20.916168981479132"/>
    <n v="0"/>
    <n v="1"/>
  </r>
  <r>
    <s v="Cases &amp; Composites"/>
    <s v="CAS-222023-D1H2V3"/>
    <s v="Robert Thompson"/>
    <s v="Complete"/>
    <s v="Active"/>
    <s v="2-Routine"/>
    <n v="6"/>
    <s v="24KC490"/>
    <s v="Repair-EA"/>
    <s v="OTC"/>
    <s v="PW4000"/>
    <s v="AMO"/>
    <s v="50%"/>
    <d v="2024-07-23T19:42:41"/>
    <d v="2024-12-31T05:00:00"/>
    <d v="2024-09-30T04:00:00"/>
    <x v="156"/>
    <d v="2024-09-24T17:14:29"/>
    <m/>
    <d v="2024-08-27T04:00:00"/>
    <d v="2024-08-27T04:00:00"/>
    <d v="2024-08-27T04:00:00"/>
    <d v="2024-09-12T04:00:00"/>
    <n v="0"/>
    <n v="16"/>
    <n v="16"/>
    <n v="62.345358796294022"/>
    <n v="46.345358796294022"/>
    <n v="0"/>
    <n v="0"/>
    <n v="0"/>
    <n v="0"/>
    <n v="0"/>
    <n v="0"/>
    <n v="0"/>
    <n v="0"/>
    <n v="0"/>
    <n v="62.345358796294022"/>
    <n v="46.345358796294022"/>
    <n v="-98.041666666671517"/>
    <n v="1"/>
  </r>
  <r>
    <s v="Cases &amp; Composites"/>
    <s v="CAS-244874-F9L4G4"/>
    <s v="Francisco Astiasaran"/>
    <s v="Complete"/>
    <s v="Resolved"/>
    <s v="2-Routine"/>
    <n v="6"/>
    <s v="25CC991"/>
    <s v="Repair-EA"/>
    <s v="OTC"/>
    <s v="PW1000G"/>
    <s v="30K"/>
    <s v="50%"/>
    <d v="2025-03-03T11:51:47"/>
    <d v="2025-05-16T04:00:00"/>
    <d v="2025-05-16T04:00:00"/>
    <x v="157"/>
    <d v="2025-05-28T13:02:23"/>
    <s v="May2025"/>
    <d v="2025-05-01T04:00:00"/>
    <d v="2025-05-06T04:00:00"/>
    <d v="2025-05-06T04:00:00"/>
    <d v="2025-05-08T04:00:00"/>
    <n v="5"/>
    <n v="2"/>
    <n v="7"/>
    <n v="69.67237268518511"/>
    <n v="62.67237268518511"/>
    <n v="0"/>
    <n v="0"/>
    <n v="0"/>
    <n v="0"/>
    <n v="0"/>
    <n v="0"/>
    <n v="0"/>
    <n v="0"/>
    <n v="0"/>
    <n v="69.67237268518511"/>
    <n v="62.67237268518511"/>
    <n v="-4"/>
    <n v="1"/>
  </r>
  <r>
    <s v="Cases &amp; Composites"/>
    <s v="MSG-250311-6B0069"/>
    <s v="Ferdin Mustafa"/>
    <s v="Complete"/>
    <s v="Complete"/>
    <s v="2-Routine"/>
    <n v="6"/>
    <s v="23CCE23A"/>
    <s v="Repair-EA"/>
    <s v="EM"/>
    <s v="PW1000G"/>
    <s v="PIP"/>
    <s v="75%"/>
    <d v="2025-03-10T04:00:00"/>
    <d v="2025-08-15T04:00:00"/>
    <d v="2025-07-14T04:00:00"/>
    <x v="158"/>
    <d v="2025-07-06T17:40:07"/>
    <s v="Jul2025 - Review 23CCE23 submitted for PW1100G-B-72-51-02-00A-920A-D to determine if there is an impact with this Must Conform EC. Contact RPM for confirmation of next steps. "/>
    <m/>
    <m/>
    <m/>
    <m/>
    <s v=""/>
    <s v=""/>
    <n v="0"/>
    <n v="115"/>
    <n v="115"/>
    <n v="0"/>
    <n v="0"/>
    <n v="0"/>
    <n v="0"/>
    <n v="0"/>
    <n v="0"/>
    <n v="0"/>
    <n v="0"/>
    <n v="0"/>
    <n v="115"/>
    <n v="115"/>
    <n v="-43"/>
    <n v="1"/>
  </r>
  <r>
    <s v="Cases &amp; Composites"/>
    <s v="CAS-251791-X2S4G6"/>
    <s v="Francisco Astiasaran"/>
    <s v="Complete"/>
    <s v="Resolved"/>
    <s v="2-Routine"/>
    <n v="6"/>
    <s v="25KC332"/>
    <s v="Repair-EA"/>
    <s v="OTC"/>
    <s v="PW4000"/>
    <s v="OCE"/>
    <s v="75%"/>
    <d v="2025-05-09T21:34:44"/>
    <d v="2025-06-11T04:00:00"/>
    <d v="2025-06-18T04:00:00"/>
    <x v="150"/>
    <d v="2025-06-19T20:18:47"/>
    <s v="Jun2025"/>
    <d v="2025-06-03T04:00:00"/>
    <d v="2025-06-03T04:00:00"/>
    <d v="2025-06-03T04:00:00"/>
    <d v="2025-06-13T04:00:00"/>
    <n v="0"/>
    <n v="10"/>
    <n v="10"/>
    <n v="40.267546296294313"/>
    <n v="30.267546296294313"/>
    <n v="0"/>
    <n v="0"/>
    <n v="0"/>
    <n v="0"/>
    <n v="0"/>
    <n v="0"/>
    <n v="0"/>
    <n v="0"/>
    <n v="0"/>
    <n v="40.267546296294313"/>
    <n v="30.267546296294313"/>
    <n v="8"/>
    <n v="0"/>
  </r>
  <r>
    <s v="Cases &amp; Composites"/>
    <s v="CAS-257280-C6F7L0"/>
    <s v="Ferdin Mustafa"/>
    <s v="Complete"/>
    <s v="Resolved"/>
    <s v="2-Routine"/>
    <n v="6"/>
    <s v="25AC107"/>
    <s v="Repair-EA"/>
    <s v="OTC"/>
    <s v="GP7000"/>
    <s v="GP7000"/>
    <s v="75%"/>
    <d v="2025-06-30T13:20:28"/>
    <d v="2025-09-12T04:00:00"/>
    <d v="2025-09-12T04:00:00"/>
    <x v="13"/>
    <d v="2025-07-01T21:12:36"/>
    <s v="jUl2025 - DR# 02213434"/>
    <m/>
    <m/>
    <m/>
    <m/>
    <s v=""/>
    <s v=""/>
    <n v="0"/>
    <n v="0.61078703703242354"/>
    <n v="0.61078703703242354"/>
    <n v="0"/>
    <n v="0"/>
    <n v="0"/>
    <n v="0"/>
    <n v="0"/>
    <n v="0"/>
    <n v="0"/>
    <n v="0"/>
    <n v="0"/>
    <n v="0.61078703703242354"/>
    <n v="0.61078703703242354"/>
    <n v="-73"/>
    <n v="1"/>
  </r>
  <r>
    <s v="Cases &amp; Composites"/>
    <s v="CAS-148405-W3J6L9"/>
    <s v="Ferdin Mustafa"/>
    <s v="Complete"/>
    <s v="Resolved"/>
    <s v="2-Routine"/>
    <n v="7"/>
    <s v="22CCH22"/>
    <s v="Repair-EA"/>
    <s v="EM"/>
    <s v="PW800"/>
    <s v="17-24K"/>
    <m/>
    <d v="2022-05-11T21:06:32"/>
    <d v="2022-12-20T05:00:00"/>
    <d v="2024-04-25T04:00:00"/>
    <x v="159"/>
    <d v="2024-04-04T18:28:47"/>
    <s v="Apr"/>
    <d v="2022-10-13T04:00:00"/>
    <d v="2023-03-23T04:00:00"/>
    <d v="2023-03-23T04:00:00"/>
    <d v="2023-08-30T04:00:00"/>
    <n v="161"/>
    <n v="160"/>
    <n v="321"/>
    <n v="693.28712962962891"/>
    <n v="372.28712962962891"/>
    <n v="0"/>
    <n v="0"/>
    <n v="0"/>
    <n v="0"/>
    <n v="0"/>
    <n v="13.084853634260071"/>
    <n v="0"/>
    <n v="0"/>
    <n v="13.084853634260071"/>
    <n v="680.20227599536884"/>
    <n v="359.20227599536884"/>
    <n v="470.95833333332848"/>
    <n v="0"/>
  </r>
  <r>
    <s v="Cases &amp; Composites"/>
    <s v="CAS-182120-V6R1X7"/>
    <s v="Jia Chen"/>
    <s v="Complete"/>
    <s v="Resolved"/>
    <s v="2-Routine"/>
    <n v="7"/>
    <s v="24KC062"/>
    <s v="Repair-EA"/>
    <s v="OTC"/>
    <s v="PW4000"/>
    <s v="AMO"/>
    <m/>
    <d v="2023-06-05T18:15:41"/>
    <d v="2024-03-13T04:00:00"/>
    <d v="2024-03-13T04:00:00"/>
    <x v="160"/>
    <d v="2024-02-23T16:27:54"/>
    <m/>
    <d v="2024-02-09T05:00:00"/>
    <d v="2024-02-12T05:00:00"/>
    <d v="2024-02-12T05:00:00"/>
    <d v="2024-02-22T05:00:00"/>
    <n v="3"/>
    <n v="10"/>
    <n v="13"/>
    <n v="262.44744212963269"/>
    <n v="249.44744212963269"/>
    <n v="0"/>
    <n v="0"/>
    <n v="0"/>
    <n v="0"/>
    <n v="0"/>
    <n v="0"/>
    <n v="0"/>
    <n v="0"/>
    <n v="0"/>
    <n v="262.44744212963269"/>
    <n v="249.44744212963269"/>
    <n v="-18.958333333328483"/>
    <n v="1"/>
  </r>
  <r>
    <s v="Cases &amp; Composites"/>
    <n v="101523"/>
    <s v="Jia Chen"/>
    <s v="Complete"/>
    <s v="Open"/>
    <s v="2-Routine"/>
    <n v="7"/>
    <s v="23FC318"/>
    <s v="Repair-EA"/>
    <s v="OTC"/>
    <s v="PW2000"/>
    <s v="AMO"/>
    <m/>
    <d v="2023-10-04T04:00:00"/>
    <d v="2024-01-11T05:00:00"/>
    <d v="2024-02-08T05:00:00"/>
    <x v="161"/>
    <d v="2024-01-12T14:45:06"/>
    <s v="JAN"/>
    <d v="2023-10-25T04:00:00"/>
    <d v="2023-12-22T05:00:00"/>
    <d v="2023-12-22T05:00:00"/>
    <d v="2024-01-08T05:00:00"/>
    <n v="58.041666666671517"/>
    <n v="17"/>
    <n v="75.041666666671517"/>
    <n v="100.04166666667152"/>
    <n v="25"/>
    <n v="0"/>
    <n v="0"/>
    <n v="0"/>
    <n v="0"/>
    <n v="0"/>
    <n v="0"/>
    <n v="0"/>
    <n v="0"/>
    <n v="0"/>
    <n v="100.04166666667152"/>
    <n v="25"/>
    <n v="1"/>
    <n v="0"/>
  </r>
  <r>
    <s v="Cases &amp; Composites"/>
    <n v="101998"/>
    <s v="Pedro Iturrino"/>
    <s v="Complete"/>
    <s v="Closed"/>
    <s v="2-Routine"/>
    <n v="7"/>
    <s v="23FC345"/>
    <s v="Repair-EA"/>
    <s v="OTC"/>
    <s v="PW2000"/>
    <s v="AMO"/>
    <m/>
    <d v="2023-10-26T04:00:00"/>
    <d v="2024-03-08T05:00:00"/>
    <d v="2024-03-29T04:00:00"/>
    <x v="81"/>
    <d v="2024-03-25T17:03:38"/>
    <s v="MAR2"/>
    <d v="2023-11-06T05:00:00"/>
    <d v="2023-12-20T05:00:00"/>
    <d v="2023-12-20T05:00:00"/>
    <d v="2024-02-27T05:00:00"/>
    <n v="44"/>
    <n v="69"/>
    <n v="113"/>
    <n v="151"/>
    <n v="38"/>
    <n v="0"/>
    <n v="0"/>
    <n v="0"/>
    <n v="0"/>
    <n v="0"/>
    <n v="0"/>
    <n v="0"/>
    <n v="0"/>
    <n v="0"/>
    <n v="151"/>
    <n v="38"/>
    <n v="16.958333333328483"/>
    <n v="0"/>
  </r>
  <r>
    <s v="Cases &amp; Composites"/>
    <n v="102278"/>
    <s v="Pedro Iturrino"/>
    <s v="Complete"/>
    <s v="Closed"/>
    <s v="2-Routine"/>
    <n v="7"/>
    <s v="23FC376"/>
    <s v="Repair-EA"/>
    <s v="OTC"/>
    <s v="PW2000"/>
    <s v="AMO"/>
    <m/>
    <d v="2023-11-09T05:00:00"/>
    <d v="2024-03-29T04:00:00"/>
    <d v="2024-05-03T04:00:00"/>
    <x v="132"/>
    <d v="2024-04-29T20:34:09"/>
    <m/>
    <d v="2023-12-18T05:00:00"/>
    <d v="2024-02-12T05:00:00"/>
    <d v="2024-02-12T05:00:00"/>
    <d v="2024-04-03T04:00:00"/>
    <n v="56"/>
    <n v="50.958333333328483"/>
    <n v="106.95833333332848"/>
    <n v="171.95833333332848"/>
    <n v="65"/>
    <n v="0"/>
    <n v="0"/>
    <n v="0"/>
    <n v="0"/>
    <n v="0"/>
    <n v="0"/>
    <n v="0"/>
    <n v="0"/>
    <n v="0"/>
    <n v="171.95833333332848"/>
    <n v="65"/>
    <n v="31"/>
    <n v="0"/>
  </r>
  <r>
    <s v="Cases &amp; Composites"/>
    <s v="CAS-198935-G6B6Z3"/>
    <s v="Jia Chen"/>
    <s v="Complete"/>
    <s v="Resolved"/>
    <s v="2-Routine"/>
    <n v="7"/>
    <s v="24KC029"/>
    <s v="Repair-EA"/>
    <s v="OTC"/>
    <s v="PW4000"/>
    <s v="AMO"/>
    <m/>
    <d v="2023-11-21T16:45:04"/>
    <d v="2024-08-08T04:00:00"/>
    <d v="2024-08-14T04:00:00"/>
    <x v="5"/>
    <d v="2024-08-05T15:53:44"/>
    <s v="Damage beyond blend limit. Aug"/>
    <d v="2024-07-19T04:00:00"/>
    <d v="2024-07-23T04:00:00"/>
    <d v="2024-07-23T04:00:00"/>
    <d v="2024-07-29T04:00:00"/>
    <n v="4"/>
    <n v="6"/>
    <n v="10"/>
    <n v="257.46870370370016"/>
    <n v="247.46870370370016"/>
    <n v="0"/>
    <n v="0"/>
    <n v="0"/>
    <n v="0"/>
    <n v="56"/>
    <n v="0"/>
    <n v="0"/>
    <n v="0"/>
    <n v="56"/>
    <n v="201.46870370370016"/>
    <n v="191.46870370370016"/>
    <n v="-3"/>
    <n v="1"/>
  </r>
  <r>
    <s v="Cases &amp; Composites"/>
    <s v="CAS-197675-G5F6N5"/>
    <s v="Ferdin Mustafa"/>
    <s v="Complete"/>
    <s v="Resolved"/>
    <s v="2-Routine"/>
    <n v="7"/>
    <s v="23KC641"/>
    <s v="Repair-EA"/>
    <s v="OTC"/>
    <s v="PW4000"/>
    <s v="AMO"/>
    <m/>
    <d v="2023-11-08T12:37:30"/>
    <d v="2024-03-01T05:00:00"/>
    <d v="2024-03-01T05:00:00"/>
    <x v="162"/>
    <d v="2024-02-16T03:52:49"/>
    <m/>
    <d v="2023-12-01T05:00:00"/>
    <d v="2023-12-12T05:00:00"/>
    <d v="2023-12-12T05:00:00"/>
    <d v="2023-12-12T05:00:00"/>
    <n v="11"/>
    <n v="0"/>
    <n v="11"/>
    <n v="98.682291666671517"/>
    <n v="87.682291666671517"/>
    <n v="0"/>
    <n v="0"/>
    <n v="0"/>
    <n v="0"/>
    <n v="0"/>
    <n v="0"/>
    <n v="0"/>
    <n v="0"/>
    <n v="0"/>
    <n v="98.682291666671517"/>
    <n v="87.682291666671517"/>
    <n v="-15"/>
    <n v="1"/>
  </r>
  <r>
    <s v="Cases &amp; Composites"/>
    <n v="104185"/>
    <s v="Jia Chen"/>
    <s v="Complete"/>
    <s v="Closed"/>
    <s v="2-Routine"/>
    <n v="7"/>
    <s v="24FC087"/>
    <s v="Repair-EA"/>
    <s v="OTC"/>
    <s v="PW2000"/>
    <s v="AMO"/>
    <m/>
    <d v="2024-02-19T05:00:00"/>
    <d v="2024-07-05T04:00:00"/>
    <d v="2024-08-21T04:00:00"/>
    <x v="82"/>
    <d v="2024-08-19T13:53:01"/>
    <s v="Aug"/>
    <d v="2024-04-01T04:00:00"/>
    <d v="2024-04-09T04:00:00"/>
    <d v="2024-04-09T04:00:00"/>
    <d v="2024-04-09T04:00:00"/>
    <n v="8"/>
    <n v="0"/>
    <n v="8"/>
    <n v="177.95833333332848"/>
    <n v="169.95833333332848"/>
    <n v="0"/>
    <n v="0"/>
    <n v="0"/>
    <n v="0"/>
    <n v="0"/>
    <n v="0"/>
    <n v="0"/>
    <n v="0"/>
    <n v="0"/>
    <n v="177.95833333332848"/>
    <n v="169.95833333332848"/>
    <n v="41"/>
    <n v="0"/>
  </r>
  <r>
    <s v="Cases &amp; Composites"/>
    <n v="104738"/>
    <s v="Pedro Iturrino"/>
    <s v="Complete"/>
    <s v="Closed"/>
    <s v="2-Routine"/>
    <n v="7"/>
    <s v="24FC140"/>
    <s v="Repair-EA"/>
    <s v="OTC"/>
    <s v="PW2000"/>
    <s v="AMO"/>
    <m/>
    <d v="2024-03-15T04:00:00"/>
    <d v="2024-07-12T04:00:00"/>
    <d v="2024-08-02T04:00:00"/>
    <x v="163"/>
    <d v="2024-07-22T19:54:43"/>
    <m/>
    <d v="2024-05-01T04:00:00"/>
    <d v="2024-05-08T04:00:00"/>
    <d v="2024-05-08T04:00:00"/>
    <d v="2024-05-08T04:00:00"/>
    <n v="7"/>
    <n v="0"/>
    <n v="7"/>
    <n v="129"/>
    <n v="122"/>
    <n v="0"/>
    <n v="0"/>
    <n v="0"/>
    <n v="0"/>
    <n v="0"/>
    <n v="0"/>
    <n v="0"/>
    <n v="0"/>
    <n v="0"/>
    <n v="129"/>
    <n v="122"/>
    <n v="10"/>
    <n v="0"/>
  </r>
  <r>
    <s v="Cases &amp; Composites"/>
    <s v="CAS-218948-L8X6B2"/>
    <s v="Robert Thompson"/>
    <s v="Complete"/>
    <s v="Resolved"/>
    <s v="2-Routine"/>
    <n v="7"/>
    <s v="24FC230"/>
    <s v="Repair-EA"/>
    <s v="EM"/>
    <s v="PW2000"/>
    <s v="AMO"/>
    <m/>
    <d v="2024-06-24T11:07:50"/>
    <d v="2024-12-12T05:00:00"/>
    <d v="2024-09-27T04:00:00"/>
    <x v="164"/>
    <d v="2024-09-25T15:40:35"/>
    <s v="Sept"/>
    <d v="2024-07-17T04:00:00"/>
    <d v="2024-08-09T04:00:00"/>
    <d v="2024-08-09T04:00:00"/>
    <d v="2024-08-13T04:00:00"/>
    <n v="23"/>
    <n v="4"/>
    <n v="27"/>
    <n v="92.702893518515339"/>
    <n v="65.702893518515339"/>
    <n v="0"/>
    <n v="0"/>
    <n v="0"/>
    <n v="0"/>
    <n v="0"/>
    <n v="0"/>
    <n v="0"/>
    <n v="0"/>
    <n v="0"/>
    <n v="92.702893518515339"/>
    <n v="65.702893518515339"/>
    <n v="-78.041666666671517"/>
    <n v="1"/>
  </r>
  <r>
    <s v="Cases &amp; Composites"/>
    <s v="CAS-148496-Y9P1T8"/>
    <s v="Ferdin Mustafa"/>
    <s v="Complete"/>
    <s v="Resolved"/>
    <s v="2-Routine"/>
    <n v="8"/>
    <s v="23CCF88"/>
    <s v="Repair-EA"/>
    <s v="EM"/>
    <s v="PW800"/>
    <s v="17-24K"/>
    <m/>
    <d v="2022-05-12T11:32:46"/>
    <d v="2023-12-08T05:00:00"/>
    <d v="2024-04-25T04:00:00"/>
    <x v="165"/>
    <d v="2024-04-04T09:23:17"/>
    <s v="Apr ---------- PW800 update EA15CCC67 borescope plug lock replacement. OTC -"/>
    <m/>
    <m/>
    <m/>
    <m/>
    <s v=""/>
    <s v=""/>
    <n v="0"/>
    <n v="691.68557870369841"/>
    <n v="691.68557870369841"/>
    <n v="0"/>
    <n v="0"/>
    <n v="0"/>
    <n v="0"/>
    <n v="0"/>
    <n v="0"/>
    <n v="0"/>
    <n v="13.984068182871852"/>
    <n v="13.984068182871852"/>
    <n v="677.70151052082656"/>
    <n v="677.70151052082656"/>
    <n v="116.95833333332848"/>
    <n v="0"/>
  </r>
  <r>
    <s v="Cases &amp; Composites"/>
    <s v="CAS-188541-W0M8G7"/>
    <s v="Pedro Iturrino"/>
    <s v="Complete"/>
    <s v="Resolved"/>
    <s v="2-Routine"/>
    <n v="8"/>
    <s v="23KC646"/>
    <s v="Repair-EA"/>
    <s v="OTC"/>
    <s v="PW4000"/>
    <s v="AMO"/>
    <m/>
    <d v="2023-08-09T21:27:15"/>
    <d v="2024-03-12T04:00:00"/>
    <d v="2024-04-19T04:00:00"/>
    <x v="75"/>
    <d v="2024-04-19T15:51:20"/>
    <s v="APR"/>
    <d v="2024-01-04T05:00:00"/>
    <d v="2024-02-01T05:00:00"/>
    <d v="2024-02-01T05:00:00"/>
    <d v="2024-03-06T05:00:00"/>
    <n v="28"/>
    <n v="34"/>
    <n v="62"/>
    <n v="253.27274305555329"/>
    <n v="191.27274305555329"/>
    <n v="0"/>
    <n v="0"/>
    <n v="0"/>
    <n v="0"/>
    <n v="0"/>
    <n v="0"/>
    <n v="0"/>
    <n v="0"/>
    <n v="0"/>
    <n v="253.27274305555329"/>
    <n v="191.27274305555329"/>
    <n v="38"/>
    <n v="0"/>
  </r>
  <r>
    <s v="Cases &amp; Composites"/>
    <s v="CAS-190502-X6H1T4"/>
    <s v="Orlando Melendez Colon"/>
    <s v="Complete"/>
    <s v="Resolved"/>
    <s v="2-Routine"/>
    <n v="8"/>
    <s v="23VG298"/>
    <s v="Repair-EA"/>
    <s v="OTC"/>
    <s v="V2500"/>
    <s v="V2500"/>
    <m/>
    <d v="2023-08-30T07:48:12"/>
    <d v="2023-11-10T05:00:00"/>
    <d v="2024-07-31T04:00:00"/>
    <x v="166"/>
    <d v="2024-07-30T01:45:00"/>
    <s v="July"/>
    <d v="2023-09-25T04:00:00"/>
    <d v="2023-09-28T04:00:00"/>
    <d v="2023-09-28T04:00:00"/>
    <d v="2023-10-09T04:00:00"/>
    <n v="3"/>
    <n v="11"/>
    <n v="14"/>
    <n v="328.8415277777749"/>
    <n v="314.8415277777749"/>
    <n v="0"/>
    <n v="0"/>
    <n v="0"/>
    <n v="0"/>
    <n v="0"/>
    <n v="0"/>
    <n v="0"/>
    <n v="0"/>
    <n v="0"/>
    <n v="328.8415277777749"/>
    <n v="314.8415277777749"/>
    <n v="256.95833333332848"/>
    <n v="0"/>
  </r>
  <r>
    <s v="Cases &amp; Composites"/>
    <s v="CAS-196404-Z9C4Q8"/>
    <s v="Pedro Iturrino"/>
    <s v="Complete"/>
    <s v="Resolved"/>
    <s v="2-Routine"/>
    <n v="8"/>
    <s v="23KC615"/>
    <s v="Repair-EA"/>
    <s v="OTC"/>
    <s v="PW4000"/>
    <s v="AMO"/>
    <m/>
    <d v="2023-10-26T19:15:53"/>
    <d v="2024-02-22T05:00:00"/>
    <d v="2024-02-22T05:00:00"/>
    <x v="34"/>
    <d v="2024-02-09T12:35:30"/>
    <s v="FEB2"/>
    <d v="2023-11-30T05:00:00"/>
    <d v="2023-12-12T05:00:00"/>
    <d v="2023-12-12T05:00:00"/>
    <d v="2024-01-26T05:00:00"/>
    <n v="12"/>
    <n v="45"/>
    <n v="57"/>
    <n v="104.4056365740762"/>
    <n v="47.405636574076198"/>
    <n v="0"/>
    <n v="0"/>
    <n v="0"/>
    <n v="0"/>
    <n v="0"/>
    <n v="0"/>
    <n v="0"/>
    <n v="0"/>
    <n v="0"/>
    <n v="104.4056365740762"/>
    <n v="47.405636574076198"/>
    <n v="-14"/>
    <n v="1"/>
  </r>
  <r>
    <s v="Cases &amp; Composites"/>
    <s v="CAS-200280-J8V5M8"/>
    <s v="Pedro Iturrino"/>
    <s v="Complete"/>
    <s v="Resolved"/>
    <s v="2-Routine"/>
    <n v="8"/>
    <s v="24VC008"/>
    <s v="Repair-EA"/>
    <s v="OTC"/>
    <s v="V2500"/>
    <s v="AMO"/>
    <m/>
    <d v="2023-12-05T20:07:06"/>
    <d v="2024-03-20T04:00:00"/>
    <d v="2024-05-17T04:00:00"/>
    <x v="72"/>
    <d v="2024-05-20T20:22:45"/>
    <s v="MAY"/>
    <d v="2024-01-11T05:00:00"/>
    <d v="2024-02-07T05:00:00"/>
    <d v="2024-02-07T05:00:00"/>
    <d v="2024-02-28T05:00:00"/>
    <n v="27"/>
    <n v="21"/>
    <n v="48"/>
    <n v="166.32840277777723"/>
    <n v="118.32840277777723"/>
    <n v="0"/>
    <n v="0"/>
    <n v="0"/>
    <n v="0"/>
    <n v="0"/>
    <n v="0"/>
    <n v="0"/>
    <n v="0"/>
    <n v="0"/>
    <n v="166.32840277777723"/>
    <n v="118.32840277777723"/>
    <n v="61"/>
    <n v="0"/>
  </r>
  <r>
    <s v="Cases &amp; Composites"/>
    <s v="MSG-231215-321AE4"/>
    <s v="Ferdin Mustafa"/>
    <s v="Complete"/>
    <s v="Complete"/>
    <s v="2-Routine"/>
    <n v="8"/>
    <s v="24CC229"/>
    <s v="Repair-EA"/>
    <s v="EM"/>
    <s v="PW1000G"/>
    <s v="24K"/>
    <m/>
    <d v="2023-12-15T05:00:00"/>
    <d v="2024-03-29T04:00:00"/>
    <d v="2024-06-06T04:00:00"/>
    <x v="167"/>
    <d v="2024-06-19T13:50:18"/>
    <s v="June Index 1 VIS: https://prod61-ews.prattwhitney.com/ietp/PW1000G-77445-25072-00/PW1000G-A-72-41-0211-00A-310A-C.html   Reference OTC 23CC872"/>
    <m/>
    <m/>
    <m/>
    <m/>
    <s v=""/>
    <s v=""/>
    <n v="0"/>
    <n v="186.95833333332848"/>
    <n v="186.95833333332848"/>
    <n v="0"/>
    <n v="0"/>
    <n v="0"/>
    <n v="0"/>
    <n v="0"/>
    <n v="0"/>
    <n v="0"/>
    <n v="15.160699467596714"/>
    <n v="15.160699467596714"/>
    <n v="171.79763386573177"/>
    <n v="171.79763386573177"/>
    <n v="82"/>
    <n v="0"/>
  </r>
  <r>
    <s v="Cases &amp; Composites"/>
    <s v="CAS-208225-L3F8Z8"/>
    <s v="Jia Chen"/>
    <s v="Complete"/>
    <s v="Resolved"/>
    <s v="2-Routine"/>
    <n v="8"/>
    <s v="24KC202"/>
    <s v="Repair-EA"/>
    <s v="OTC"/>
    <s v="PW4000"/>
    <s v="AMO"/>
    <m/>
    <d v="2024-02-29T22:35:29"/>
    <d v="2024-07-09T04:00:00"/>
    <d v="2024-07-09T04:00:00"/>
    <x v="167"/>
    <d v="2024-06-19T19:07:37"/>
    <s v="June"/>
    <d v="2024-03-08T05:00:00"/>
    <d v="2024-03-20T04:00:00"/>
    <d v="2024-03-20T04:00:00"/>
    <d v="2024-05-13T04:00:00"/>
    <n v="11.958333333328483"/>
    <n v="54"/>
    <n v="65.958333333328483"/>
    <n v="110.2253587962914"/>
    <n v="44.26702546296292"/>
    <n v="0"/>
    <n v="0"/>
    <n v="0"/>
    <n v="0"/>
    <n v="0"/>
    <n v="0"/>
    <n v="0"/>
    <n v="0"/>
    <n v="0"/>
    <n v="110.2253587962914"/>
    <n v="44.26702546296292"/>
    <n v="-20"/>
    <n v="1"/>
  </r>
  <r>
    <s v="Cases &amp; Composites"/>
    <s v="CAS-209515-V9H4S1"/>
    <s v="Jia Chen"/>
    <s v="Complete"/>
    <s v="Resolved"/>
    <s v="2-Routine"/>
    <n v="8"/>
    <s v="24VC118"/>
    <s v="Repair-EA"/>
    <s v="OTC"/>
    <s v="V2500"/>
    <s v="AMO"/>
    <m/>
    <d v="2024-03-14T16:04:41"/>
    <d v="2024-07-01T04:00:00"/>
    <d v="2024-09-18T04:00:00"/>
    <x v="168"/>
    <d v="2024-09-18T13:31:50"/>
    <s v="Sept"/>
    <d v="2024-04-01T04:00:00"/>
    <d v="2024-04-11T04:00:00"/>
    <d v="2024-04-11T04:00:00"/>
    <d v="2024-09-06T04:00:00"/>
    <n v="10"/>
    <n v="148"/>
    <n v="158"/>
    <n v="186.49674768518162"/>
    <n v="28.496747685181617"/>
    <n v="0"/>
    <n v="0"/>
    <n v="0"/>
    <n v="0"/>
    <n v="0"/>
    <n v="0"/>
    <n v="20"/>
    <n v="0"/>
    <n v="20"/>
    <n v="166.49674768518162"/>
    <n v="8.4967476851816173"/>
    <n v="78"/>
    <n v="0"/>
  </r>
  <r>
    <s v="Cases &amp; Composites"/>
    <n v="106590"/>
    <s v="Robert Thompson"/>
    <s v="Complete"/>
    <s v="Closed"/>
    <s v="2-Routine"/>
    <n v="8"/>
    <s v="24FC269"/>
    <s v="Repair-EA"/>
    <s v="OTC"/>
    <s v="PW2000"/>
    <s v="AMO"/>
    <s v="50%"/>
    <d v="2024-06-24T04:00:00"/>
    <d v="2024-08-30T04:00:00"/>
    <d v="2024-08-30T04:00:00"/>
    <x v="86"/>
    <d v="2024-08-16T20:12:19"/>
    <m/>
    <m/>
    <m/>
    <m/>
    <m/>
    <s v=""/>
    <s v=""/>
    <n v="0"/>
    <n v="53"/>
    <n v="53"/>
    <n v="0"/>
    <n v="0"/>
    <n v="0"/>
    <n v="0"/>
    <n v="0"/>
    <n v="0"/>
    <n v="0"/>
    <n v="0"/>
    <n v="0"/>
    <n v="53"/>
    <n v="53"/>
    <n v="-14"/>
    <n v="1"/>
  </r>
  <r>
    <s v="Cases &amp; Composites"/>
    <s v="CAS-221592-N7L2B1"/>
    <s v="Alexander Page"/>
    <s v="Complete"/>
    <s v="Resolved"/>
    <s v="2-Routine"/>
    <n v="8"/>
    <s v="24CCL31"/>
    <s v="Repair-EA"/>
    <s v="OTC"/>
    <s v="PW1000G"/>
    <s v="24K"/>
    <s v="75%"/>
    <d v="2024-07-18T15:00:43"/>
    <d v="2024-09-13T04:00:00"/>
    <d v="2024-09-13T04:00:00"/>
    <x v="169"/>
    <d v="2024-08-29T18:38:41"/>
    <s v="DIFFUSER INNER CASE ASSEMBLY - W-SEAL PLASMA COAT REPAIR - 21CCM16B LIMIT EXTENSION"/>
    <d v="2024-08-15T04:00:00"/>
    <d v="2024-08-16T04:00:00"/>
    <d v="2024-08-16T04:00:00"/>
    <d v="2024-08-19T04:00:00"/>
    <n v="1"/>
    <n v="3"/>
    <n v="4"/>
    <n v="41.541168981479132"/>
    <n v="37.541168981479132"/>
    <n v="0"/>
    <n v="0"/>
    <n v="0"/>
    <n v="0"/>
    <n v="0"/>
    <n v="0"/>
    <n v="0"/>
    <n v="0"/>
    <n v="0"/>
    <n v="41.541168981479132"/>
    <n v="37.541168981479132"/>
    <n v="-15"/>
    <n v="1"/>
  </r>
  <r>
    <s v="Cases &amp; Composites"/>
    <s v="CAS-224559-P3D6F9"/>
    <s v="Robert Thompson"/>
    <s v="Complete"/>
    <s v="Resolved"/>
    <s v="2-Routine"/>
    <n v="8"/>
    <s v="24KC523"/>
    <s v="Repair-EA"/>
    <s v="OTC"/>
    <s v="PW4000"/>
    <s v="AMO"/>
    <m/>
    <d v="2024-08-19T12:38:11"/>
    <d v="2024-11-30T05:00:00"/>
    <d v="2024-09-18T04:00:00"/>
    <x v="170"/>
    <d v="2024-09-12T15:39:18"/>
    <m/>
    <m/>
    <m/>
    <m/>
    <m/>
    <s v=""/>
    <s v=""/>
    <n v="0"/>
    <n v="22.640150462961174"/>
    <n v="22.640150462961174"/>
    <n v="0"/>
    <n v="0"/>
    <n v="0"/>
    <n v="0"/>
    <n v="0"/>
    <n v="0"/>
    <n v="0"/>
    <n v="0"/>
    <n v="0"/>
    <n v="22.640150462961174"/>
    <n v="22.640150462961174"/>
    <n v="-80.041666666671517"/>
    <n v="1"/>
  </r>
  <r>
    <s v="Cases &amp; Composites"/>
    <s v="CAS-252538-V1V1F6"/>
    <s v="Bruce Zoyaar"/>
    <s v="Complete"/>
    <s v="Resolved"/>
    <s v="2-Routine"/>
    <n v="8"/>
    <s v="25AC085"/>
    <s v="Repair-EA"/>
    <s v="OTC"/>
    <s v="GP7000"/>
    <s v="GP7000"/>
    <s v="75%"/>
    <d v="2025-05-16T13:22:23"/>
    <d v="2025-07-08T04:00:00"/>
    <d v="2025-05-30T04:00:00"/>
    <x v="171"/>
    <d v="2025-05-28T23:58:02"/>
    <s v="DR# 02188219, 02191287, 02191297"/>
    <m/>
    <m/>
    <m/>
    <m/>
    <s v=""/>
    <s v=""/>
    <n v="0"/>
    <n v="11.60945601851563"/>
    <n v="11.60945601851563"/>
    <n v="0"/>
    <n v="0"/>
    <n v="0"/>
    <n v="0"/>
    <n v="0"/>
    <n v="0"/>
    <n v="0"/>
    <n v="0"/>
    <n v="0"/>
    <n v="11.60945601851563"/>
    <n v="11.60945601851563"/>
    <n v="-41"/>
    <n v="1"/>
  </r>
  <r>
    <s v="Cases &amp; Composites"/>
    <s v="CAS-148403-H5Q6J7"/>
    <s v="Dean Catlett"/>
    <s v="Complete"/>
    <s v="Resolved"/>
    <s v="2-Routine"/>
    <n v="9"/>
    <s v="23CCF87"/>
    <s v="Repair-EA"/>
    <s v="EM"/>
    <s v="PW800"/>
    <s v="17-24K"/>
    <m/>
    <d v="2022-05-11T20:44:03"/>
    <d v="2024-02-16T05:00:00"/>
    <d v="2024-04-30T04:00:00"/>
    <x v="165"/>
    <d v="2024-04-04T16:12:23"/>
    <s v="EM - PW800 update EA15CCC79 borescope thread chase repair OTC - Apr"/>
    <m/>
    <m/>
    <m/>
    <m/>
    <s v=""/>
    <s v=""/>
    <n v="0"/>
    <n v="692.30274305555213"/>
    <n v="692.30274305555213"/>
    <n v="0"/>
    <n v="0"/>
    <n v="0"/>
    <n v="0"/>
    <n v="0"/>
    <n v="0"/>
    <n v="0"/>
    <n v="13.984316712965665"/>
    <n v="13.984316712965665"/>
    <n v="678.31842634258646"/>
    <n v="678.31842634258646"/>
    <n v="46.958333333328483"/>
    <n v="0"/>
  </r>
  <r>
    <s v="Cases &amp; Composites"/>
    <s v="CAS-173448-K8Z4Z0"/>
    <s v="Jia Chen"/>
    <s v="Complete"/>
    <s v="Resolved"/>
    <s v="2-Routine"/>
    <n v="9"/>
    <s v="23CCB42"/>
    <s v="Repair-EA"/>
    <s v="OTC"/>
    <s v="PW1000G"/>
    <s v="AMO"/>
    <m/>
    <d v="2023-03-03T15:18:49"/>
    <d v="2023-09-20T04:00:00"/>
    <d v="2024-03-05T05:00:00"/>
    <x v="172"/>
    <d v="2024-03-04T15:15:39"/>
    <s v="TIC Inner. mar1"/>
    <d v="2023-06-12T04:00:00"/>
    <d v="2023-06-14T04:00:00"/>
    <d v="2023-06-14T04:00:00"/>
    <d v="2023-10-26T04:00:00"/>
    <n v="2"/>
    <n v="134"/>
    <n v="136"/>
    <n v="366.57026620370743"/>
    <n v="230.57026620370743"/>
    <n v="0"/>
    <n v="0"/>
    <n v="0"/>
    <n v="0"/>
    <n v="0"/>
    <n v="0"/>
    <n v="0"/>
    <n v="0"/>
    <n v="0"/>
    <n v="366.57026620370743"/>
    <n v="230.57026620370743"/>
    <n v="166.04166666667152"/>
    <n v="0"/>
  </r>
  <r>
    <s v="Cases &amp; Composites"/>
    <s v="CAS-176621-P9J0X1"/>
    <s v="Jia Chen"/>
    <s v="Complete"/>
    <s v="Resolved"/>
    <s v="2-Routine"/>
    <n v="9"/>
    <s v="23KC517"/>
    <s v="Repair-EA"/>
    <s v="OTC"/>
    <s v="PW4000"/>
    <s v="AMO"/>
    <m/>
    <d v="2023-04-05T14:36:28"/>
    <d v="2023-10-19T04:00:00"/>
    <d v="2024-01-31T05:00:00"/>
    <x v="30"/>
    <d v="2024-01-22T16:06:35"/>
    <s v="JAN"/>
    <d v="2023-05-01T04:00:00"/>
    <d v="2023-09-26T04:00:00"/>
    <d v="2023-09-26T04:00:00"/>
    <d v="2023-12-15T05:00:00"/>
    <n v="148"/>
    <n v="80.041666666671517"/>
    <n v="228.04166666667152"/>
    <n v="291.59967592592875"/>
    <n v="63.558009259257233"/>
    <n v="0"/>
    <n v="0"/>
    <n v="0"/>
    <n v="0"/>
    <n v="0"/>
    <n v="0"/>
    <n v="35"/>
    <n v="0"/>
    <n v="35"/>
    <n v="256.59967592592875"/>
    <n v="28.558009259257233"/>
    <n v="95.041666666671517"/>
    <n v="0"/>
  </r>
  <r>
    <s v="Cases &amp; Composites"/>
    <s v="CAS-197572-Z0G8R2"/>
    <s v="Jia Chen"/>
    <s v="Complete"/>
    <s v="Resolved"/>
    <s v="2-Routine"/>
    <n v="9"/>
    <s v="23VC517"/>
    <s v="Repair-EA"/>
    <s v="EM"/>
    <s v="V2500"/>
    <s v="V2500"/>
    <m/>
    <d v="2023-11-07T15:27:50"/>
    <d v="2024-02-29T05:00:00"/>
    <d v="2024-01-18T05:00:00"/>
    <x v="118"/>
    <d v="2024-01-16T18:15:20"/>
    <s v="JAN"/>
    <d v="2023-11-09T05:00:00"/>
    <d v="2023-11-09T05:00:00"/>
    <d v="2023-11-09T05:00:00"/>
    <d v="2023-12-20T05:00:00"/>
    <n v="0"/>
    <n v="41"/>
    <n v="41"/>
    <n v="69.564004629632109"/>
    <n v="28.564004629632109"/>
    <n v="0"/>
    <n v="0"/>
    <n v="0"/>
    <n v="0"/>
    <n v="0"/>
    <n v="0"/>
    <n v="0"/>
    <n v="0"/>
    <n v="0"/>
    <n v="69.564004629632109"/>
    <n v="28.564004629632109"/>
    <n v="-44"/>
    <n v="1"/>
  </r>
  <r>
    <s v="Cases &amp; Composites"/>
    <s v="CAS-199976-N6W0W6"/>
    <s v="Pedro Iturrino"/>
    <s v="Complete"/>
    <s v="Resolved"/>
    <s v="2-Routine"/>
    <n v="9"/>
    <s v="24KC028"/>
    <s v="Repair-EA"/>
    <s v="OTC"/>
    <s v="PW4000"/>
    <s v="AMO"/>
    <m/>
    <d v="2023-12-01T16:38:43"/>
    <d v="2024-03-25T04:00:00"/>
    <d v="2024-04-19T04:00:00"/>
    <x v="108"/>
    <d v="2024-04-17T16:54:56"/>
    <s v="APR"/>
    <d v="2024-01-03T05:00:00"/>
    <d v="2024-02-08T05:00:00"/>
    <d v="2024-02-08T05:00:00"/>
    <d v="2024-03-20T04:00:00"/>
    <n v="36"/>
    <n v="40.958333333328483"/>
    <n v="76.958333333328483"/>
    <n v="137.47311342592002"/>
    <n v="60.514780092591536"/>
    <n v="0"/>
    <n v="0"/>
    <n v="0"/>
    <n v="0"/>
    <n v="0"/>
    <n v="0"/>
    <n v="0"/>
    <n v="0"/>
    <n v="0"/>
    <n v="137.47311342592002"/>
    <n v="60.514780092591536"/>
    <n v="23"/>
    <n v="0"/>
  </r>
  <r>
    <s v="Cases &amp; Composites"/>
    <s v="CAS-200292-X8X0Q5"/>
    <s v="Robert Thompson"/>
    <s v="Complete"/>
    <s v="Resolved"/>
    <s v="2-Routine"/>
    <n v="9"/>
    <s v="17CCE31A"/>
    <s v="Repair-EA"/>
    <s v="EM"/>
    <s v="PW1000G"/>
    <s v="24K"/>
    <m/>
    <d v="2023-12-05T22:43:10"/>
    <d v="2024-02-09T05:00:00"/>
    <d v="2024-02-09T05:00:00"/>
    <x v="62"/>
    <d v="2024-01-29T16:48:53"/>
    <m/>
    <m/>
    <m/>
    <m/>
    <m/>
    <s v=""/>
    <s v=""/>
    <n v="0"/>
    <n v="54.261689814818965"/>
    <n v="54.261689814818965"/>
    <n v="0"/>
    <n v="0"/>
    <n v="0"/>
    <n v="0"/>
    <n v="0"/>
    <n v="0"/>
    <n v="0"/>
    <n v="0"/>
    <n v="0"/>
    <n v="54.261689814818965"/>
    <n v="54.261689814818965"/>
    <n v="-11"/>
    <n v="1"/>
  </r>
  <r>
    <s v="Cases &amp; Composites"/>
    <s v="CAS-200561-X6C1R3"/>
    <s v="Pedro Iturrino"/>
    <s v="Complete"/>
    <s v="Resolved"/>
    <s v="2-Routine"/>
    <n v="9"/>
    <s v="23FC380"/>
    <s v="Repair-EA"/>
    <s v="OTC"/>
    <s v="PW2000"/>
    <s v="AMO"/>
    <m/>
    <d v="2023-12-07T19:37:36"/>
    <d v="2024-02-29T05:00:00"/>
    <d v="2024-03-15T04:00:00"/>
    <x v="173"/>
    <d v="2024-03-18T15:17:15"/>
    <m/>
    <d v="2023-12-14T05:00:00"/>
    <d v="2023-12-21T05:00:00"/>
    <d v="2023-12-21T05:00:00"/>
    <d v="2024-01-23T05:00:00"/>
    <n v="7"/>
    <n v="33"/>
    <n v="40"/>
    <n v="101.34888888888963"/>
    <n v="61.348888888889633"/>
    <n v="0"/>
    <n v="0"/>
    <n v="0"/>
    <n v="0"/>
    <n v="0"/>
    <n v="0"/>
    <n v="0"/>
    <n v="0"/>
    <n v="0"/>
    <n v="101.34888888888963"/>
    <n v="61.348888888889633"/>
    <n v="17.958333333328483"/>
    <n v="0"/>
  </r>
  <r>
    <s v="Cases &amp; Composites"/>
    <s v="CAS-201903-S8T5T1"/>
    <s v="Robert Thompson"/>
    <s v="Complete"/>
    <s v="Resolved"/>
    <s v="2-Routine"/>
    <n v="9"/>
    <s v="24KC095"/>
    <s v="Repair-EA"/>
    <s v="EM"/>
    <s v="PW4000"/>
    <s v="AMO"/>
    <m/>
    <d v="2024-01-03T17:59:41"/>
    <d v="2024-03-08T05:00:00"/>
    <d v="2024-08-06T04:00:00"/>
    <x v="174"/>
    <d v="2024-08-07T16:49:09"/>
    <m/>
    <d v="2024-07-09T04:00:00"/>
    <d v="2024-07-10T04:00:00"/>
    <d v="2024-07-10T04:00:00"/>
    <d v="2024-07-10T04:00:00"/>
    <n v="1"/>
    <n v="0"/>
    <n v="1"/>
    <n v="215.41688657407212"/>
    <n v="214.41688657407212"/>
    <n v="0"/>
    <n v="0"/>
    <n v="0"/>
    <n v="0"/>
    <n v="0"/>
    <n v="5"/>
    <n v="0"/>
    <n v="0"/>
    <n v="5"/>
    <n v="210.41688657407212"/>
    <n v="209.41688657407212"/>
    <n v="150.95833333332848"/>
    <n v="0"/>
  </r>
  <r>
    <s v="Cases &amp; Composites"/>
    <s v="CAS-207964-W7Y0T3"/>
    <s v="Jia Chen"/>
    <s v="Complete"/>
    <s v="Resolved"/>
    <s v="2-Routine"/>
    <n v="9"/>
    <s v="24CC683"/>
    <s v="Repair-EA"/>
    <s v="OTC"/>
    <s v="PW1000G"/>
    <s v="30K"/>
    <m/>
    <d v="2024-02-27T17:59:26"/>
    <d v="2024-06-14T04:00:00"/>
    <d v="2024-05-15T04:00:00"/>
    <x v="2"/>
    <d v="2024-04-30T17:04:27"/>
    <s v="IDC"/>
    <d v="2024-03-26T04:00:00"/>
    <d v="2024-04-03T04:00:00"/>
    <d v="2024-04-03T04:00:00"/>
    <d v="2024-04-26T04:00:00"/>
    <n v="8"/>
    <n v="23"/>
    <n v="31"/>
    <n v="62.417060185180162"/>
    <n v="31.417060185180162"/>
    <n v="0"/>
    <n v="0"/>
    <n v="0"/>
    <n v="0"/>
    <n v="0"/>
    <n v="0"/>
    <n v="0"/>
    <n v="0"/>
    <n v="0"/>
    <n v="62.417060185180162"/>
    <n v="31.417060185180162"/>
    <n v="-45"/>
    <n v="1"/>
  </r>
  <r>
    <s v="Cases &amp; Composites"/>
    <s v="CAS-236783-S4W5B1"/>
    <s v="Francisco Astiasaran"/>
    <s v="Complete"/>
    <s v="Resolved"/>
    <s v="2-Routine"/>
    <n v="9"/>
    <s v="24CCY71"/>
    <s v="Repair-EA"/>
    <s v="OTC"/>
    <s v="PW1000G"/>
    <s v="30K"/>
    <s v="50%"/>
    <d v="2024-12-10T21:23:34"/>
    <d v="2025-01-08T05:00:00"/>
    <d v="2025-01-08T05:00:00"/>
    <x v="175"/>
    <d v="2024-12-21T00:15:04"/>
    <m/>
    <d v="2024-12-18T05:00:00"/>
    <d v="2024-12-18T05:00:00"/>
    <d v="2024-12-18T05:00:00"/>
    <d v="2024-12-19T05:00:00"/>
    <n v="0"/>
    <n v="1"/>
    <n v="1"/>
    <n v="9.3169675925964839"/>
    <n v="8.3169675925964839"/>
    <n v="0"/>
    <n v="0"/>
    <n v="0"/>
    <n v="0"/>
    <n v="0"/>
    <n v="0"/>
    <n v="0"/>
    <n v="0"/>
    <n v="0"/>
    <n v="9.3169675925964839"/>
    <n v="8.3169675925964839"/>
    <n v="-19"/>
    <n v="1"/>
  </r>
  <r>
    <s v="Cases &amp; Composites"/>
    <s v="CAS-247358-W6W6D9"/>
    <s v="Francisco Astiasaran"/>
    <s v="Complete"/>
    <s v="Resolved"/>
    <s v="2-Routine"/>
    <n v="9"/>
    <s v="25CC872"/>
    <s v="Repair-EA"/>
    <s v="OTC"/>
    <s v="PW1000G"/>
    <s v="24K"/>
    <s v="75%"/>
    <d v="2025-03-26T13:04:08"/>
    <d v="2025-05-14T04:00:00"/>
    <d v="2025-05-28T04:00:00"/>
    <x v="176"/>
    <d v="2025-05-21T20:18:44"/>
    <s v="May2025 - FASM: Proposing follow on EM repair given number of occurrences."/>
    <d v="2025-05-09T04:00:00"/>
    <d v="2025-05-09T04:00:00"/>
    <d v="2025-05-09T04:00:00"/>
    <d v="2025-05-19T04:00:00"/>
    <n v="0"/>
    <n v="10"/>
    <n v="10"/>
    <n v="55.622129629628034"/>
    <n v="45.622129629628034"/>
    <n v="0"/>
    <n v="0"/>
    <n v="0"/>
    <n v="0"/>
    <n v="0"/>
    <n v="0"/>
    <n v="0"/>
    <n v="0"/>
    <n v="0"/>
    <n v="55.622129629628034"/>
    <n v="45.622129629628034"/>
    <n v="7"/>
    <n v="0"/>
  </r>
  <r>
    <s v="Cases &amp; Composites"/>
    <s v="MSG-250318-098751"/>
    <s v="Ferdin Mustafa"/>
    <s v="Complete"/>
    <s v="Complete"/>
    <s v="2-Routine"/>
    <n v="9"/>
    <s v="23CCA12A"/>
    <s v="Repair-EA"/>
    <s v="EM"/>
    <s v="PW1000G"/>
    <s v="PIP"/>
    <s v="75%"/>
    <d v="2025-03-18T04:00:00"/>
    <d v="2025-08-15T04:00:00"/>
    <d v="2025-07-18T04:00:00"/>
    <x v="177"/>
    <d v="2025-07-17T17:16:31"/>
    <s v="ASE processed 23CCA12 authorizing PW1100G-A-72-35-01-00A-920A-D to be used as common to 30K/GTFA. Due to Pre- Post SB call out MDE is now updating the DMC to PW1100G-B (30K) and PW1100G-C GTFA Variants. Provide REA to confirm MDE draft. Contact RPM"/>
    <m/>
    <m/>
    <m/>
    <m/>
    <s v=""/>
    <s v=""/>
    <n v="0"/>
    <n v="121"/>
    <n v="121"/>
    <n v="0"/>
    <n v="8.3237430671288166"/>
    <n v="0"/>
    <n v="0"/>
    <n v="0"/>
    <n v="0"/>
    <n v="0"/>
    <n v="0"/>
    <n v="8.3237430671288166"/>
    <n v="112.67625693287118"/>
    <n v="112.67625693287118"/>
    <n v="-29"/>
    <n v="1"/>
  </r>
  <r>
    <s v="Cases &amp; Composites"/>
    <s v="CAS-162920-P9B5W9"/>
    <s v="Robert Thompson"/>
    <s v="Complete"/>
    <s v="Resolved"/>
    <s v="2-Routine"/>
    <n v="10"/>
    <s v="17CC668A"/>
    <s v="Repair-EA"/>
    <s v="EM"/>
    <s v="PW1000G"/>
    <s v="24K"/>
    <m/>
    <d v="2022-11-09T00:27:43"/>
    <d v="2024-05-29T04:00:00"/>
    <d v="2024-07-31T04:00:00"/>
    <x v="91"/>
    <d v="2024-07-30T18:14:42"/>
    <m/>
    <m/>
    <m/>
    <m/>
    <m/>
    <s v=""/>
    <s v=""/>
    <n v="0"/>
    <n v="629.14741898147622"/>
    <n v="629.14741898147622"/>
    <n v="0"/>
    <n v="0"/>
    <n v="0"/>
    <n v="0"/>
    <n v="0"/>
    <n v="0"/>
    <n v="0"/>
    <n v="0"/>
    <n v="0"/>
    <n v="629.14741898147622"/>
    <n v="629.14741898147622"/>
    <n v="62"/>
    <n v="0"/>
  </r>
  <r>
    <s v="Cases &amp; Composites"/>
    <s v="CAS-177728-R3P3F3"/>
    <s v="Robert Thompson"/>
    <s v="Complete"/>
    <s v="Resolved"/>
    <s v="2-Routine"/>
    <n v="10"/>
    <s v="20CCK95B"/>
    <s v="Repair-EA"/>
    <s v="MR"/>
    <s v="PW1000G"/>
    <s v="30K"/>
    <m/>
    <d v="2023-04-18T11:47:57"/>
    <d v="2023-06-16T04:00:00"/>
    <d v="2024-02-16T05:00:00"/>
    <x v="68"/>
    <d v="2024-02-12T19:19:04"/>
    <s v="(Jan.)  Inlet Cap, Inlet Cone"/>
    <m/>
    <m/>
    <m/>
    <m/>
    <s v=""/>
    <s v=""/>
    <n v="0"/>
    <n v="296.71670138889021"/>
    <n v="296.71670138889021"/>
    <n v="0"/>
    <n v="0"/>
    <n v="0"/>
    <n v="0"/>
    <n v="0"/>
    <n v="0"/>
    <n v="0"/>
    <n v="63.006091527779063"/>
    <n v="63.006091527779063"/>
    <n v="233.71060986111115"/>
    <n v="233.71060986111115"/>
    <n v="238.04166666667152"/>
    <n v="0"/>
  </r>
  <r>
    <s v="Cases &amp; Composites"/>
    <s v="CAS-193424-N6V4T2"/>
    <s v="Ferdin Mustafa"/>
    <s v="Complete"/>
    <s v="Resolved"/>
    <s v="2-Routine"/>
    <n v="10"/>
    <s v="19CC090B"/>
    <s v="Repair-EA"/>
    <s v="EM"/>
    <s v="PW1000G"/>
    <m/>
    <m/>
    <d v="2023-09-27T07:22:23"/>
    <d v="2023-12-08T05:00:00"/>
    <d v="2024-04-12T04:00:00"/>
    <x v="60"/>
    <d v="2024-04-16T15:13:38"/>
    <s v="Apr"/>
    <m/>
    <m/>
    <m/>
    <m/>
    <s v=""/>
    <s v=""/>
    <n v="0"/>
    <n v="193.85945601851563"/>
    <n v="193.85945601851563"/>
    <n v="0"/>
    <n v="0"/>
    <n v="0"/>
    <n v="0"/>
    <n v="0"/>
    <n v="0"/>
    <n v="0"/>
    <n v="0"/>
    <n v="0"/>
    <n v="193.85945601851563"/>
    <n v="193.85945601851563"/>
    <n v="121.95833333332848"/>
    <n v="0"/>
  </r>
  <r>
    <s v="Cases &amp; Composites"/>
    <s v="CAS-204584-H7R3F1"/>
    <s v="Ferdin Mustafa"/>
    <s v="Complete"/>
    <s v="Resolved"/>
    <s v="2-Routine"/>
    <n v="10"/>
    <s v="24FC132"/>
    <s v="Repair-EA"/>
    <s v="OTC"/>
    <s v="PW2000"/>
    <s v="OCE"/>
    <m/>
    <d v="2024-01-23T16:42:37"/>
    <d v="2024-10-02T04:00:00"/>
    <d v="2025-01-10T05:00:00"/>
    <x v="97"/>
    <d v="2025-01-09T17:09:51"/>
    <s v="January - "/>
    <d v="2024-03-14T04:00:00"/>
    <d v="2024-04-09T04:00:00"/>
    <d v="2024-04-09T04:00:00"/>
    <d v="2024-08-15T04:00:00"/>
    <n v="26"/>
    <n v="128"/>
    <n v="154"/>
    <n v="351.51207175925811"/>
    <n v="197.51207175925811"/>
    <n v="0"/>
    <n v="0"/>
    <n v="0"/>
    <n v="0"/>
    <n v="0"/>
    <n v="0"/>
    <n v="0"/>
    <n v="0"/>
    <n v="0"/>
    <n v="351.51207175925811"/>
    <n v="197.51207175925811"/>
    <n v="99.041666666671517"/>
    <n v="0"/>
  </r>
  <r>
    <s v="Cases &amp; Composites"/>
    <s v="CAS-208078-K6V0Q3"/>
    <s v="Ferdin Mustafa"/>
    <s v="Complete"/>
    <s v="Resolved"/>
    <s v="2-Routine"/>
    <n v="10"/>
    <s v="24AC032"/>
    <s v="Repair-EA"/>
    <s v="OTC"/>
    <s v="GP7000"/>
    <s v="GP7000"/>
    <m/>
    <d v="2024-02-28T14:36:48"/>
    <d v="2024-06-26T04:00:00"/>
    <d v="2025-04-03T04:00:00"/>
    <x v="178"/>
    <d v="2025-03-19T17:04:02"/>
    <s v="Mar2025 Salesforce Case #01933543"/>
    <d v="2024-12-17T05:00:00"/>
    <d v="2024-12-17T05:00:00"/>
    <d v="2024-12-17T05:00:00"/>
    <d v="2025-01-28T05:00:00"/>
    <n v="0"/>
    <n v="42"/>
    <n v="42"/>
    <n v="383.55777777777257"/>
    <n v="341.55777777777257"/>
    <n v="0"/>
    <n v="0"/>
    <n v="0"/>
    <n v="0"/>
    <n v="147"/>
    <n v="57"/>
    <n v="0"/>
    <n v="0"/>
    <n v="204"/>
    <n v="179.55777777777257"/>
    <n v="137.55777777777257"/>
    <n v="265"/>
    <n v="0"/>
  </r>
  <r>
    <s v="Cases &amp; Composites"/>
    <n v="104723"/>
    <s v="Pedro Iturrino"/>
    <s v="Complete"/>
    <s v="Closed"/>
    <s v="2-Routine"/>
    <n v="10"/>
    <s v="22FC236B"/>
    <s v="Repair-EA"/>
    <s v="Discretionary"/>
    <s v="PW2000"/>
    <s v="AMO"/>
    <m/>
    <d v="2024-03-15T04:00:00"/>
    <d v="2024-06-21T04:00:00"/>
    <d v="2024-10-31T04:00:00"/>
    <x v="179"/>
    <d v="2024-10-22T19:05:17"/>
    <m/>
    <m/>
    <m/>
    <m/>
    <m/>
    <s v=""/>
    <s v=""/>
    <n v="0"/>
    <n v="221"/>
    <n v="221"/>
    <n v="0"/>
    <n v="0"/>
    <n v="0"/>
    <n v="0"/>
    <n v="4"/>
    <n v="0"/>
    <n v="0"/>
    <n v="0"/>
    <n v="4"/>
    <n v="217"/>
    <n v="217"/>
    <n v="123"/>
    <n v="0"/>
  </r>
  <r>
    <s v="Cases &amp; Composites"/>
    <n v="105567"/>
    <s v="Ferdin Mustafa"/>
    <s v="Complete"/>
    <s v="Closed"/>
    <s v="2-Routine"/>
    <n v="10"/>
    <s v="24FC169"/>
    <s v="Repair-EA"/>
    <s v="EM"/>
    <s v="PW2000"/>
    <s v="F117"/>
    <s v="50%"/>
    <d v="2024-04-26T04:00:00"/>
    <d v="2024-08-08T04:00:00"/>
    <d v="2025-02-05T05:00:00"/>
    <x v="180"/>
    <d v="2024-10-04T17:18:59"/>
    <s v="October - See related case MSG-240611-B8DEE3"/>
    <m/>
    <m/>
    <m/>
    <m/>
    <s v=""/>
    <s v=""/>
    <n v="0"/>
    <n v="161"/>
    <n v="161"/>
    <n v="15"/>
    <n v="0"/>
    <n v="0"/>
    <n v="0"/>
    <n v="0"/>
    <n v="0"/>
    <n v="0"/>
    <n v="0"/>
    <n v="15"/>
    <n v="146"/>
    <n v="146"/>
    <n v="57"/>
    <n v="0"/>
  </r>
  <r>
    <s v="Cases &amp; Composites"/>
    <s v="CAS-214859-P2Q3L5"/>
    <s v="Jia Chen"/>
    <s v="Complete"/>
    <s v="Resolved"/>
    <s v="2-Routine"/>
    <n v="10"/>
    <s v="22KC646A"/>
    <s v="Repair-EA"/>
    <s v="OTC"/>
    <s v="PW4000"/>
    <s v="AMO"/>
    <m/>
    <d v="2024-05-13T16:04:08"/>
    <d v="2024-07-18T04:00:00"/>
    <d v="2025-01-24T05:00:00"/>
    <x v="181"/>
    <d v="2025-01-15T21:09:02"/>
    <s v="Jan"/>
    <d v="2024-06-07T04:00:00"/>
    <d v="2024-06-11T04:00:00"/>
    <d v="2024-06-11T04:00:00"/>
    <d v="2024-12-05T05:00:00"/>
    <n v="4"/>
    <n v="177.04166666667152"/>
    <n v="181.04166666667152"/>
    <n v="246.53879629629955"/>
    <n v="65.497129629628034"/>
    <n v="0"/>
    <n v="0"/>
    <n v="0"/>
    <n v="0"/>
    <n v="0"/>
    <n v="0"/>
    <n v="0"/>
    <n v="0"/>
    <n v="0"/>
    <n v="246.53879629629955"/>
    <n v="65.497129629628034"/>
    <n v="181.04166666667152"/>
    <n v="0"/>
  </r>
  <r>
    <s v="Cases &amp; Composites"/>
    <s v="CAS-217603-G1Y4X1"/>
    <s v="Tyler Abusbah"/>
    <s v="Complete"/>
    <s v="Resolved"/>
    <s v="2-Routine"/>
    <n v="10"/>
    <s v="24CC330B"/>
    <s v="Repair-EA"/>
    <s v="OTC"/>
    <s v="PW1000G"/>
    <s v="AMO"/>
    <s v="50%"/>
    <d v="2024-06-10T19:41:04"/>
    <d v="2024-11-21T05:00:00"/>
    <d v="2025-02-12T05:00:00"/>
    <x v="99"/>
    <d v="2025-01-28T17:05:09"/>
    <s v="TIC Inner Feb"/>
    <d v="2024-08-22T04:00:00"/>
    <d v="2024-10-31T04:00:00"/>
    <d v="2024-10-31T04:00:00"/>
    <d v="2025-01-08T05:00:00"/>
    <n v="70"/>
    <n v="69.041666666671517"/>
    <n v="139.04166666667152"/>
    <n v="231.38814814815123"/>
    <n v="92.346481481479714"/>
    <n v="44.695421666663606"/>
    <n v="0"/>
    <n v="0"/>
    <n v="0"/>
    <n v="19.919439432873332"/>
    <n v="13.973793738427048"/>
    <n v="0"/>
    <n v="0"/>
    <n v="78.588654837963986"/>
    <n v="152.79949331018724"/>
    <n v="13.757826643515727"/>
    <n v="68"/>
    <n v="0"/>
  </r>
  <r>
    <s v="Cases &amp; Composites"/>
    <s v="CAS-221073-C0K3L3"/>
    <s v="Ferdin Mustafa"/>
    <s v="Complete"/>
    <s v="Resolved"/>
    <s v="2-Routine"/>
    <n v="10"/>
    <s v="25KC027"/>
    <s v="Repair-EA"/>
    <s v="OTC"/>
    <s v="PW4000"/>
    <s v="OCE"/>
    <s v="75%"/>
    <d v="2024-07-15T05:44:01"/>
    <d v="2025-04-17T04:00:00"/>
    <d v="2025-07-23T04:00:00"/>
    <x v="52"/>
    <d v="2025-07-15T06:59:27"/>
    <s v="Jul2025"/>
    <d v="2024-09-04T04:00:00"/>
    <d v="2025-01-08T05:00:00"/>
    <d v="2025-05-01T04:00:00"/>
    <d v="2025-05-15T04:00:00"/>
    <n v="126.04166666667152"/>
    <n v="14"/>
    <n v="140.04166666667152"/>
    <n v="363.92776620369841"/>
    <n v="223.88609953702689"/>
    <n v="0"/>
    <n v="13"/>
    <n v="0"/>
    <n v="38"/>
    <n v="0"/>
    <n v="84"/>
    <n v="22"/>
    <n v="0"/>
    <n v="157"/>
    <n v="206.92776620369841"/>
    <n v="66.886099537026894"/>
    <n v="88"/>
    <n v="0"/>
  </r>
  <r>
    <s v="Cases &amp; Composites"/>
    <s v="MSG-230901-695F67"/>
    <s v="Alexander Page"/>
    <s v="Complete"/>
    <s v="Complete"/>
    <s v="2-Routine"/>
    <n v="10"/>
    <s v="19CC090C"/>
    <s v="Repair-EA"/>
    <s v="MR"/>
    <s v="PW1000G"/>
    <s v="24K"/>
    <m/>
    <d v="2023-09-01T04:00:00"/>
    <d v="2023-11-24T05:00:00"/>
    <d v="2024-11-27T05:00:00"/>
    <x v="182"/>
    <d v="2024-11-26T18:01:00"/>
    <s v="Update 19CC090 - PWA 255 ABRADABLE COATING REPLACEMENT to new PN based on EC 22CA136H. Nov"/>
    <d v="2024-09-16T04:00:00"/>
    <d v="2024-09-27T04:00:00"/>
    <d v="2024-09-27T04:00:00"/>
    <d v="2024-10-11T04:00:00"/>
    <n v="11"/>
    <n v="14"/>
    <n v="25"/>
    <n v="441.04166666667152"/>
    <n v="416.04166666667152"/>
    <n v="0"/>
    <n v="0"/>
    <n v="0"/>
    <n v="0"/>
    <n v="0"/>
    <n v="0"/>
    <n v="0"/>
    <n v="0"/>
    <n v="0"/>
    <n v="441.04166666667152"/>
    <n v="416.04166666667152"/>
    <n v="357"/>
    <n v="0"/>
  </r>
  <r>
    <s v="Cases &amp; Composites"/>
    <s v="CAS-225145-Q1R4L0"/>
    <s v="Nathan Winger"/>
    <s v="Complete"/>
    <s v="Resolved"/>
    <s v="2-Routine"/>
    <n v="10"/>
    <s v="24VC110A"/>
    <s v="Repair-EA"/>
    <s v="OTC"/>
    <s v="V2500"/>
    <s v="AMO"/>
    <s v="50%"/>
    <d v="2024-08-22T16:37:38"/>
    <d v="2025-04-25T04:00:00"/>
    <d v="2025-07-14T04:00:00"/>
    <x v="124"/>
    <d v="2025-07-09T14:54:16"/>
    <s v="Jul2025"/>
    <d v="2025-01-23T05:00:00"/>
    <d v="2025-01-29T05:00:00"/>
    <d v="2025-01-29T05:00:00"/>
    <d v="2025-05-29T04:00:00"/>
    <n v="6"/>
    <n v="119.95833333332848"/>
    <n v="125.95833333332848"/>
    <n v="319.47386574073607"/>
    <n v="193.51553240740759"/>
    <n v="0"/>
    <n v="0"/>
    <n v="0"/>
    <n v="0"/>
    <n v="0"/>
    <n v="0"/>
    <n v="2"/>
    <n v="0"/>
    <n v="2"/>
    <n v="317.47386574073607"/>
    <n v="191.51553240740759"/>
    <n v="74"/>
    <n v="0"/>
  </r>
  <r>
    <s v="Cases &amp; Composites"/>
    <s v="MSG-241008-561166"/>
    <s v="Ferdin Mustafa"/>
    <s v="Complete"/>
    <s v="Complete"/>
    <s v="2-Routine"/>
    <n v="10"/>
    <s v="24AC072A"/>
    <s v="Repair-EA"/>
    <s v="OTC"/>
    <s v="GP7000"/>
    <s v="GP7000"/>
    <s v="75%"/>
    <d v="2024-10-08T04:00:00"/>
    <d v="2024-10-31T04:00:00"/>
    <d v="2024-10-31T04:00:00"/>
    <x v="183"/>
    <d v="2024-10-23T14:58:38"/>
    <s v="  1. For SFC-02023004,  work order number is mentioned instead of the fan case serial number. The correct serial number for this case is F550350.   2. For SFC-02002702, wrong fan case serial number is mentioned. The correct serial number for this cas"/>
    <m/>
    <m/>
    <m/>
    <m/>
    <s v=""/>
    <s v=""/>
    <n v="0"/>
    <n v="15"/>
    <n v="15"/>
    <n v="0"/>
    <n v="0"/>
    <n v="0"/>
    <n v="0"/>
    <n v="0"/>
    <n v="0"/>
    <n v="0"/>
    <n v="0"/>
    <n v="0"/>
    <n v="15"/>
    <n v="15"/>
    <n v="-8"/>
    <n v="1"/>
  </r>
  <r>
    <s v="Cases &amp; Composites"/>
    <s v="CAS-232095-D6M8L4"/>
    <s v="Brian K Holland"/>
    <s v="Complete"/>
    <s v="Resolved"/>
    <s v="2-Routine"/>
    <n v="10"/>
    <s v="24AC091"/>
    <s v="Repair-EA"/>
    <s v="OTC"/>
    <s v="GP7000"/>
    <s v="GP7000"/>
    <s v="75%"/>
    <d v="2024-10-25T14:10:21"/>
    <d v="2024-11-18T05:00:00"/>
    <d v="2024-11-18T05:00:00"/>
    <x v="184"/>
    <d v="2024-12-03T12:38:33"/>
    <m/>
    <d v="2024-11-05T05:00:00"/>
    <d v="2024-11-08T05:00:00"/>
    <d v="2024-11-08T05:00:00"/>
    <d v="2024-11-13T05:00:00"/>
    <n v="3"/>
    <n v="5"/>
    <n v="8"/>
    <n v="37.617812500000582"/>
    <n v="29.617812500000582"/>
    <n v="0"/>
    <n v="0"/>
    <n v="0"/>
    <n v="0"/>
    <n v="0"/>
    <n v="1"/>
    <n v="0"/>
    <n v="0"/>
    <n v="1"/>
    <n v="36.617812500000582"/>
    <n v="28.617812500000582"/>
    <n v="14"/>
    <n v="0"/>
  </r>
  <r>
    <s v="Cases &amp; Composites"/>
    <s v="CAS-214062-X7R9S3"/>
    <s v="Ferdin Mustafa"/>
    <s v="Complete"/>
    <s v="Resolved"/>
    <s v="2-Routine"/>
    <n v="10"/>
    <s v="24KC689"/>
    <s v="Repair-EA"/>
    <s v="OTC"/>
    <s v="PW4000"/>
    <s v="F117"/>
    <m/>
    <d v="2024-05-03T17:17:55"/>
    <d v="2025-02-17T05:00:00"/>
    <d v="2024-11-27T05:00:00"/>
    <x v="185"/>
    <d v="2024-11-25T18:07:53"/>
    <s v="Tanker OEM to MRO"/>
    <d v="2024-11-13T05:00:00"/>
    <d v="2024-11-13T05:00:00"/>
    <d v="2024-11-13T05:00:00"/>
    <d v="2024-11-18T05:00:00"/>
    <n v="0"/>
    <n v="5"/>
    <n v="5"/>
    <n v="202.48755787037226"/>
    <n v="197.48755787037226"/>
    <n v="0"/>
    <n v="0"/>
    <n v="0"/>
    <n v="0"/>
    <n v="0"/>
    <n v="0"/>
    <n v="0"/>
    <n v="0"/>
    <n v="0"/>
    <n v="202.48755787037226"/>
    <n v="197.48755787037226"/>
    <n v="-87"/>
    <n v="1"/>
  </r>
  <r>
    <s v="Cases &amp; Composites"/>
    <s v="CAS-230100-D7Q5V1"/>
    <s v="Jia Chen"/>
    <s v="Complete"/>
    <s v="Resolved"/>
    <s v="2-Routine"/>
    <n v="10"/>
    <s v="24AC100"/>
    <s v="Repair-EA"/>
    <s v="OTC"/>
    <s v="GP7000"/>
    <s v="GP7000"/>
    <s v="75%"/>
    <d v="2024-10-08T12:14:43"/>
    <d v="2025-01-23T05:00:00"/>
    <d v="2025-01-23T05:00:00"/>
    <x v="186"/>
    <d v="2024-12-10T20:06:45"/>
    <s v="DR # 02063412"/>
    <d v="2024-11-14T05:00:00"/>
    <d v="2024-11-14T05:00:00"/>
    <d v="2024-11-14T05:00:00"/>
    <d v="2024-11-22T05:00:00"/>
    <n v="0"/>
    <n v="8"/>
    <n v="8"/>
    <n v="62.69811342592584"/>
    <n v="54.69811342592584"/>
    <n v="4"/>
    <n v="0"/>
    <n v="0"/>
    <n v="0"/>
    <n v="0"/>
    <n v="0"/>
    <n v="0"/>
    <n v="0"/>
    <n v="4"/>
    <n v="58.69811342592584"/>
    <n v="50.69811342592584"/>
    <n v="-44"/>
    <n v="1"/>
  </r>
  <r>
    <s v="Cases &amp; Composites"/>
    <s v="CAS-233538-Q2F7H5"/>
    <s v="Brian K Holland"/>
    <s v="Complete"/>
    <s v="Resolved"/>
    <s v="2-Routine"/>
    <n v="10"/>
    <s v="24CCT93A"/>
    <s v="Repair-EA"/>
    <s v="OTC"/>
    <s v="PW1000G"/>
    <s v="24K"/>
    <s v="50%"/>
    <d v="2024-11-08T20:16:24"/>
    <d v="2024-11-13T05:00:00"/>
    <d v="2024-11-14T05:00:00"/>
    <x v="187"/>
    <d v="2024-11-14T15:25:32"/>
    <m/>
    <d v="2024-11-09T05:00:00"/>
    <d v="2024-11-13T05:00:00"/>
    <d v="2024-11-13T05:00:00"/>
    <d v="2024-11-13T05:00:00"/>
    <n v="4"/>
    <n v="0"/>
    <n v="4"/>
    <n v="5.3636111111118225"/>
    <n v="1.3636111111118225"/>
    <n v="0"/>
    <n v="0"/>
    <n v="0"/>
    <n v="0"/>
    <n v="0"/>
    <n v="0"/>
    <n v="0"/>
    <n v="0"/>
    <n v="0"/>
    <n v="5.3636111111118225"/>
    <n v="1.3636111111118225"/>
    <n v="1"/>
    <n v="0"/>
  </r>
  <r>
    <s v="Cases &amp; Composites"/>
    <s v="CAS-234347-M1T6S6"/>
    <s v="Brian K Holland"/>
    <s v="Complete"/>
    <s v="Resolved"/>
    <s v="2-Routine"/>
    <n v="10"/>
    <s v="24CCW70"/>
    <s v="Repair-EA"/>
    <s v="OTC"/>
    <s v="PW1000G"/>
    <s v="24K"/>
    <m/>
    <d v="2024-11-15T20:04:30"/>
    <d v="2024-12-19T05:00:00"/>
    <d v="2024-12-20T05:00:00"/>
    <x v="175"/>
    <d v="2024-12-20T19:36:29"/>
    <m/>
    <d v="2024-12-13T05:00:00"/>
    <d v="2024-12-17T05:00:00"/>
    <d v="2024-12-17T05:00:00"/>
    <d v="2024-12-19T05:00:00"/>
    <n v="4"/>
    <n v="2"/>
    <n v="6"/>
    <n v="34.371875000004366"/>
    <n v="28.371875000004366"/>
    <n v="0"/>
    <n v="0"/>
    <n v="0"/>
    <n v="0"/>
    <n v="0"/>
    <n v="0"/>
    <n v="0"/>
    <n v="0"/>
    <n v="0"/>
    <n v="34.371875000004366"/>
    <n v="28.371875000004366"/>
    <n v="1"/>
    <n v="0"/>
  </r>
  <r>
    <s v="Cases &amp; Composites"/>
    <s v="CAS-236435-V2S7R2"/>
    <s v="Ferdin Mustafa"/>
    <s v="Complete"/>
    <s v="Resolved"/>
    <s v="2-Routine"/>
    <n v="10"/>
    <s v="24KC753"/>
    <s v="Repair-EA"/>
    <s v="OTC"/>
    <s v="PW4000"/>
    <s v="AMO"/>
    <s v="75%"/>
    <d v="2024-12-06T14:39:33"/>
    <d v="2024-12-20T05:00:00"/>
    <d v="2024-12-20T05:00:00"/>
    <x v="188"/>
    <d v="2024-12-17T19:06:43"/>
    <m/>
    <d v="2024-12-11T05:00:00"/>
    <d v="2024-12-12T05:00:00"/>
    <d v="2024-12-12T05:00:00"/>
    <d v="2024-12-12T05:00:00"/>
    <n v="1"/>
    <n v="0"/>
    <n v="1"/>
    <n v="10.597534722226555"/>
    <n v="9.5975347222265555"/>
    <n v="0"/>
    <n v="0"/>
    <n v="0"/>
    <n v="0"/>
    <n v="0"/>
    <n v="0"/>
    <n v="0"/>
    <n v="0"/>
    <n v="0"/>
    <n v="10.597534722226555"/>
    <n v="9.5975347222265555"/>
    <n v="-3"/>
    <n v="1"/>
  </r>
  <r>
    <s v="Cases &amp; Composites"/>
    <s v="MSG-241213-E28CBD"/>
    <s v="Jonathan Roobol"/>
    <s v="Complete"/>
    <s v="Complete"/>
    <s v="2-Routine"/>
    <n v="10"/>
    <s v="24AC091A"/>
    <s v="Repair-EA"/>
    <s v="OTC"/>
    <s v="GP7000"/>
    <s v="GP7000"/>
    <m/>
    <d v="2024-12-13T05:00:00"/>
    <d v="2024-12-24T05:00:00"/>
    <d v="2024-12-24T05:00:00"/>
    <x v="189"/>
    <d v="2024-12-16T19:57:46"/>
    <s v="CONE ASSY, REAR"/>
    <m/>
    <m/>
    <m/>
    <m/>
    <s v=""/>
    <s v=""/>
    <n v="0"/>
    <n v="0"/>
    <n v="0"/>
    <n v="0"/>
    <n v="0"/>
    <n v="0"/>
    <n v="0"/>
    <n v="0"/>
    <n v="0"/>
    <n v="0"/>
    <n v="0"/>
    <n v="0"/>
    <n v="0"/>
    <n v="0"/>
    <n v="-11"/>
    <n v="1"/>
  </r>
  <r>
    <s v="Cases &amp; Composites"/>
    <s v="MSG-241217-9135A1"/>
    <s v="Francisco Astiasaran"/>
    <s v="Complete"/>
    <s v="Complete"/>
    <s v="2-Routine"/>
    <n v="10"/>
    <s v="21CCE12B"/>
    <s v="Repair-EA"/>
    <s v="EM"/>
    <s v="PW1000G"/>
    <s v="30K"/>
    <m/>
    <d v="2024-12-17T05:00:00"/>
    <d v="2025-02-11T05:00:00"/>
    <d v="2025-02-25T05:00:00"/>
    <x v="190"/>
    <d v="2025-02-14T15:17:58"/>
    <m/>
    <d v="2025-01-14T05:00:00"/>
    <d v="2025-02-03T05:00:00"/>
    <d v="2025-02-03T05:00:00"/>
    <d v="2025-02-03T05:00:00"/>
    <n v="20"/>
    <n v="0"/>
    <n v="20"/>
    <n v="58"/>
    <n v="38"/>
    <n v="0"/>
    <n v="0"/>
    <n v="0"/>
    <n v="0"/>
    <n v="0"/>
    <n v="0"/>
    <n v="0"/>
    <n v="0"/>
    <n v="0"/>
    <n v="58"/>
    <n v="38"/>
    <n v="2"/>
    <n v="0"/>
  </r>
  <r>
    <s v="Cases &amp; Composites"/>
    <s v="CAS-239705-S1J4Y4"/>
    <s v="Ferdin Mustafa"/>
    <s v="Complete"/>
    <s v="Resolved"/>
    <s v="2-Routine"/>
    <n v="10"/>
    <s v="24AC100A"/>
    <s v="Repair-EA"/>
    <s v="OTC"/>
    <s v="GP7000"/>
    <s v="GP7000"/>
    <s v="50%"/>
    <d v="2025-01-13T14:57:15"/>
    <d v="2025-04-03T04:00:00"/>
    <d v="2025-05-21T04:00:00"/>
    <x v="191"/>
    <d v="2025-05-08T21:56:48"/>
    <s v="May2025 DR# 02063412"/>
    <d v="2025-01-30T05:00:00"/>
    <d v="2025-01-30T05:00:00"/>
    <d v="2025-01-30T05:00:00"/>
    <d v="2025-02-25T05:00:00"/>
    <n v="0"/>
    <n v="26"/>
    <n v="26"/>
    <n v="114.54357638888905"/>
    <n v="88.543576388889051"/>
    <n v="4"/>
    <n v="0"/>
    <n v="0"/>
    <n v="0"/>
    <n v="0"/>
    <n v="0"/>
    <n v="0"/>
    <n v="0"/>
    <n v="4"/>
    <n v="110.54357638888905"/>
    <n v="84.543576388889051"/>
    <n v="35"/>
    <n v="0"/>
  </r>
  <r>
    <s v="Cases &amp; Composites"/>
    <s v="MSG-250115-184132"/>
    <s v="Jia Chen"/>
    <s v="Complete"/>
    <s v="Complete"/>
    <s v="2-Routine"/>
    <n v="10"/>
    <s v="22CCD52D"/>
    <s v="Repair-EA"/>
    <s v="MR"/>
    <s v="PW1000G"/>
    <s v="30K"/>
    <m/>
    <d v="2025-01-15T05:00:00"/>
    <d v="2025-03-21T04:00:00"/>
    <d v="2025-03-21T04:00:00"/>
    <x v="192"/>
    <d v="2025-02-28T14:52:38"/>
    <s v="TIC Inner"/>
    <d v="2025-02-14T05:00:00"/>
    <d v="2025-02-14T05:00:00"/>
    <d v="2025-02-14T05:00:00"/>
    <d v="2025-02-18T05:00:00"/>
    <n v="0"/>
    <n v="4"/>
    <n v="4"/>
    <n v="43"/>
    <n v="39"/>
    <n v="0"/>
    <n v="0"/>
    <n v="0"/>
    <n v="0"/>
    <n v="0"/>
    <n v="0"/>
    <n v="0"/>
    <n v="0"/>
    <n v="0"/>
    <n v="43"/>
    <n v="39"/>
    <n v="-21.958333333328483"/>
    <n v="1"/>
  </r>
  <r>
    <s v="Cases &amp; Composites"/>
    <n v="110741"/>
    <s v="Ferdin Mustafa"/>
    <s v="Complete"/>
    <s v="Closed"/>
    <s v="2-Routine"/>
    <n v="10"/>
    <s v="25FC020"/>
    <s v="Repair-EA"/>
    <s v="OTC"/>
    <s v="PW2000"/>
    <s v="F117"/>
    <s v="75%"/>
    <d v="2025-01-22T05:00:00"/>
    <d v="2025-03-14T04:00:00"/>
    <d v="2025-03-14T04:00:00"/>
    <x v="50"/>
    <d v="2025-03-21T19:13:20"/>
    <m/>
    <d v="2025-01-28T05:00:00"/>
    <d v="2025-01-28T05:00:00"/>
    <d v="2025-01-28T05:00:00"/>
    <d v="2025-03-13T04:00:00"/>
    <n v="0"/>
    <n v="43.958333333328483"/>
    <n v="43.958333333328483"/>
    <n v="56.958333333328483"/>
    <n v="13"/>
    <n v="0"/>
    <n v="0"/>
    <n v="0"/>
    <n v="0"/>
    <n v="0"/>
    <n v="0"/>
    <n v="0"/>
    <n v="0"/>
    <n v="0"/>
    <n v="56.958333333328483"/>
    <n v="13"/>
    <n v="6"/>
    <n v="0"/>
  </r>
  <r>
    <s v="Cases &amp; Composites"/>
    <s v="CAS-240565-Q7Q1D4"/>
    <s v="Francisco Astiasaran"/>
    <s v="Complete"/>
    <s v="Resolved"/>
    <s v="2-Routine"/>
    <n v="10"/>
    <s v="25CC348"/>
    <s v="Repair-EA"/>
    <s v="OTC"/>
    <s v="PW1000G"/>
    <s v="30K"/>
    <s v="50%"/>
    <d v="2025-01-21T08:47:14"/>
    <d v="2025-03-07T05:00:00"/>
    <d v="2025-03-10T04:00:00"/>
    <x v="193"/>
    <d v="2025-03-05T13:48:59"/>
    <m/>
    <d v="2025-02-18T05:00:00"/>
    <d v="2025-02-19T05:00:00"/>
    <d v="2025-02-19T05:00:00"/>
    <d v="2025-02-26T05:00:00"/>
    <n v="1"/>
    <n v="7"/>
    <n v="8"/>
    <n v="41.842199074075324"/>
    <n v="33.842199074075324"/>
    <n v="0"/>
    <n v="0"/>
    <n v="0"/>
    <n v="0"/>
    <n v="0"/>
    <n v="0"/>
    <n v="0"/>
    <n v="0"/>
    <n v="0"/>
    <n v="41.842199074075324"/>
    <n v="33.842199074075324"/>
    <n v="-3"/>
    <n v="1"/>
  </r>
  <r>
    <s v="Cases &amp; Composites"/>
    <s v="CAS-229421-X1M1Q9"/>
    <s v="Ferdin Mustafa"/>
    <s v="Complete"/>
    <s v="Resolved"/>
    <s v="2-Routine"/>
    <n v="10"/>
    <s v="25AC028"/>
    <s v="Repair-EA"/>
    <s v="OTC"/>
    <s v="GP7000"/>
    <s v="GP7000"/>
    <s v="50%"/>
    <d v="2024-10-01T21:01:39"/>
    <d v="2025-04-21T04:00:00"/>
    <d v="2025-05-21T04:00:00"/>
    <x v="194"/>
    <d v="2025-05-08T13:32:45"/>
    <s v="May2025 - DR # 02060962"/>
    <d v="2025-03-06T05:00:00"/>
    <d v="2025-03-06T05:00:00"/>
    <d v="2025-03-07T05:00:00"/>
    <d v="2025-04-30T04:00:00"/>
    <n v="0"/>
    <n v="53.958333333328483"/>
    <n v="53.958333333328483"/>
    <n v="217.29052083333227"/>
    <n v="163.33218750000378"/>
    <n v="86"/>
    <n v="0"/>
    <n v="0"/>
    <n v="0"/>
    <n v="0"/>
    <n v="0"/>
    <n v="0"/>
    <n v="0"/>
    <n v="86"/>
    <n v="131.29052083333227"/>
    <n v="77.332187500003783"/>
    <n v="16"/>
    <n v="0"/>
  </r>
  <r>
    <s v="Cases &amp; Composites"/>
    <s v="CAS-256057-Y8T8X8"/>
    <s v="Orlando Melendez Colon"/>
    <s v="Complete"/>
    <s v="Resolved"/>
    <s v="2-Routine"/>
    <n v="10"/>
    <s v="25VG121"/>
    <s v="Repair-EA"/>
    <s v="OTC"/>
    <s v="V2500"/>
    <s v="V2500"/>
    <s v="75%"/>
    <d v="2025-06-18T15:19:54"/>
    <d v="2025-07-22T04:00:00"/>
    <d v="2025-07-22T04:00:00"/>
    <x v="177"/>
    <d v="2025-07-17T21:45:34"/>
    <m/>
    <d v="2025-06-26T04:00:00"/>
    <d v="2025-06-30T04:00:00"/>
    <d v="2025-07-01T04:00:00"/>
    <d v="2025-07-02T04:00:00"/>
    <n v="4"/>
    <n v="1"/>
    <n v="5"/>
    <n v="28.527847222219862"/>
    <n v="23.527847222219862"/>
    <n v="0"/>
    <n v="0"/>
    <n v="0"/>
    <n v="0"/>
    <n v="0"/>
    <n v="0"/>
    <n v="0"/>
    <n v="0"/>
    <n v="0"/>
    <n v="28.527847222219862"/>
    <n v="23.527847222219862"/>
    <n v="-5"/>
    <n v="1"/>
  </r>
  <r>
    <s v="Cases &amp; Composites"/>
    <s v="CAS-191251-Q5T9H9"/>
    <s v="Tyler Abusbah"/>
    <s v="Complete"/>
    <s v="Resolved"/>
    <s v="2-Routine"/>
    <n v="11"/>
    <s v="24CC619"/>
    <s v="Repair-EA"/>
    <s v="OTC"/>
    <s v="PW1000G"/>
    <s v="30K"/>
    <m/>
    <d v="2023-09-06T12:38:08"/>
    <d v="2024-05-17T04:00:00"/>
    <d v="2025-04-07T04:00:00"/>
    <x v="178"/>
    <d v="2025-03-19T15:11:57"/>
    <s v="TIC Inner May"/>
    <d v="2024-03-06T05:00:00"/>
    <d v="2024-05-21T04:00:00"/>
    <d v="2024-05-21T04:00:00"/>
    <d v="2025-01-17T05:00:00"/>
    <n v="75.958333333328483"/>
    <n v="241.04166666667152"/>
    <n v="317"/>
    <n v="558.64018518518424"/>
    <n v="241.64018518518424"/>
    <n v="0"/>
    <n v="0"/>
    <n v="0"/>
    <n v="0"/>
    <n v="62.069859340277617"/>
    <n v="0"/>
    <n v="122.85197964120744"/>
    <n v="0"/>
    <n v="184.92183898148505"/>
    <n v="373.71834620369918"/>
    <n v="56.718346203699184"/>
    <n v="305"/>
    <n v="0"/>
  </r>
  <r>
    <s v="Cases &amp; Composites"/>
    <s v="CAS-199854-Z4X0D3"/>
    <s v="Tyler Abusbah"/>
    <s v="Complete"/>
    <s v="Resolved"/>
    <s v="2-Routine"/>
    <n v="11"/>
    <s v="24CC442"/>
    <s v="Repair-EA"/>
    <s v="OTC"/>
    <s v="PW1000G"/>
    <s v="30K"/>
    <m/>
    <d v="2023-11-30T15:48:54"/>
    <d v="2024-03-20T04:00:00"/>
    <d v="2024-06-28T04:00:00"/>
    <x v="195"/>
    <d v="2024-06-25T18:41:00"/>
    <s v="IDC - Cracks"/>
    <d v="2024-02-15T05:00:00"/>
    <d v="2024-04-03T04:00:00"/>
    <d v="2024-04-03T04:00:00"/>
    <d v="2024-06-20T04:00:00"/>
    <n v="47.958333333328483"/>
    <n v="78"/>
    <n v="125.95833333332848"/>
    <n v="207.50770833333081"/>
    <n v="81.549375000002328"/>
    <n v="0"/>
    <n v="0"/>
    <n v="0"/>
    <n v="0"/>
    <n v="34.997765856482147"/>
    <n v="12.941974780093005"/>
    <n v="24.048623576389218"/>
    <n v="0"/>
    <n v="71.98836421296437"/>
    <n v="135.51934412036644"/>
    <n v="9.5610107870379579"/>
    <n v="97"/>
    <n v="0"/>
  </r>
  <r>
    <s v="Cases &amp; Composites"/>
    <s v="CAS-202833-N9W3K4"/>
    <s v="Dean Catlett"/>
    <s v="Complete"/>
    <s v="Resolved"/>
    <s v="2-Routine"/>
    <n v="11"/>
    <s v="24CC104"/>
    <s v="Repair-EA"/>
    <s v="OTC"/>
    <s v="PW1000G"/>
    <s v="24K"/>
    <m/>
    <d v="2024-01-04T21:40:24"/>
    <d v="2024-02-16T05:00:00"/>
    <d v="2024-04-05T04:00:00"/>
    <x v="196"/>
    <d v="2024-03-15T20:37:11"/>
    <m/>
    <d v="2024-01-12T05:00:00"/>
    <d v="2024-03-04T05:00:00"/>
    <d v="2024-03-04T05:00:00"/>
    <d v="2024-03-08T05:00:00"/>
    <n v="52"/>
    <n v="4"/>
    <n v="56"/>
    <n v="67.263611111106002"/>
    <n v="11.263611111106002"/>
    <n v="0"/>
    <n v="0"/>
    <n v="0"/>
    <n v="0"/>
    <n v="0"/>
    <n v="45.839112175926857"/>
    <n v="0"/>
    <n v="0"/>
    <n v="45.839112175926857"/>
    <n v="21.424498935179145"/>
    <n v="-34.575501064820855"/>
    <n v="24.958333333328483"/>
    <n v="0"/>
  </r>
  <r>
    <s v="Cases &amp; Composites"/>
    <n v="96147"/>
    <s v="Ferdin Mustafa"/>
    <s v="Complete"/>
    <s v="Closed"/>
    <s v="2-Routine"/>
    <n v="11"/>
    <s v="24FC037"/>
    <s v="Repair-EA"/>
    <s v="EM"/>
    <s v="PW2000"/>
    <s v="F117"/>
    <m/>
    <d v="2023-01-12T05:00:00"/>
    <d v="2024-04-05T04:00:00"/>
    <d v="2025-05-09T04:00:00"/>
    <x v="12"/>
    <d v="2025-05-07T21:24:03"/>
    <s v="May2025 - Graphic correction "/>
    <d v="2024-10-24T04:00:00"/>
    <d v="2025-01-15T05:00:00"/>
    <d v="2025-01-15T05:00:00"/>
    <d v="2025-01-16T05:00:00"/>
    <n v="83.041666666671517"/>
    <n v="1"/>
    <n v="84.041666666671517"/>
    <n v="843.95833333332848"/>
    <n v="759.91666666665697"/>
    <n v="0"/>
    <n v="0"/>
    <n v="0"/>
    <n v="0"/>
    <n v="0"/>
    <n v="0"/>
    <n v="0"/>
    <n v="0"/>
    <n v="0"/>
    <n v="843.95833333332848"/>
    <n v="759.91666666665697"/>
    <n v="395"/>
    <n v="0"/>
  </r>
  <r>
    <s v="Cases &amp; Composites"/>
    <s v="CAS-216309-B3F9D2"/>
    <s v="Francisco Astiasaran"/>
    <s v="Complete"/>
    <s v="Resolved"/>
    <s v="2-Routine"/>
    <n v="11"/>
    <s v="24FC193"/>
    <s v="Repair-EA"/>
    <s v="OTC"/>
    <s v="PW2000"/>
    <s v="OCE"/>
    <s v="75%"/>
    <d v="2024-05-28T17:32:33"/>
    <d v="2024-11-14T05:00:00"/>
    <d v="2024-12-09T05:00:00"/>
    <x v="175"/>
    <d v="2024-12-20T19:36:55"/>
    <s v="DEC. "/>
    <d v="2024-06-07T04:00:00"/>
    <d v="2024-11-20T05:00:00"/>
    <d v="2024-11-20T05:00:00"/>
    <d v="2024-11-25T05:00:00"/>
    <n v="166.04166666667152"/>
    <n v="5"/>
    <n v="171.04166666667152"/>
    <n v="205.47739583333896"/>
    <n v="34.435729166667443"/>
    <n v="0"/>
    <n v="0"/>
    <n v="0"/>
    <n v="0"/>
    <n v="0"/>
    <n v="0"/>
    <n v="0"/>
    <n v="0"/>
    <n v="0"/>
    <n v="205.47739583333896"/>
    <n v="34.435729166667443"/>
    <n v="36"/>
    <n v="0"/>
  </r>
  <r>
    <s v="Cases &amp; Composites"/>
    <s v="CAS-201395-C8Q3M7"/>
    <s v="Bruce Zoyaar"/>
    <s v="Complete"/>
    <s v="Resolved"/>
    <s v="2-Routine"/>
    <n v="11"/>
    <s v="24KC419"/>
    <s v="Repair-EA"/>
    <s v="OTC"/>
    <s v="PW4000"/>
    <s v="OCE"/>
    <s v="50%"/>
    <d v="2023-12-16T00:49:55"/>
    <d v="2024-04-05T04:00:00"/>
    <d v="2024-10-30T04:00:00"/>
    <x v="113"/>
    <d v="2024-10-29T00:24:42"/>
    <s v="October"/>
    <d v="2024-09-26T04:00:00"/>
    <d v="2024-10-03T04:00:00"/>
    <d v="2024-10-03T04:00:00"/>
    <d v="2024-10-04T04:00:00"/>
    <n v="7"/>
    <n v="1"/>
    <n v="8"/>
    <n v="317.1320023148146"/>
    <n v="309.1320023148146"/>
    <n v="14"/>
    <n v="0"/>
    <n v="55"/>
    <n v="0"/>
    <n v="0"/>
    <n v="5"/>
    <n v="0"/>
    <n v="0"/>
    <n v="74"/>
    <n v="243.1320023148146"/>
    <n v="235.1320023148146"/>
    <n v="206"/>
    <n v="0"/>
  </r>
  <r>
    <s v="Cases &amp; Composites"/>
    <s v="CAS-218831-T6H0Q1"/>
    <s v="Ferdin Mustafa"/>
    <s v="Complete"/>
    <s v="Resolved"/>
    <s v="2-Routine"/>
    <n v="11"/>
    <s v="24KC600"/>
    <s v="Repair-EA"/>
    <s v="OTC"/>
    <s v="PW4000"/>
    <s v="AMO"/>
    <s v="50%"/>
    <d v="2024-06-21T18:58:41"/>
    <d v="2024-11-25T05:00:00"/>
    <d v="2024-11-27T05:00:00"/>
    <x v="197"/>
    <d v="2024-11-19T18:42:06"/>
    <s v="November"/>
    <d v="2024-09-25T04:00:00"/>
    <d v="2024-10-02T04:00:00"/>
    <d v="2024-10-02T04:00:00"/>
    <d v="2024-10-23T04:00:00"/>
    <n v="7"/>
    <n v="21"/>
    <n v="28"/>
    <n v="150.41758101851883"/>
    <n v="122.41758101851883"/>
    <n v="2"/>
    <n v="0"/>
    <n v="0"/>
    <n v="38"/>
    <n v="0"/>
    <n v="0"/>
    <n v="0"/>
    <n v="0"/>
    <n v="40"/>
    <n v="110.41758101851883"/>
    <n v="82.417581018518831"/>
    <n v="-6"/>
    <n v="1"/>
  </r>
  <r>
    <s v="Cases &amp; Composites"/>
    <s v="CAS-200793-Q7C8C7"/>
    <s v="Orlando Melendez Colon"/>
    <s v="Complete"/>
    <s v="Resolved"/>
    <s v="2-Routine"/>
    <n v="11"/>
    <s v="24VG252"/>
    <s v="Repair-EA"/>
    <s v="OTC"/>
    <s v="V2500"/>
    <s v="V2500"/>
    <s v="75%"/>
    <d v="2023-12-11T10:19:07"/>
    <d v="2024-10-28T04:00:00"/>
    <d v="2024-10-28T04:00:00"/>
    <x v="198"/>
    <d v="2024-10-29T03:02:47"/>
    <m/>
    <d v="2024-10-23T04:00:00"/>
    <d v="2024-10-23T04:00:00"/>
    <d v="2024-10-23T04:00:00"/>
    <d v="2024-10-23T04:00:00"/>
    <n v="0"/>
    <n v="0"/>
    <n v="0"/>
    <n v="318.7367245370333"/>
    <n v="318.7367245370333"/>
    <n v="0"/>
    <n v="0"/>
    <n v="0"/>
    <n v="0"/>
    <n v="0"/>
    <n v="0"/>
    <n v="0"/>
    <n v="0"/>
    <n v="0"/>
    <n v="318.7367245370333"/>
    <n v="318.7367245370333"/>
    <n v="-3"/>
    <n v="1"/>
  </r>
  <r>
    <s v="Cases &amp; Composites"/>
    <s v="CAS-213876-K2X7Z2"/>
    <s v="Tyler Abusbah"/>
    <s v="Complete"/>
    <s v="Resolved"/>
    <s v="2-Routine"/>
    <n v="11"/>
    <s v="24KC591"/>
    <s v="Repair-EA"/>
    <s v="OTC"/>
    <s v="PW4000"/>
    <s v="AMO"/>
    <s v="75%"/>
    <d v="2024-05-01T18:10:57"/>
    <d v="2024-12-13T05:00:00"/>
    <d v="2024-12-20T05:00:00"/>
    <x v="188"/>
    <d v="2024-12-18T08:26:54"/>
    <s v="Dec"/>
    <d v="2024-10-01T04:00:00"/>
    <d v="2024-10-01T04:00:00"/>
    <d v="2024-10-01T04:00:00"/>
    <d v="2024-11-20T05:00:00"/>
    <n v="0"/>
    <n v="50.041666666671517"/>
    <n v="50.041666666671517"/>
    <n v="229.45072916666686"/>
    <n v="179.40906249999534"/>
    <n v="80"/>
    <n v="0"/>
    <n v="0"/>
    <n v="0"/>
    <n v="0"/>
    <n v="0"/>
    <n v="0"/>
    <n v="0"/>
    <n v="80"/>
    <n v="149.45072916666686"/>
    <n v="99.409062499995343"/>
    <n v="4"/>
    <n v="0"/>
  </r>
  <r>
    <s v="Cases &amp; Composites"/>
    <s v="CAS-229086-X7S4H1"/>
    <s v="Jia Chen"/>
    <s v="Complete"/>
    <s v="Resolved"/>
    <s v="2-Routine"/>
    <n v="11"/>
    <s v="24KC697"/>
    <s v="Repair-EA"/>
    <s v="OTC"/>
    <s v="PW4000"/>
    <s v="AMO"/>
    <s v="75%"/>
    <d v="2024-09-27T19:22:59"/>
    <d v="2025-05-19T04:00:00"/>
    <d v="2025-03-13T04:00:00"/>
    <x v="192"/>
    <d v="2025-02-28T15:48:58"/>
    <m/>
    <d v="2025-01-31T05:00:00"/>
    <d v="2025-02-04T05:00:00"/>
    <d v="2025-02-04T05:00:00"/>
    <d v="2025-02-11T05:00:00"/>
    <n v="4"/>
    <n v="7"/>
    <n v="11"/>
    <n v="152.40070601851767"/>
    <n v="141.40070601851767"/>
    <n v="0"/>
    <n v="0"/>
    <n v="0"/>
    <n v="0"/>
    <n v="0"/>
    <n v="0"/>
    <n v="0"/>
    <n v="0"/>
    <n v="0"/>
    <n v="152.40070601851767"/>
    <n v="141.40070601851767"/>
    <n v="-80.958333333328483"/>
    <n v="1"/>
  </r>
  <r>
    <s v="Cases &amp; Composites"/>
    <s v="CAS-233088-F4M4F1"/>
    <s v="Francisco Astiasaran"/>
    <s v="Complete"/>
    <s v="Resolved"/>
    <s v="2-Routine"/>
    <n v="11"/>
    <s v="24AC098"/>
    <s v="Repair-EA"/>
    <s v="Discretionary"/>
    <s v="GP7000"/>
    <s v="GP7000"/>
    <s v="75%"/>
    <d v="2024-11-05T14:42:32"/>
    <d v="2024-12-09T05:00:00"/>
    <d v="2024-12-18T05:00:00"/>
    <x v="189"/>
    <d v="2024-12-16T20:26:41"/>
    <s v="DEC. "/>
    <m/>
    <m/>
    <m/>
    <m/>
    <s v=""/>
    <s v=""/>
    <n v="0"/>
    <n v="37.595462962963211"/>
    <n v="37.595462962963211"/>
    <n v="0"/>
    <n v="0"/>
    <n v="0"/>
    <n v="0"/>
    <n v="0"/>
    <n v="0"/>
    <n v="0"/>
    <n v="0"/>
    <n v="0"/>
    <n v="37.595462962963211"/>
    <n v="37.595462962963211"/>
    <n v="4"/>
    <n v="0"/>
  </r>
  <r>
    <s v="Cases &amp; Composites"/>
    <s v="CAS-230412-W9V3C5"/>
    <s v="Tyler Abusbah"/>
    <s v="Complete"/>
    <s v="Resolved"/>
    <s v="2-Routine"/>
    <n v="11"/>
    <s v="24KC706"/>
    <s v="Repair-EA"/>
    <s v="OTC"/>
    <s v="PW4000"/>
    <s v="AMO"/>
    <s v="50%"/>
    <d v="2024-10-10T15:19:44"/>
    <d v="2025-05-01T04:00:00"/>
    <d v="2025-04-25T04:00:00"/>
    <x v="51"/>
    <d v="2025-03-31T16:47:27"/>
    <m/>
    <d v="2025-03-07T05:00:00"/>
    <d v="2025-03-07T05:00:00"/>
    <d v="2025-03-10T04:00:00"/>
    <d v="2025-03-27T04:00:00"/>
    <n v="0"/>
    <n v="17"/>
    <n v="17"/>
    <n v="171.52796296295855"/>
    <n v="154.52796296295855"/>
    <n v="0"/>
    <n v="55"/>
    <n v="0"/>
    <n v="0"/>
    <n v="0"/>
    <n v="0"/>
    <n v="0"/>
    <n v="0"/>
    <n v="55"/>
    <n v="116.52796296295855"/>
    <n v="99.527962962958554"/>
    <n v="-31"/>
    <n v="1"/>
  </r>
  <r>
    <s v="Cases &amp; Composites"/>
    <s v="CAS-235278-V0R5V5"/>
    <s v="Francisco Astiasaran"/>
    <s v="Complete"/>
    <s v="Resolved"/>
    <s v="2-Routine"/>
    <n v="11"/>
    <s v="24CCX42"/>
    <s v="Repair-EA"/>
    <s v="OTC"/>
    <s v="PW1000G"/>
    <s v="24K"/>
    <s v="50%"/>
    <d v="2024-11-25T13:23:06"/>
    <d v="2024-12-20T05:00:00"/>
    <d v="2025-01-30T05:00:00"/>
    <x v="96"/>
    <d v="2025-01-31T13:38:01"/>
    <s v="JAN"/>
    <m/>
    <m/>
    <m/>
    <m/>
    <s v=""/>
    <s v=""/>
    <n v="0"/>
    <n v="65.650625000002037"/>
    <n v="65.650625000002037"/>
    <n v="0"/>
    <n v="0"/>
    <n v="0"/>
    <n v="0"/>
    <n v="0"/>
    <n v="0"/>
    <n v="0"/>
    <n v="0"/>
    <n v="0"/>
    <n v="65.650625000002037"/>
    <n v="65.650625000002037"/>
    <n v="41"/>
    <n v="0"/>
  </r>
  <r>
    <s v="Cases &amp; Composites"/>
    <s v="CAS-235936-B8H6P9"/>
    <s v="Brian K Holland"/>
    <s v="Complete"/>
    <s v="Resolved"/>
    <s v="2-Routine"/>
    <n v="11"/>
    <s v="24KC738"/>
    <s v="Repair-EA"/>
    <s v="OTC"/>
    <s v="PW4000"/>
    <s v="AMO"/>
    <s v="75%"/>
    <d v="2024-12-02T18:18:37"/>
    <d v="2024-12-20T05:00:00"/>
    <d v="2024-12-20T05:00:00"/>
    <x v="70"/>
    <d v="2024-12-19T20:38:22"/>
    <m/>
    <m/>
    <m/>
    <m/>
    <m/>
    <s v=""/>
    <s v=""/>
    <n v="0"/>
    <n v="16.445405092592409"/>
    <n v="16.445405092592409"/>
    <n v="0"/>
    <n v="0"/>
    <n v="0"/>
    <n v="0"/>
    <n v="0"/>
    <n v="0"/>
    <n v="0"/>
    <n v="0"/>
    <n v="0"/>
    <n v="16.445405092592409"/>
    <n v="16.445405092592409"/>
    <n v="-1"/>
    <n v="1"/>
  </r>
  <r>
    <s v="Cases &amp; Composites"/>
    <s v="CAS-231969-Z3Z2Y8"/>
    <s v="Ferdin Mustafa"/>
    <s v="Complete"/>
    <s v="Active"/>
    <s v="2-Routine"/>
    <n v="11"/>
    <s v="25AC013"/>
    <s v="Repair-EA"/>
    <s v="EM"/>
    <s v="GP7000"/>
    <s v="GP7000"/>
    <s v="75%"/>
    <d v="2024-10-24T16:53:26"/>
    <d v="2025-11-19T05:00:00"/>
    <d v="2025-11-19T05:00:00"/>
    <x v="199"/>
    <d v="2025-02-20T18:49:16"/>
    <m/>
    <d v="2025-01-10T05:00:00"/>
    <d v="2025-02-04T05:00:00"/>
    <d v="2025-02-04T05:00:00"/>
    <d v="2025-02-07T05:00:00"/>
    <n v="25"/>
    <n v="3"/>
    <n v="28"/>
    <n v="118.50456018518889"/>
    <n v="90.504560185188893"/>
    <n v="0"/>
    <n v="0"/>
    <n v="0"/>
    <n v="0"/>
    <n v="0"/>
    <n v="0"/>
    <n v="0"/>
    <n v="0"/>
    <n v="0"/>
    <n v="118.50456018518889"/>
    <n v="90.504560185188893"/>
    <n v="-272"/>
    <n v="1"/>
  </r>
  <r>
    <s v="Cases &amp; Composites"/>
    <s v="CAS-229255-K0H2P3"/>
    <s v="Ferdin Mustafa"/>
    <s v="Complete"/>
    <s v="Resolved"/>
    <s v="2-Routine"/>
    <n v="11"/>
    <s v="25AC011"/>
    <s v="Repair-EA"/>
    <s v="OTC"/>
    <s v="GP7000"/>
    <s v="GP7000"/>
    <s v="50%"/>
    <d v="2024-10-01T16:17:06"/>
    <d v="2025-05-14T04:00:00"/>
    <d v="2025-05-14T04:00:00"/>
    <x v="200"/>
    <d v="2025-05-09T15:59:34"/>
    <s v="May2025 DR # 02060934"/>
    <d v="2025-03-06T05:00:00"/>
    <d v="2025-03-06T05:00:00"/>
    <d v="2025-03-06T05:00:00"/>
    <d v="2025-03-20T04:00:00"/>
    <n v="0"/>
    <n v="13.958333333328483"/>
    <n v="13.958333333328483"/>
    <n v="219.48812499999622"/>
    <n v="205.52979166666773"/>
    <n v="17"/>
    <n v="13"/>
    <n v="0"/>
    <n v="0"/>
    <n v="0"/>
    <n v="0"/>
    <n v="0"/>
    <n v="0"/>
    <n v="30"/>
    <n v="189.48812499999622"/>
    <n v="175.52979166666773"/>
    <n v="-5"/>
    <n v="1"/>
  </r>
  <r>
    <s v="Cases &amp; Composites"/>
    <s v="CAS-240013-H0C9K8"/>
    <s v="Francisco Astiasaran"/>
    <s v="Complete"/>
    <s v="Resolved"/>
    <s v="2-Routine"/>
    <n v="11"/>
    <s v="25AC017"/>
    <s v="Repair-EA"/>
    <s v="OTC"/>
    <s v="GP7000"/>
    <s v="GP7000"/>
    <s v="50%"/>
    <d v="2025-01-15T18:25:40"/>
    <d v="2025-03-14T04:00:00"/>
    <d v="2025-05-02T04:00:00"/>
    <x v="201"/>
    <d v="2025-04-30T15:03:53"/>
    <s v="Apr2025. 01992377, 01982261, 02176385"/>
    <d v="2025-02-03T05:00:00"/>
    <d v="2025-02-26T05:00:00"/>
    <d v="2025-02-26T05:00:00"/>
    <d v="2025-04-02T04:00:00"/>
    <n v="23"/>
    <n v="34.958333333328483"/>
    <n v="57.958333333328483"/>
    <n v="104.3988425925927"/>
    <n v="46.440509259264218"/>
    <n v="0"/>
    <n v="0"/>
    <n v="0"/>
    <n v="0"/>
    <n v="0"/>
    <n v="0"/>
    <n v="0"/>
    <n v="0"/>
    <n v="0"/>
    <n v="104.3988425925927"/>
    <n v="46.440509259264218"/>
    <n v="47"/>
    <n v="0"/>
  </r>
  <r>
    <s v="Cases &amp; Composites"/>
    <s v="CAS-242010-P1N2F6"/>
    <s v="Francisco Astiasaran"/>
    <s v="Complete"/>
    <s v="Resolved"/>
    <s v="2-Routine"/>
    <n v="11"/>
    <s v="25KC101"/>
    <s v="Repair-EA"/>
    <s v="OTC"/>
    <s v="PW4000"/>
    <s v="OCE"/>
    <s v="75%"/>
    <d v="2025-02-04T22:44:56"/>
    <d v="2025-03-05T05:00:00"/>
    <d v="2025-02-28T05:00:00"/>
    <x v="202"/>
    <d v="2025-02-26T13:47:20"/>
    <m/>
    <d v="2025-02-07T05:00:00"/>
    <d v="2025-02-13T05:00:00"/>
    <d v="2025-02-13T05:00:00"/>
    <d v="2025-02-20T05:00:00"/>
    <n v="6"/>
    <n v="7"/>
    <n v="13"/>
    <n v="20.260462962964084"/>
    <n v="7.260462962964084"/>
    <n v="0"/>
    <n v="0"/>
    <n v="0"/>
    <n v="0"/>
    <n v="0"/>
    <n v="0"/>
    <n v="0"/>
    <n v="0"/>
    <n v="0"/>
    <n v="20.260462962964084"/>
    <n v="7.260462962964084"/>
    <n v="-8"/>
    <n v="1"/>
  </r>
  <r>
    <s v="Cases &amp; Composites"/>
    <s v="CAS-242245-K3M2L8"/>
    <s v="Bruce Zoyaar"/>
    <s v="Complete"/>
    <s v="Active"/>
    <s v="2-Routine"/>
    <n v="11"/>
    <s v="25KC198"/>
    <s v="Repair-EA"/>
    <s v="OTC"/>
    <s v="PW4000"/>
    <s v="AMO"/>
    <s v="75%"/>
    <d v="2025-02-06T09:33:51"/>
    <d v="2025-05-19T04:00:00"/>
    <d v="2025-05-19T04:00:00"/>
    <x v="203"/>
    <d v="2025-05-06T23:52:29"/>
    <s v="May2025 RSL"/>
    <d v="2025-04-07T04:00:00"/>
    <d v="2025-04-11T04:00:00"/>
    <d v="2025-04-21T04:00:00"/>
    <d v="2025-04-15T04:00:00"/>
    <n v="4"/>
    <n v="-6"/>
    <n v="-2"/>
    <n v="88.768159722218115"/>
    <n v="90.768159722218115"/>
    <n v="2"/>
    <n v="14"/>
    <n v="0"/>
    <n v="0"/>
    <n v="0"/>
    <n v="0"/>
    <n v="0"/>
    <n v="0"/>
    <n v="16"/>
    <n v="72.768159722218115"/>
    <n v="74.768159722218115"/>
    <n v="-13"/>
    <n v="1"/>
  </r>
  <r>
    <s v="Cases &amp; Composites"/>
    <s v="CAS-246118-G6Z6G7"/>
    <s v="Orlando Melendez Colon"/>
    <s v="Complete"/>
    <s v="Resolved"/>
    <s v="2-Routine"/>
    <n v="11"/>
    <s v="25VG074"/>
    <s v="Repair-EA"/>
    <s v="OTC"/>
    <s v="V2500"/>
    <s v="V2500"/>
    <s v="75%"/>
    <d v="2025-03-13T13:26:50"/>
    <d v="2025-06-19T04:00:00"/>
    <d v="2025-06-19T04:00:00"/>
    <x v="204"/>
    <d v="2025-06-09T20:18:43"/>
    <s v="Jun2025"/>
    <d v="2025-05-15T04:00:00"/>
    <d v="2025-05-15T04:00:00"/>
    <d v="2025-05-15T04:00:00"/>
    <d v="2025-05-22T04:00:00"/>
    <n v="0"/>
    <n v="7"/>
    <n v="7"/>
    <n v="84.606365740735782"/>
    <n v="77.606365740735782"/>
    <n v="0"/>
    <n v="0"/>
    <n v="0"/>
    <n v="0"/>
    <n v="0"/>
    <n v="0"/>
    <n v="0"/>
    <n v="0"/>
    <n v="0"/>
    <n v="84.606365740735782"/>
    <n v="77.606365740735782"/>
    <n v="-13"/>
    <n v="1"/>
  </r>
  <r>
    <s v="Cases &amp; Composites"/>
    <s v="CAS-250244-J3V2R7"/>
    <s v="Bruce Zoyaar"/>
    <s v="Complete"/>
    <s v="Active"/>
    <s v="2-Routine"/>
    <n v="11"/>
    <s v="25KC294"/>
    <s v="Repair-EA"/>
    <s v="OTC"/>
    <s v="PW4000"/>
    <s v="AMO"/>
    <s v="75%"/>
    <d v="2025-04-23T16:08:58"/>
    <d v="2025-06-20T04:00:00"/>
    <d v="2025-06-20T04:00:00"/>
    <x v="205"/>
    <d v="2025-06-20T19:20:52"/>
    <s v="JUN2025 - RSL"/>
    <d v="2025-05-06T04:00:00"/>
    <d v="2025-05-12T04:00:00"/>
    <d v="2025-05-12T04:00:00"/>
    <d v="2025-06-12T04:00:00"/>
    <n v="6"/>
    <n v="31"/>
    <n v="37"/>
    <n v="57.493773148147739"/>
    <n v="20.493773148147739"/>
    <n v="0"/>
    <n v="0"/>
    <n v="0"/>
    <n v="0"/>
    <n v="0"/>
    <n v="0"/>
    <n v="0"/>
    <n v="0"/>
    <n v="0"/>
    <n v="57.493773148147739"/>
    <n v="20.493773148147739"/>
    <n v="0"/>
    <n v="1"/>
  </r>
  <r>
    <s v="Cases &amp; Composites"/>
    <s v="CAS-250266-T1P7L0"/>
    <s v="Francisco Astiasaran"/>
    <s v="Complete"/>
    <s v="Resolved"/>
    <s v="2-Routine"/>
    <n v="11"/>
    <s v="25CCA52"/>
    <s v="Repair-EA"/>
    <s v="OTC"/>
    <s v="PW1000G"/>
    <s v="30K CIPT"/>
    <s v="75%"/>
    <d v="2025-04-23T20:01:41"/>
    <d v="2025-05-28T04:00:00"/>
    <d v="2025-05-28T04:00:00"/>
    <x v="206"/>
    <d v="2025-05-19T18:58:06"/>
    <s v="May2025 "/>
    <d v="2025-05-13T04:00:00"/>
    <d v="2025-05-13T04:00:00"/>
    <m/>
    <d v="2025-05-13T04:00:00"/>
    <n v="0"/>
    <s v=""/>
    <n v="0"/>
    <n v="25.332164351850224"/>
    <n v="25.332164351850224"/>
    <n v="0"/>
    <n v="0"/>
    <n v="0"/>
    <n v="0"/>
    <n v="0"/>
    <n v="0"/>
    <n v="0"/>
    <n v="0"/>
    <n v="0"/>
    <n v="25.332164351850224"/>
    <n v="25.332164351850224"/>
    <n v="-9"/>
    <n v="1"/>
  </r>
  <r>
    <s v="Cases &amp; Composites"/>
    <s v="CAS-251215-T4H8K6"/>
    <s v="Francisco Astiasaran"/>
    <s v="Complete"/>
    <s v="Resolved"/>
    <s v="2-Routine"/>
    <n v="11"/>
    <s v="25AC083"/>
    <s v="Repair-EA"/>
    <s v="OTC"/>
    <s v="GP7000"/>
    <s v="OCE"/>
    <s v="75%"/>
    <d v="2025-05-05T12:41:52"/>
    <d v="2025-06-03T04:00:00"/>
    <d v="2025-07-11T04:00:00"/>
    <x v="27"/>
    <d v="2025-07-10T18:12:09"/>
    <s v="Jun2025. DR# 02180914"/>
    <d v="2025-05-21T04:00:00"/>
    <d v="2025-05-21T04:00:00"/>
    <d v="2025-05-22T04:00:00"/>
    <d v="2025-05-29T04:00:00"/>
    <n v="0"/>
    <n v="7"/>
    <n v="7"/>
    <n v="64.637592592589499"/>
    <n v="57.637592592589499"/>
    <n v="0"/>
    <n v="0"/>
    <n v="0"/>
    <n v="0"/>
    <n v="0"/>
    <n v="0"/>
    <n v="0"/>
    <n v="19"/>
    <n v="19"/>
    <n v="45.637592592589499"/>
    <n v="38.637592592589499"/>
    <n v="36"/>
    <n v="0"/>
  </r>
  <r>
    <s v="Cases &amp; Composites"/>
    <s v="CAS-208767-V9H7F2"/>
    <s v="Alexander Page"/>
    <s v="Complete"/>
    <s v="Active"/>
    <s v="2-Routine"/>
    <n v="12"/>
    <s v="24CCF79"/>
    <s v="Repair-EA"/>
    <s v="OTC"/>
    <s v="PW1000G"/>
    <s v="24K"/>
    <s v="75%"/>
    <d v="2024-03-06T22:26:34"/>
    <d v="2025-03-26T04:00:00"/>
    <d v="2025-06-24T04:00:00"/>
    <x v="207"/>
    <d v="2025-06-19T14:12:54"/>
    <s v="JUN2025"/>
    <d v="2024-07-12T04:00:00"/>
    <d v="2024-08-19T04:00:00"/>
    <d v="2024-08-19T04:00:00"/>
    <d v="2025-06-04T04:00:00"/>
    <n v="38"/>
    <n v="289"/>
    <n v="327"/>
    <n v="467.2315509259206"/>
    <n v="140.2315509259206"/>
    <n v="0"/>
    <n v="15.01931269675697"/>
    <n v="0"/>
    <n v="58.707567025456228"/>
    <n v="0.9997204398168833"/>
    <n v="0"/>
    <n v="0"/>
    <n v="0"/>
    <n v="74.726600162030081"/>
    <n v="392.50495076389052"/>
    <n v="65.50495076389052"/>
    <n v="83"/>
    <n v="0"/>
  </r>
  <r>
    <s v="Cases &amp; Composites"/>
    <s v="CAS-208880-Z4N5T5"/>
    <s v="Alexander Page"/>
    <s v="Complete"/>
    <s v="Resolved"/>
    <s v="2-Routine"/>
    <n v="12"/>
    <s v="24CCD32"/>
    <s v="Repair-EA"/>
    <s v="OTC"/>
    <s v="PW1000G"/>
    <s v="30K"/>
    <m/>
    <d v="2024-03-07T21:02:32"/>
    <d v="2024-10-31T04:00:00"/>
    <d v="2024-10-31T04:00:00"/>
    <x v="208"/>
    <d v="2024-10-17T18:45:39"/>
    <s v="TIC Inner oct"/>
    <d v="2024-05-22T04:00:00"/>
    <d v="2024-08-27T04:00:00"/>
    <d v="2024-08-27T04:00:00"/>
    <d v="2024-09-12T04:00:00"/>
    <n v="97"/>
    <n v="16"/>
    <n v="113"/>
    <n v="223.28990740740846"/>
    <n v="110.28990740740846"/>
    <n v="0"/>
    <n v="0"/>
    <n v="0"/>
    <n v="1.9703209953731857"/>
    <n v="0"/>
    <n v="0"/>
    <n v="0"/>
    <n v="0"/>
    <n v="1.9703209953731857"/>
    <n v="221.31958641203528"/>
    <n v="108.31958641203528"/>
    <n v="-14"/>
    <n v="1"/>
  </r>
  <r>
    <s v="Cases &amp; Composites"/>
    <s v="CAS-215490-Q5R2L7"/>
    <s v="Alexander Page"/>
    <s v="Complete"/>
    <s v="Resolved"/>
    <s v="2-Routine"/>
    <n v="12"/>
    <s v="24CCK97"/>
    <s v="Repair-EA"/>
    <s v="OTC"/>
    <s v="PW1000G"/>
    <s v="24K"/>
    <s v="50%"/>
    <d v="2024-05-20T15:50:03"/>
    <d v="2024-12-04T05:00:00"/>
    <d v="2025-04-25T04:00:00"/>
    <x v="209"/>
    <d v="2025-04-09T15:47:43"/>
    <s v="apr2025"/>
    <d v="2024-10-16T04:00:00"/>
    <d v="2025-01-03T05:00:00"/>
    <d v="2025-02-05T05:00:00"/>
    <d v="2025-03-21T04:00:00"/>
    <n v="79.041666666671517"/>
    <n v="43.958333333328483"/>
    <n v="123"/>
    <n v="323.50690972222219"/>
    <n v="200.50690972222219"/>
    <n v="44.693074247683398"/>
    <n v="24.723195081016456"/>
    <n v="0"/>
    <n v="0"/>
    <n v="0"/>
    <n v="0"/>
    <n v="0"/>
    <n v="0"/>
    <n v="69.416269328699855"/>
    <n v="254.09064039352234"/>
    <n v="131.09064039352234"/>
    <n v="125.95833333332848"/>
    <n v="0"/>
  </r>
  <r>
    <s v="Cases &amp; Composites"/>
    <s v="CAS-210584-C0K0S4"/>
    <s v="Francisco Astiasaran"/>
    <s v="Complete"/>
    <s v="Resolved"/>
    <s v="2-Routine"/>
    <n v="12"/>
    <s v="24CCP26"/>
    <s v="Repair-EA"/>
    <s v="EM"/>
    <s v="PW1000G"/>
    <s v="30K"/>
    <m/>
    <d v="2024-03-26T17:34:56"/>
    <d v="2024-12-31T05:00:00"/>
    <d v="2024-12-16T05:00:00"/>
    <x v="210"/>
    <d v="2024-12-05T18:33:52"/>
    <s v="DEC. FanR-Blade"/>
    <d v="2024-09-13T04:00:00"/>
    <d v="2024-11-21T05:00:00"/>
    <d v="2024-11-21T05:00:00"/>
    <d v="2024-11-27T05:00:00"/>
    <n v="69.041666666671517"/>
    <n v="6"/>
    <n v="75.041666666671517"/>
    <n v="252.4757407407451"/>
    <n v="177.43407407407358"/>
    <n v="0"/>
    <n v="0"/>
    <n v="0"/>
    <n v="0"/>
    <n v="0"/>
    <n v="0"/>
    <n v="0"/>
    <n v="0"/>
    <n v="0"/>
    <n v="252.4757407407451"/>
    <n v="177.43407407407358"/>
    <n v="-27"/>
    <n v="1"/>
  </r>
  <r>
    <s v="Cases &amp; Composites"/>
    <s v="CAS-219850-H5Y7Z7"/>
    <s v="Tyler Abusbah"/>
    <s v="Complete"/>
    <s v="Resolved"/>
    <s v="2-Routine"/>
    <n v="12"/>
    <s v="24CCM93"/>
    <s v="Repair-EA"/>
    <s v="OTC"/>
    <s v="PW1000G"/>
    <s v="30K"/>
    <s v="75%"/>
    <d v="2024-07-02T14:50:56"/>
    <d v="2024-12-19T05:00:00"/>
    <d v="2025-01-08T05:00:00"/>
    <x v="70"/>
    <d v="2024-12-19T16:51:19"/>
    <s v="IDC Jan"/>
    <d v="2024-09-06T04:00:00"/>
    <d v="2024-10-23T04:00:00"/>
    <d v="2024-10-23T04:00:00"/>
    <d v="2024-12-16T05:00:00"/>
    <n v="47"/>
    <n v="54.041666666671517"/>
    <n v="101.04166666667152"/>
    <n v="169.58962962963415"/>
    <n v="68.547962962962629"/>
    <n v="14.999541331017099"/>
    <n v="0"/>
    <n v="0"/>
    <n v="0"/>
    <n v="0.86312700231792405"/>
    <n v="0"/>
    <n v="0"/>
    <n v="0"/>
    <n v="15.862668333335023"/>
    <n v="153.72696129629912"/>
    <n v="52.685294629627606"/>
    <n v="0"/>
    <n v="1"/>
  </r>
  <r>
    <s v="Cases &amp; Composites"/>
    <s v="CAS-225164-X2K8V7"/>
    <s v="Jia Chen"/>
    <s v="Complete"/>
    <s v="Resolved"/>
    <s v="2-Routine"/>
    <n v="12"/>
    <s v="24KC552"/>
    <s v="Repair-EA"/>
    <s v="OTC"/>
    <s v="PW4000"/>
    <s v="AMO"/>
    <s v="75%"/>
    <d v="2024-08-22T20:33:17"/>
    <d v="2025-02-10T05:00:00"/>
    <d v="2024-12-18T05:00:00"/>
    <x v="211"/>
    <d v="2024-11-21T19:53:20"/>
    <s v="INNER DIFFUSER CASE ASSY - FRONT INNER FLANGE  INNER DIAMETER &amp; FWD FACE COAT REPAIR - REPAIRS -03 &amp; -09 LIMIT EXTENSION"/>
    <d v="2024-10-28T04:00:00"/>
    <d v="2024-11-05T05:00:00"/>
    <d v="2024-11-05T05:00:00"/>
    <d v="2024-11-07T05:00:00"/>
    <n v="8.0416666666715173"/>
    <n v="2"/>
    <n v="10.041666666671517"/>
    <n v="90.351886574077071"/>
    <n v="80.310219907405553"/>
    <n v="0"/>
    <n v="0"/>
    <n v="0"/>
    <n v="0"/>
    <n v="0"/>
    <n v="0"/>
    <n v="0"/>
    <n v="0"/>
    <n v="0"/>
    <n v="90.351886574077071"/>
    <n v="80.310219907405553"/>
    <n v="-81"/>
    <n v="1"/>
  </r>
  <r>
    <s v="Cases &amp; Composites"/>
    <s v="CAS-231982-S3F8Y6"/>
    <s v="Brian K Holland"/>
    <s v="Complete"/>
    <s v="Resolved"/>
    <s v="2-Routine"/>
    <n v="12"/>
    <s v="24CCT93"/>
    <s v="Repair-EA"/>
    <s v="OTC"/>
    <s v="PW1000G"/>
    <s v="24K"/>
    <s v="25%"/>
    <d v="2024-10-24T20:09:18"/>
    <d v="2024-11-04T05:00:00"/>
    <d v="2024-11-04T05:00:00"/>
    <x v="212"/>
    <d v="2024-11-04T19:27:14"/>
    <m/>
    <d v="2024-10-25T04:00:00"/>
    <d v="2024-10-29T04:00:00"/>
    <d v="2024-10-29T04:00:00"/>
    <d v="2024-10-29T04:00:00"/>
    <n v="4"/>
    <n v="0"/>
    <n v="4"/>
    <n v="10.368541666670353"/>
    <n v="6.3685416666703532"/>
    <n v="0"/>
    <n v="0"/>
    <n v="0"/>
    <n v="0"/>
    <n v="0"/>
    <n v="0"/>
    <n v="0"/>
    <n v="0"/>
    <n v="0"/>
    <n v="10.368541666670353"/>
    <n v="6.3685416666703532"/>
    <n v="0"/>
    <n v="1"/>
  </r>
  <r>
    <s v="Cases &amp; Composites"/>
    <s v="CAS-232838-Y8C3M5"/>
    <s v="Brian K Holland"/>
    <s v="Complete"/>
    <s v="Resolved"/>
    <s v="2-Routine"/>
    <n v="12"/>
    <s v="24CCV57"/>
    <s v="Repair-EA"/>
    <s v="OTC"/>
    <s v="PW1000G"/>
    <s v="AMO"/>
    <m/>
    <d v="2024-11-01T19:42:50"/>
    <d v="2024-11-12T05:00:00"/>
    <d v="2024-11-12T05:00:00"/>
    <x v="149"/>
    <d v="2024-11-13T21:55:11"/>
    <m/>
    <m/>
    <m/>
    <m/>
    <m/>
    <s v=""/>
    <s v=""/>
    <n v="0"/>
    <n v="11.38692129629635"/>
    <n v="11.38692129629635"/>
    <n v="0"/>
    <n v="0"/>
    <n v="0"/>
    <n v="0"/>
    <n v="0"/>
    <n v="0"/>
    <n v="0"/>
    <n v="0"/>
    <n v="0"/>
    <n v="11.38692129629635"/>
    <n v="11.38692129629635"/>
    <n v="1"/>
    <n v="0"/>
  </r>
  <r>
    <s v="Cases &amp; Composites"/>
    <s v="CAS-234274-Q4Y5B4"/>
    <s v="Ferdin Mustafa"/>
    <s v="Complete"/>
    <s v="Resolved"/>
    <s v="2-Routine"/>
    <n v="12"/>
    <s v="25KC055"/>
    <s v="Repair-EA"/>
    <s v="OTC"/>
    <s v="PW4000"/>
    <s v="AMO"/>
    <s v="75%"/>
    <d v="2024-11-15T10:16:01"/>
    <d v="2025-03-13T04:00:00"/>
    <d v="2025-05-09T04:00:00"/>
    <x v="194"/>
    <d v="2025-05-08T05:17:10"/>
    <s v="May2025 - RSL "/>
    <d v="2025-01-17T05:00:00"/>
    <d v="2025-01-17T05:00:00"/>
    <d v="2025-01-17T05:00:00"/>
    <d v="2025-03-25T04:00:00"/>
    <n v="0"/>
    <n v="66.958333333328483"/>
    <n v="66.958333333328483"/>
    <n v="172.73887731481227"/>
    <n v="105.78054398148379"/>
    <n v="0"/>
    <n v="35"/>
    <n v="0"/>
    <n v="0"/>
    <n v="0"/>
    <n v="0"/>
    <n v="0"/>
    <n v="0"/>
    <n v="35"/>
    <n v="137.73887731481227"/>
    <n v="70.780543981483788"/>
    <n v="55"/>
    <n v="0"/>
  </r>
  <r>
    <s v="Cases &amp; Composites"/>
    <s v="CAS-229543-B3Y2C0"/>
    <s v="Tyler Abusbah"/>
    <s v="Complete"/>
    <s v="Resolved"/>
    <s v="2-Routine"/>
    <n v="12"/>
    <s v="25KC079"/>
    <s v="Repair-EA"/>
    <s v="OTC"/>
    <s v="PW4000"/>
    <s v="AMO"/>
    <s v="75%"/>
    <d v="2024-10-04T20:43:49"/>
    <d v="2025-05-19T04:00:00"/>
    <d v="2025-04-29T04:00:00"/>
    <x v="18"/>
    <d v="2025-04-11T20:36:31"/>
    <s v="Apr2025"/>
    <d v="2025-03-19T04:00:00"/>
    <d v="2025-03-19T04:00:00"/>
    <d v="2025-03-19T04:00:00"/>
    <d v="2025-03-21T04:00:00"/>
    <n v="0"/>
    <n v="2"/>
    <n v="2"/>
    <n v="188.30290509259066"/>
    <n v="186.30290509259066"/>
    <n v="31"/>
    <n v="0"/>
    <n v="0"/>
    <n v="0"/>
    <n v="0"/>
    <n v="0"/>
    <n v="0"/>
    <n v="0"/>
    <n v="31"/>
    <n v="157.30290509259066"/>
    <n v="155.30290509259066"/>
    <n v="-38"/>
    <n v="1"/>
  </r>
  <r>
    <s v="Cases &amp; Composites"/>
    <n v="110312"/>
    <s v="Ferdin Mustafa"/>
    <s v="Complete"/>
    <s v="Closed"/>
    <s v="2-Routine"/>
    <n v="12"/>
    <s v="25FC004"/>
    <s v="Repair-EA"/>
    <s v="OTC"/>
    <s v="PW2000"/>
    <s v="F117"/>
    <s v="75%"/>
    <d v="2024-12-27T05:00:00"/>
    <d v="2025-05-29T04:00:00"/>
    <d v="2025-05-02T04:00:00"/>
    <x v="213"/>
    <d v="2025-04-24T17:35:00"/>
    <s v="Apr2025 - "/>
    <d v="2025-01-08T05:00:00"/>
    <d v="2025-01-10T05:00:00"/>
    <d v="2025-03-20T04:00:00"/>
    <d v="2025-03-21T04:00:00"/>
    <n v="2"/>
    <n v="1"/>
    <n v="3"/>
    <n v="116.95833333332848"/>
    <n v="113.95833333332848"/>
    <n v="0"/>
    <n v="0"/>
    <n v="0"/>
    <n v="0"/>
    <n v="14"/>
    <n v="0"/>
    <n v="0"/>
    <n v="0"/>
    <n v="14"/>
    <n v="102.95833333332848"/>
    <n v="99.958333333328483"/>
    <n v="-36"/>
    <n v="1"/>
  </r>
  <r>
    <s v="Cases &amp; Composites"/>
    <n v="111669"/>
    <s v="Ferdin Mustafa"/>
    <s v="Complete"/>
    <s v="Closed"/>
    <s v="2-Routine"/>
    <n v="12"/>
    <s v="25FC071"/>
    <s v="Repair-EA"/>
    <s v="OTC"/>
    <s v="PW2000"/>
    <s v="F117"/>
    <s v="50%"/>
    <d v="2025-03-12T04:00:00"/>
    <d v="2025-05-14T04:00:00"/>
    <d v="2025-05-14T04:00:00"/>
    <x v="214"/>
    <d v="2025-04-10T15:37:47"/>
    <m/>
    <d v="2025-03-31T04:00:00"/>
    <d v="2025-03-31T04:00:00"/>
    <d v="2025-04-02T04:00:00"/>
    <d v="2025-04-03T04:00:00"/>
    <n v="0"/>
    <n v="1"/>
    <n v="1"/>
    <n v="29"/>
    <n v="28"/>
    <n v="0"/>
    <n v="0"/>
    <n v="0"/>
    <n v="0"/>
    <n v="0"/>
    <n v="0"/>
    <n v="0"/>
    <n v="0"/>
    <n v="0"/>
    <n v="29"/>
    <n v="28"/>
    <n v="-34"/>
    <n v="1"/>
  </r>
  <r>
    <s v="Cases &amp; Composites"/>
    <s v="CAS-103914-G2Q2W9"/>
    <s v="Ferdin Mustafa"/>
    <s v="Complete"/>
    <s v="Resolved"/>
    <s v="2-Routine"/>
    <n v="13"/>
    <s v="22KC446"/>
    <s v="Repair-EA"/>
    <s v="EM"/>
    <s v="PW4000"/>
    <s v="OCE"/>
    <m/>
    <d v="2021-03-10T16:50:13"/>
    <d v="2024-08-28T04:00:00"/>
    <d v="2024-10-23T04:00:00"/>
    <x v="215"/>
    <d v="2024-10-25T15:51:05"/>
    <s v="October - Follow up to CAS-100081-D8H6Y0: UAL rivet substitution request"/>
    <d v="2022-08-29T04:00:00"/>
    <d v="2023-03-06T05:00:00"/>
    <d v="2023-03-06T05:00:00"/>
    <d v="2023-03-08T05:00:00"/>
    <n v="189.04166666667152"/>
    <n v="2"/>
    <n v="191.04166666667152"/>
    <n v="1323.465127314812"/>
    <n v="1132.4234606481405"/>
    <n v="0"/>
    <n v="0"/>
    <n v="0"/>
    <n v="0"/>
    <n v="0"/>
    <n v="0"/>
    <n v="0"/>
    <n v="0"/>
    <n v="0"/>
    <n v="1323.465127314812"/>
    <n v="1132.4234606481405"/>
    <n v="57"/>
    <n v="0"/>
  </r>
  <r>
    <s v="Cases &amp; Composites"/>
    <s v="CAS-155697-S8N7W3"/>
    <s v="Ferdin Mustafa"/>
    <s v="Complete"/>
    <s v="Resolved"/>
    <s v="2-Routine"/>
    <n v="13"/>
    <s v="22KC509"/>
    <s v="Repair-EA"/>
    <s v="EM"/>
    <s v="PW4000"/>
    <s v="OCE"/>
    <m/>
    <d v="2022-08-11T20:38:39"/>
    <d v="2024-09-13T04:00:00"/>
    <d v="2025-02-19T05:00:00"/>
    <x v="178"/>
    <d v="2025-03-18T18:19:09"/>
    <s v="Mar2025 Priority 4 out of set of 4"/>
    <d v="2024-01-03T05:00:00"/>
    <d v="2024-01-04T05:00:00"/>
    <d v="2024-01-04T05:00:00"/>
    <d v="2025-01-23T05:00:00"/>
    <n v="1"/>
    <n v="385"/>
    <n v="386"/>
    <n v="949.30649305555562"/>
    <n v="563.30649305555562"/>
    <n v="0"/>
    <n v="0"/>
    <n v="0"/>
    <n v="0"/>
    <n v="0"/>
    <n v="0"/>
    <n v="0"/>
    <n v="0"/>
    <n v="0"/>
    <n v="949.30649305555562"/>
    <n v="563.30649305555562"/>
    <n v="186"/>
    <n v="0"/>
  </r>
  <r>
    <s v="Cases &amp; Composites"/>
    <s v="CAS-166155-P4T1W2"/>
    <s v="Robert Thompson"/>
    <s v="Complete"/>
    <s v="Resolved"/>
    <s v="2-Routine"/>
    <n v="13"/>
    <s v="20CC774C"/>
    <s v="Repair-EA"/>
    <s v="EM"/>
    <s v="PW1000G"/>
    <s v="24K"/>
    <m/>
    <d v="2022-12-16T01:55:14"/>
    <d v="2024-02-09T05:00:00"/>
    <d v="2024-10-04T04:00:00"/>
    <x v="216"/>
    <d v="2024-11-08T15:33:43"/>
    <s v="Sept"/>
    <m/>
    <m/>
    <m/>
    <m/>
    <s v=""/>
    <s v=""/>
    <n v="0"/>
    <n v="691.12831018518773"/>
    <n v="691.12831018518773"/>
    <n v="0"/>
    <n v="0"/>
    <n v="0"/>
    <n v="0"/>
    <n v="0"/>
    <n v="0"/>
    <n v="0"/>
    <n v="16.164567060186528"/>
    <n v="16.164567060186528"/>
    <n v="674.9637431250012"/>
    <n v="674.9637431250012"/>
    <n v="271"/>
    <n v="0"/>
  </r>
  <r>
    <s v="Cases &amp; Composites"/>
    <s v="CAS-121777-B4M7K7"/>
    <s v="Orlando Melendez Colon"/>
    <s v="Complete"/>
    <s v="Resolved"/>
    <s v="2-Routine"/>
    <n v="13"/>
    <s v="23VG104"/>
    <s v="Repair-EA"/>
    <s v="OTC"/>
    <s v="V2500"/>
    <s v="V2500"/>
    <m/>
    <d v="2021-09-10T09:32:54"/>
    <d v="2023-08-31T04:00:00"/>
    <d v="2025-03-12T04:00:00"/>
    <x v="193"/>
    <d v="2025-03-05T19:56:44"/>
    <s v="March2025"/>
    <d v="2023-08-30T04:00:00"/>
    <d v="2023-08-30T04:00:00"/>
    <d v="2023-08-30T04:00:00"/>
    <d v="2025-02-22T05:00:00"/>
    <n v="0"/>
    <n v="542.04166666667152"/>
    <n v="542.04166666667152"/>
    <n v="1270.8104861111133"/>
    <n v="728.76881944444176"/>
    <n v="0"/>
    <n v="0"/>
    <n v="0"/>
    <n v="0"/>
    <n v="0"/>
    <n v="0"/>
    <n v="0"/>
    <n v="0"/>
    <n v="0"/>
    <n v="1270.8104861111133"/>
    <n v="728.76881944444176"/>
    <n v="551.04166666667152"/>
    <n v="0"/>
  </r>
  <r>
    <s v="Cases &amp; Composites"/>
    <s v="CAS-193959-V8Z6F7"/>
    <s v="Jia Chen"/>
    <s v="Complete"/>
    <s v="Resolved"/>
    <s v="2-Routine"/>
    <n v="13"/>
    <s v="23CCT38"/>
    <s v="Repair-EA"/>
    <s v="OTC"/>
    <s v="PW1000G"/>
    <s v="30K"/>
    <m/>
    <d v="2023-10-03T14:24:40"/>
    <d v="2024-02-15T05:00:00"/>
    <d v="2024-02-15T05:00:00"/>
    <x v="61"/>
    <d v="2024-02-01T15:43:55"/>
    <s v="TIC Inner. FEB1"/>
    <d v="2023-10-19T04:00:00"/>
    <d v="2023-10-23T04:00:00"/>
    <d v="2023-10-23T04:00:00"/>
    <d v="2023-10-25T04:00:00"/>
    <n v="4"/>
    <n v="2"/>
    <n v="6"/>
    <n v="119.60787037037517"/>
    <n v="113.60787037037517"/>
    <n v="0"/>
    <n v="0"/>
    <n v="0"/>
    <n v="0"/>
    <n v="0"/>
    <n v="0"/>
    <n v="0"/>
    <n v="0"/>
    <n v="0"/>
    <n v="119.60787037037517"/>
    <n v="113.60787037037517"/>
    <n v="-15"/>
    <n v="1"/>
  </r>
  <r>
    <s v="Cases &amp; Composites"/>
    <s v="CAS-204568-T9M7P1"/>
    <s v="Orlando Melendez Colon"/>
    <s v="Complete"/>
    <s v="Resolved"/>
    <s v="2-Routine"/>
    <n v="13"/>
    <s v="24VG022"/>
    <s v="Repair-EA"/>
    <s v="OTC"/>
    <s v="V2500"/>
    <s v="V2500"/>
    <m/>
    <d v="2024-01-23T14:54:59"/>
    <d v="2025-02-28T05:00:00"/>
    <d v="2025-04-04T04:00:00"/>
    <x v="217"/>
    <d v="2025-04-03T14:23:49"/>
    <s v="April2025"/>
    <d v="2024-01-30T05:00:00"/>
    <d v="2024-05-15T04:00:00"/>
    <d v="2024-05-15T04:00:00"/>
    <d v="2025-02-25T05:00:00"/>
    <n v="105.95833333332848"/>
    <n v="286.04166666667152"/>
    <n v="392"/>
    <n v="433.54515046296001"/>
    <n v="41.545150462960009"/>
    <n v="0"/>
    <n v="0"/>
    <n v="0"/>
    <n v="0"/>
    <n v="0"/>
    <n v="0"/>
    <n v="0"/>
    <n v="0"/>
    <n v="0"/>
    <n v="433.54515046296001"/>
    <n v="41.545150462960009"/>
    <n v="31.958333333328483"/>
    <n v="0"/>
  </r>
  <r>
    <s v="Cases &amp; Composites"/>
    <s v="CAS-173971-N6C4H6"/>
    <s v="Ferdin Mustafa"/>
    <s v="Complete"/>
    <s v="Resolved"/>
    <s v="2-Routine"/>
    <n v="13"/>
    <s v="24KC524"/>
    <s v="Repair-EA"/>
    <s v="OTC"/>
    <s v="PW4000"/>
    <s v="OCE"/>
    <m/>
    <d v="2023-03-09T10:29:04"/>
    <d v="2023-11-24T05:00:00"/>
    <d v="2024-11-29T05:00:00"/>
    <x v="211"/>
    <d v="2024-11-22T15:37:28"/>
    <s v="November - "/>
    <d v="2024-06-07T04:00:00"/>
    <d v="2024-08-26T04:00:00"/>
    <d v="2024-08-26T04:00:00"/>
    <d v="2024-10-15T04:00:00"/>
    <n v="80"/>
    <n v="50"/>
    <n v="130"/>
    <n v="622.77148148148262"/>
    <n v="492.77148148148262"/>
    <n v="0"/>
    <n v="0"/>
    <n v="0"/>
    <n v="112"/>
    <n v="0"/>
    <n v="0"/>
    <n v="0"/>
    <n v="0"/>
    <n v="112"/>
    <n v="510.77148148148262"/>
    <n v="380.77148148148262"/>
    <n v="363"/>
    <n v="0"/>
  </r>
  <r>
    <s v="Cases &amp; Composites"/>
    <s v="CAS-213968-Y9S5R1"/>
    <s v="Jia Chen"/>
    <s v="Complete"/>
    <s v="Resolved"/>
    <s v="2-Routine"/>
    <n v="13"/>
    <s v="24FC172"/>
    <s v="Repair-EA"/>
    <s v="EM"/>
    <s v="PW2000"/>
    <s v="AMO"/>
    <s v="75%"/>
    <d v="2024-05-02T16:15:50"/>
    <d v="2024-11-07T05:00:00"/>
    <d v="2024-11-07T05:00:00"/>
    <x v="218"/>
    <d v="2024-11-01T20:12:53"/>
    <s v="Nov"/>
    <d v="2024-06-27T04:00:00"/>
    <d v="2024-07-31T04:00:00"/>
    <d v="2024-07-31T04:00:00"/>
    <d v="2024-07-31T04:00:00"/>
    <n v="34"/>
    <n v="0"/>
    <n v="34"/>
    <n v="182.48900462962774"/>
    <n v="148.48900462962774"/>
    <n v="0"/>
    <n v="0"/>
    <n v="0"/>
    <n v="0"/>
    <n v="0"/>
    <n v="0"/>
    <n v="0"/>
    <n v="0"/>
    <n v="0"/>
    <n v="182.48900462962774"/>
    <n v="148.48900462962774"/>
    <n v="-6.0416666666715173"/>
    <n v="1"/>
  </r>
  <r>
    <s v="Cases &amp; Composites"/>
    <s v="CAS-229082-R8V3K3"/>
    <s v="Francisco Astiasaran"/>
    <s v="Complete"/>
    <s v="Resolved"/>
    <s v="2-Routine"/>
    <n v="13"/>
    <s v="24KC602"/>
    <s v="Repair-EA"/>
    <s v="OTC"/>
    <s v="PW4000"/>
    <s v="AMO"/>
    <s v="75%"/>
    <d v="2024-09-27T18:13:36"/>
    <d v="2025-01-10T05:00:00"/>
    <d v="2024-12-11T05:00:00"/>
    <x v="219"/>
    <d v="2024-12-06T15:41:53"/>
    <s v="DEC"/>
    <d v="2024-10-07T04:00:00"/>
    <d v="2024-11-13T05:00:00"/>
    <d v="2024-11-13T05:00:00"/>
    <d v="2024-12-03T05:00:00"/>
    <n v="37.041666666671517"/>
    <n v="20"/>
    <n v="57.041666666671517"/>
    <n v="69.448888888888177"/>
    <n v="12.40722222221666"/>
    <n v="0"/>
    <n v="0"/>
    <n v="0"/>
    <n v="0"/>
    <n v="0"/>
    <n v="21"/>
    <n v="0"/>
    <n v="0"/>
    <n v="21"/>
    <n v="48.448888888888177"/>
    <n v="-8.5927777777833398"/>
    <n v="-35"/>
    <n v="1"/>
  </r>
  <r>
    <s v="Cases &amp; Composites"/>
    <s v="CAS-229507-Z8K4H9"/>
    <s v="Ferdin Mustafa"/>
    <s v="Complete"/>
    <s v="Resolved"/>
    <s v="2-Routine"/>
    <n v="13"/>
    <s v="24KC710"/>
    <s v="Repair-EA"/>
    <s v="OTC"/>
    <s v="PW4000"/>
    <s v="AMO"/>
    <s v="75%"/>
    <d v="2024-10-02T13:21:07"/>
    <d v="2025-04-15T04:00:00"/>
    <d v="2025-03-28T04:00:00"/>
    <x v="220"/>
    <d v="2025-03-24T17:32:18"/>
    <s v="Mar2025"/>
    <d v="2024-11-14T05:00:00"/>
    <d v="2025-01-31T05:00:00"/>
    <d v="2025-01-31T05:00:00"/>
    <d v="2025-02-25T05:00:00"/>
    <n v="78"/>
    <n v="25"/>
    <n v="103"/>
    <n v="172.61033564814716"/>
    <n v="69.610335648147156"/>
    <n v="0"/>
    <n v="0"/>
    <n v="0"/>
    <n v="17"/>
    <n v="0"/>
    <n v="0"/>
    <n v="0"/>
    <n v="0"/>
    <n v="17"/>
    <n v="155.61033564814716"/>
    <n v="52.610335648147156"/>
    <n v="-22"/>
    <n v="1"/>
  </r>
  <r>
    <s v="Cases &amp; Composites"/>
    <s v="CAS-234013-G6X7T7"/>
    <s v="Orlando Melendez Colon"/>
    <s v="Complete"/>
    <s v="Resolved"/>
    <s v="2-Routine"/>
    <n v="13"/>
    <s v="25VG006"/>
    <s v="Repair-EA"/>
    <s v="OTC"/>
    <s v="V2500"/>
    <m/>
    <s v="75%"/>
    <d v="2024-11-13T20:32:21"/>
    <d v="2025-02-14T05:00:00"/>
    <d v="2025-02-14T05:00:00"/>
    <x v="221"/>
    <d v="2025-01-21T19:58:18"/>
    <m/>
    <d v="2025-01-02T05:00:00"/>
    <d v="2025-01-13T05:00:00"/>
    <d v="2025-01-13T05:00:00"/>
    <d v="2025-01-14T05:00:00"/>
    <n v="11"/>
    <n v="1"/>
    <n v="12"/>
    <n v="68.352534722223936"/>
    <n v="56.352534722223936"/>
    <n v="0"/>
    <n v="0"/>
    <n v="0"/>
    <n v="0"/>
    <n v="0"/>
    <n v="0"/>
    <n v="2"/>
    <n v="0"/>
    <n v="2"/>
    <n v="66.352534722223936"/>
    <n v="54.352534722223936"/>
    <n v="-24"/>
    <n v="1"/>
  </r>
  <r>
    <s v="Cases &amp; Composites"/>
    <s v="CAS-235285-D6F5Y8"/>
    <s v="Francisco Astiasaran"/>
    <s v="Complete"/>
    <s v="Resolved"/>
    <s v="2-Routine"/>
    <n v="13"/>
    <s v="24CCX50"/>
    <s v="Repair-EA"/>
    <s v="OTC"/>
    <s v="PW1000G"/>
    <s v="24K"/>
    <m/>
    <d v="2024-11-25T14:06:39"/>
    <d v="2024-12-20T05:00:00"/>
    <d v="2025-01-31T05:00:00"/>
    <x v="222"/>
    <d v="2025-01-31T22:10:22"/>
    <m/>
    <d v="2024-12-05T05:00:00"/>
    <d v="2024-12-09T05:00:00"/>
    <d v="2024-12-09T05:00:00"/>
    <d v="2024-12-09T05:00:00"/>
    <n v="4"/>
    <n v="0"/>
    <n v="4"/>
    <n v="66.620381944449036"/>
    <n v="62.620381944449036"/>
    <n v="0"/>
    <n v="0"/>
    <n v="0"/>
    <n v="0"/>
    <n v="0.13096011574089061"/>
    <n v="0"/>
    <n v="0"/>
    <n v="0"/>
    <n v="0.13096011574089061"/>
    <n v="66.489421828708146"/>
    <n v="62.489421828708146"/>
    <n v="42"/>
    <n v="0"/>
  </r>
  <r>
    <s v="Cases &amp; Composites"/>
    <s v="CAS-236327-X6M1Y0"/>
    <s v="Francisco Astiasaran"/>
    <s v="Complete"/>
    <s v="Resolved"/>
    <s v="2-Routine"/>
    <n v="13"/>
    <s v="24KC749"/>
    <s v="Repair-EA"/>
    <s v="OTC"/>
    <s v="PW4000"/>
    <s v="AMO"/>
    <m/>
    <d v="2024-12-05T19:20:33"/>
    <d v="2024-12-20T05:00:00"/>
    <d v="2024-12-20T05:00:00"/>
    <x v="188"/>
    <d v="2024-12-17T14:42:40"/>
    <m/>
    <m/>
    <m/>
    <m/>
    <m/>
    <s v=""/>
    <s v=""/>
    <n v="0"/>
    <n v="11.402395833334594"/>
    <n v="11.402395833334594"/>
    <n v="0"/>
    <n v="0"/>
    <n v="0"/>
    <n v="0"/>
    <n v="0"/>
    <n v="0"/>
    <n v="0"/>
    <n v="0"/>
    <n v="0"/>
    <n v="11.402395833334594"/>
    <n v="11.402395833334594"/>
    <n v="-3"/>
    <n v="1"/>
  </r>
  <r>
    <s v="Cases &amp; Composites"/>
    <n v="110191"/>
    <s v="Francisco Astiasaran"/>
    <s v="Complete"/>
    <s v="Closed"/>
    <s v="2-Routine"/>
    <n v="13"/>
    <s v="24FC391"/>
    <s v="Repair-EA"/>
    <s v="OTC"/>
    <s v="PW2000"/>
    <s v="AMO"/>
    <s v="75%"/>
    <d v="2024-12-17T05:00:00"/>
    <d v="2024-12-20T05:00:00"/>
    <d v="2024-12-20T05:00:00"/>
    <x v="70"/>
    <d v="2024-12-19T18:21:25"/>
    <s v="AMO - Freezer issue"/>
    <m/>
    <m/>
    <m/>
    <m/>
    <s v=""/>
    <s v=""/>
    <n v="0"/>
    <n v="2"/>
    <n v="2"/>
    <n v="0"/>
    <n v="0"/>
    <n v="0"/>
    <n v="0"/>
    <n v="0"/>
    <n v="0"/>
    <n v="0"/>
    <n v="0"/>
    <n v="0"/>
    <n v="2"/>
    <n v="2"/>
    <n v="-1"/>
    <n v="1"/>
  </r>
  <r>
    <s v="Cases &amp; Composites"/>
    <s v="MSG-241219-2F3BD9"/>
    <s v="Francisco Astiasaran"/>
    <s v="Complete"/>
    <s v="Complete"/>
    <s v="2-Routine"/>
    <n v="13"/>
    <s v="24CCZ02"/>
    <s v="Repair-EA"/>
    <s v="OTC"/>
    <s v="PW1000G"/>
    <s v="24K"/>
    <s v="75%"/>
    <d v="2024-12-19T05:00:00"/>
    <d v="2025-02-05T05:00:00"/>
    <d v="2025-02-05T05:00:00"/>
    <x v="223"/>
    <d v="2025-02-04T13:37:23"/>
    <m/>
    <m/>
    <m/>
    <m/>
    <m/>
    <s v=""/>
    <s v=""/>
    <n v="0"/>
    <n v="47"/>
    <n v="47"/>
    <n v="0"/>
    <n v="0"/>
    <n v="0"/>
    <n v="0"/>
    <n v="0"/>
    <n v="0"/>
    <n v="0"/>
    <n v="0"/>
    <n v="0"/>
    <n v="47"/>
    <n v="47"/>
    <n v="-1"/>
    <n v="1"/>
  </r>
  <r>
    <s v="Cases &amp; Composites"/>
    <s v="CAS-231792-B2Y8V8"/>
    <s v="Alexander Page"/>
    <s v="Complete"/>
    <s v="Resolved"/>
    <s v="2-Routine"/>
    <n v="13"/>
    <s v="25KC035"/>
    <s v="Repair-EA"/>
    <s v="OTC"/>
    <s v="PW4000"/>
    <s v="AMO"/>
    <s v="75%"/>
    <d v="2024-10-23T13:43:33"/>
    <d v="2025-05-13T04:00:00"/>
    <d v="2025-04-30T04:00:00"/>
    <x v="214"/>
    <d v="2025-04-10T20:16:02"/>
    <s v="apr2025"/>
    <d v="2025-03-17T04:00:00"/>
    <d v="2025-03-17T04:00:00"/>
    <d v="2025-03-17T04:00:00"/>
    <d v="2025-03-20T04:00:00"/>
    <n v="0"/>
    <n v="3"/>
    <n v="3"/>
    <n v="168.59475694443972"/>
    <n v="165.59475694443972"/>
    <n v="29"/>
    <n v="0"/>
    <n v="0"/>
    <n v="0"/>
    <n v="0"/>
    <n v="0"/>
    <n v="0"/>
    <n v="0"/>
    <n v="29"/>
    <n v="139.59475694443972"/>
    <n v="136.59475694443972"/>
    <n v="-33"/>
    <n v="1"/>
  </r>
  <r>
    <s v="Cases &amp; Composites"/>
    <s v="CAS-247522-C9B6C1"/>
    <s v="Ferdin Mustafa"/>
    <s v="Complete"/>
    <s v="Resolved"/>
    <s v="2-Routine"/>
    <n v="13"/>
    <s v="25KC267"/>
    <s v="Repair-EA"/>
    <s v="OTC"/>
    <s v="PW4000"/>
    <s v="AMO"/>
    <s v="75%"/>
    <d v="2025-03-27T13:24:21"/>
    <d v="2025-06-20T04:00:00"/>
    <d v="2025-07-25T04:00:00"/>
    <x v="136"/>
    <d v="2025-07-21T20:32:04"/>
    <m/>
    <d v="2025-05-06T04:00:00"/>
    <d v="2025-05-12T04:00:00"/>
    <d v="2025-05-20T04:00:00"/>
    <d v="2025-06-23T04:00:00"/>
    <n v="6"/>
    <n v="34"/>
    <n v="40"/>
    <n v="112.60809027777577"/>
    <n v="72.608090277775773"/>
    <n v="0"/>
    <n v="9"/>
    <n v="0"/>
    <n v="0"/>
    <n v="0"/>
    <n v="0"/>
    <n v="0"/>
    <n v="0"/>
    <n v="9"/>
    <n v="103.60809027777577"/>
    <n v="63.608090277775773"/>
    <n v="28"/>
    <n v="0"/>
  </r>
  <r>
    <s v="Cases &amp; Composites"/>
    <s v="CAS-255144-Z6B5V7"/>
    <s v="Francisco Astiasaran"/>
    <s v="Complete"/>
    <s v="Resolved"/>
    <s v="2-Routine"/>
    <n v="13"/>
    <s v="25CCE61"/>
    <s v="Repair-EA"/>
    <s v="OTC"/>
    <s v="PW1000G"/>
    <s v="30K"/>
    <s v="50%"/>
    <d v="2025-06-10T14:55:10"/>
    <d v="2025-08-06T04:00:00"/>
    <d v="2025-08-06T04:00:00"/>
    <x v="224"/>
    <d v="2025-07-23T16:06:43"/>
    <s v="Jul2025"/>
    <d v="2025-06-25T04:00:00"/>
    <d v="2025-06-25T04:00:00"/>
    <m/>
    <d v="2025-07-19T04:00:00"/>
    <n v="0"/>
    <s v=""/>
    <n v="0"/>
    <n v="42.545023148144537"/>
    <n v="42.545023148144537"/>
    <n v="0"/>
    <n v="0"/>
    <n v="0"/>
    <n v="0"/>
    <n v="0"/>
    <n v="0"/>
    <n v="0"/>
    <n v="0"/>
    <n v="0"/>
    <n v="42.545023148144537"/>
    <n v="42.545023148144537"/>
    <n v="-14"/>
    <n v="1"/>
  </r>
  <r>
    <s v="Cases &amp; Composites"/>
    <s v="CAS-181187-B9Z8W4"/>
    <s v="Orlando Melendez Colon"/>
    <s v="Complete"/>
    <s v="Resolved"/>
    <s v="2-Routine"/>
    <n v="14"/>
    <s v="23VG186"/>
    <s v="Repair-EA"/>
    <s v="OTC"/>
    <s v="V2500"/>
    <s v="V2500"/>
    <m/>
    <d v="2023-05-25T12:06:55"/>
    <d v="2025-02-14T05:00:00"/>
    <d v="2025-04-09T04:00:00"/>
    <x v="225"/>
    <d v="2025-04-08T14:36:34"/>
    <s v="April2025"/>
    <d v="2023-09-20T04:00:00"/>
    <d v="2025-02-19T05:00:00"/>
    <d v="2025-02-19T05:00:00"/>
    <d v="2025-03-07T05:00:00"/>
    <n v="518.04166666667152"/>
    <n v="16"/>
    <n v="534.04166666667152"/>
    <n v="679.66186342592118"/>
    <n v="145.62019675924967"/>
    <n v="0"/>
    <n v="0"/>
    <n v="0"/>
    <n v="0"/>
    <n v="0"/>
    <n v="0"/>
    <n v="0"/>
    <n v="0"/>
    <n v="0"/>
    <n v="679.66186342592118"/>
    <n v="145.62019675924967"/>
    <n v="48.958333333328483"/>
    <n v="0"/>
  </r>
  <r>
    <s v="Cases &amp; Composites"/>
    <s v="CAS-198799-C6F6G6"/>
    <s v="Tyler Abusbah"/>
    <s v="Complete"/>
    <s v="Resolved"/>
    <s v="2-Routine"/>
    <n v="14"/>
    <s v="24CC039"/>
    <s v="Repair-EA"/>
    <s v="OTC"/>
    <s v="PW1000G"/>
    <s v="30K"/>
    <m/>
    <d v="2023-11-20T16:17:15"/>
    <d v="2024-03-21T04:00:00"/>
    <d v="2024-06-14T04:00:00"/>
    <x v="65"/>
    <d v="2024-06-14T15:32:59"/>
    <s v="IDC. June"/>
    <d v="2024-01-19T05:00:00"/>
    <d v="2024-01-22T05:00:00"/>
    <d v="2024-01-22T05:00:00"/>
    <d v="2024-05-31T04:00:00"/>
    <n v="3"/>
    <n v="129.95833333332848"/>
    <n v="132.95833333332848"/>
    <n v="206.4880208333343"/>
    <n v="73.529687500005821"/>
    <n v="0"/>
    <n v="0"/>
    <n v="0"/>
    <n v="0"/>
    <n v="0"/>
    <n v="0"/>
    <n v="0"/>
    <n v="0"/>
    <n v="0"/>
    <n v="206.4880208333343"/>
    <n v="73.529687500005821"/>
    <n v="85"/>
    <n v="0"/>
  </r>
  <r>
    <s v="Cases &amp; Composites"/>
    <s v="CAS-209927-K3H2M4"/>
    <s v="Francisco Astiasaran"/>
    <s v="Complete"/>
    <s v="Resolved"/>
    <s v="2-Routine"/>
    <n v="14"/>
    <s v="16CCE26C"/>
    <s v="Repair-EA"/>
    <s v="EM"/>
    <s v="PW1000G"/>
    <s v="30K"/>
    <m/>
    <d v="2024-03-19T21:02:45"/>
    <d v="2024-12-12T05:00:00"/>
    <d v="2024-12-12T05:00:00"/>
    <x v="188"/>
    <d v="2024-12-17T19:12:44"/>
    <s v="DEC. FanR-Blade"/>
    <m/>
    <m/>
    <m/>
    <m/>
    <s v=""/>
    <s v=""/>
    <n v="0"/>
    <n v="272.33142361111095"/>
    <n v="272.33142361111095"/>
    <n v="0"/>
    <n v="0"/>
    <n v="0"/>
    <n v="0"/>
    <n v="0"/>
    <n v="0"/>
    <n v="0"/>
    <n v="0"/>
    <n v="0"/>
    <n v="272.33142361111095"/>
    <n v="272.33142361111095"/>
    <n v="5"/>
    <n v="0"/>
  </r>
  <r>
    <s v="Cases &amp; Composites"/>
    <s v="CAS-214671-H6L7D1"/>
    <s v="Tyler Abusbah"/>
    <s v="Complete"/>
    <s v="Active"/>
    <s v="2-Routine"/>
    <n v="14"/>
    <s v="24KC633"/>
    <s v="Repair-EA"/>
    <s v="OTC"/>
    <s v="PW4000"/>
    <s v="AMO"/>
    <s v="75%"/>
    <d v="2024-05-10T12:59:09"/>
    <d v="2024-12-13T05:00:00"/>
    <d v="2024-12-20T05:00:00"/>
    <x v="188"/>
    <d v="2024-12-18T01:29:55"/>
    <s v="Dec"/>
    <d v="2024-10-21T04:00:00"/>
    <d v="2024-10-23T04:00:00"/>
    <d v="2024-10-23T04:00:00"/>
    <d v="2024-11-25T05:00:00"/>
    <n v="2"/>
    <n v="33.041666666671517"/>
    <n v="35.041666666671517"/>
    <n v="220.66725694444904"/>
    <n v="185.62559027777752"/>
    <n v="80"/>
    <n v="24"/>
    <n v="0"/>
    <n v="0"/>
    <n v="0"/>
    <n v="0"/>
    <n v="0"/>
    <n v="0"/>
    <n v="104"/>
    <n v="116.66725694444904"/>
    <n v="81.625590277777519"/>
    <n v="4"/>
    <n v="0"/>
  </r>
  <r>
    <s v="Cases &amp; Composites"/>
    <s v="CAS-225461-Y7H0V1"/>
    <s v="Francisco Astiasaran"/>
    <s v="Complete"/>
    <s v="Resolved"/>
    <s v="2-Routine"/>
    <n v="14"/>
    <s v="24KC528"/>
    <s v="Repair-EA"/>
    <s v="EM"/>
    <s v="PW4000"/>
    <s v="AMO"/>
    <s v="75%"/>
    <d v="2024-08-26T19:54:44"/>
    <d v="2024-10-31T04:00:00"/>
    <d v="2025-07-25T04:00:00"/>
    <x v="57"/>
    <d v="2025-07-16T13:28:09"/>
    <s v="Jul2025"/>
    <d v="2025-06-16T04:00:00"/>
    <d v="2025-06-24T04:00:00"/>
    <d v="2025-06-24T04:00:00"/>
    <d v="2025-06-24T04:00:00"/>
    <n v="8"/>
    <n v="0"/>
    <n v="8"/>
    <n v="323.33699074073957"/>
    <n v="315.33699074073957"/>
    <n v="0"/>
    <n v="0"/>
    <n v="0"/>
    <n v="0"/>
    <n v="0"/>
    <n v="0"/>
    <n v="0"/>
    <n v="0"/>
    <n v="0"/>
    <n v="323.33699074073957"/>
    <n v="315.33699074073957"/>
    <n v="258"/>
    <n v="0"/>
  </r>
  <r>
    <s v="Cases &amp; Composites"/>
    <n v="108038"/>
    <s v="Ferdin Mustafa"/>
    <s v="Complete"/>
    <s v="Closed"/>
    <s v="2-Routine"/>
    <n v="14"/>
    <s v="24FC303"/>
    <s v="Repair-EA"/>
    <s v="OTC"/>
    <s v="PW2000"/>
    <s v="F117"/>
    <s v="50%"/>
    <d v="2024-08-29T04:00:00"/>
    <d v="2024-10-23T04:00:00"/>
    <d v="2024-10-23T04:00:00"/>
    <x v="226"/>
    <d v="2024-10-16T17:58:56"/>
    <m/>
    <d v="2024-09-06T04:00:00"/>
    <d v="2024-10-01T04:00:00"/>
    <d v="2024-10-01T04:00:00"/>
    <d v="2024-10-01T04:00:00"/>
    <n v="25"/>
    <n v="0"/>
    <n v="25"/>
    <n v="42"/>
    <n v="17"/>
    <n v="0"/>
    <n v="0"/>
    <n v="0"/>
    <n v="0"/>
    <n v="0"/>
    <n v="0"/>
    <n v="0"/>
    <n v="0"/>
    <n v="0"/>
    <n v="42"/>
    <n v="17"/>
    <n v="-13"/>
    <n v="1"/>
  </r>
  <r>
    <s v="Cases &amp; Composites"/>
    <s v="CAS-218587-G9J9Y8"/>
    <s v="Tyler Abusbah"/>
    <s v="Complete"/>
    <s v="Resolved"/>
    <s v="2-Routine"/>
    <n v="14"/>
    <s v="24CCO85"/>
    <s v="Repair-EA"/>
    <s v="OTC"/>
    <s v="PW1000G"/>
    <s v="AMO"/>
    <s v="50%"/>
    <d v="2024-06-19T16:42:24"/>
    <d v="2025-04-07T04:00:00"/>
    <d v="2025-04-29T04:00:00"/>
    <x v="227"/>
    <d v="2025-04-15T18:41:03"/>
    <s v="TIC Inner Apr2025 Engine need date of 4/16 "/>
    <d v="2025-03-10T04:00:00"/>
    <d v="2025-03-11T04:00:00"/>
    <d v="2025-03-12T04:00:00"/>
    <d v="2025-03-12T04:00:00"/>
    <n v="1"/>
    <n v="0"/>
    <n v="1"/>
    <n v="299.47055555555562"/>
    <n v="298.47055555555562"/>
    <n v="44.622999293977045"/>
    <n v="0"/>
    <n v="0.22375590277806623"/>
    <n v="0"/>
    <n v="3.9666769560208195"/>
    <n v="0"/>
    <n v="0"/>
    <n v="0"/>
    <n v="48.813432152775931"/>
    <n v="250.65712340277969"/>
    <n v="249.65712340277969"/>
    <n v="8"/>
    <n v="0"/>
  </r>
  <r>
    <s v="Cases &amp; Composites"/>
    <s v="CAS-230000-L1X5J6"/>
    <s v="Pedro Iturrino"/>
    <s v="Complete"/>
    <s v="Resolved"/>
    <s v="2-Routine"/>
    <n v="14"/>
    <s v="24KC622"/>
    <s v="Repair-EA"/>
    <s v="OTC"/>
    <s v="PW4000"/>
    <s v="AMO"/>
    <m/>
    <d v="2024-10-07T17:01:15"/>
    <d v="2024-11-22T05:00:00"/>
    <d v="2024-12-18T05:00:00"/>
    <x v="189"/>
    <d v="2024-12-16T12:04:20"/>
    <s v="DEC"/>
    <d v="2024-10-15T04:00:00"/>
    <d v="2024-10-16T04:00:00"/>
    <d v="2024-10-16T04:00:00"/>
    <d v="2024-10-21T04:00:00"/>
    <n v="1"/>
    <n v="5"/>
    <n v="6"/>
    <n v="66.499131944445253"/>
    <n v="60.499131944445253"/>
    <n v="0"/>
    <n v="0"/>
    <n v="0"/>
    <n v="0"/>
    <n v="0"/>
    <n v="0"/>
    <n v="0"/>
    <n v="0"/>
    <n v="0"/>
    <n v="66.499131944445253"/>
    <n v="60.499131944445253"/>
    <n v="21"/>
    <n v="0"/>
  </r>
  <r>
    <s v="Cases &amp; Composites"/>
    <s v="CAS-230304-D5F2L6"/>
    <s v="Brian K Holland"/>
    <s v="Complete"/>
    <s v="Resolved"/>
    <s v="2-Routine"/>
    <n v="14"/>
    <s v="24CCS22"/>
    <s v="Repair-EA"/>
    <s v="OTC"/>
    <s v="PW1000G"/>
    <s v="30K CIPT"/>
    <s v="75%"/>
    <d v="2024-10-09T21:34:49"/>
    <d v="2024-11-22T05:00:00"/>
    <d v="2024-11-22T05:00:00"/>
    <x v="228"/>
    <d v="2024-11-26T19:04:29"/>
    <s v="FanR-Blade"/>
    <d v="2024-10-23T04:00:00"/>
    <d v="2024-11-19T05:00:00"/>
    <d v="2024-11-19T05:00:00"/>
    <d v="2024-11-20T05:00:00"/>
    <n v="27.041666666671517"/>
    <n v="1"/>
    <n v="28.041666666671517"/>
    <n v="47.309155092596484"/>
    <n v="19.267488425924967"/>
    <n v="0"/>
    <n v="0"/>
    <n v="0"/>
    <n v="0"/>
    <n v="0"/>
    <n v="0"/>
    <n v="0"/>
    <n v="0"/>
    <n v="0"/>
    <n v="47.309155092596484"/>
    <n v="19.267488425924967"/>
    <n v="4"/>
    <n v="0"/>
  </r>
  <r>
    <s v="Cases &amp; Composites"/>
    <s v="CAS-230144-J7V9B0"/>
    <s v="Brian K Holland"/>
    <s v="Complete"/>
    <s v="Resolved"/>
    <s v="2-Routine"/>
    <n v="14"/>
    <s v="24CCS45"/>
    <s v="Repair-EA"/>
    <s v="OTC"/>
    <s v="PW1000G"/>
    <s v="30K"/>
    <s v="75%"/>
    <d v="2024-10-11T20:06:09"/>
    <d v="2024-10-22T04:00:00"/>
    <d v="2024-11-26T05:00:00"/>
    <x v="197"/>
    <d v="2024-11-19T19:23:06"/>
    <s v="FanR-Blade"/>
    <d v="2024-10-15T04:00:00"/>
    <d v="2024-10-16T04:00:00"/>
    <d v="2024-10-16T04:00:00"/>
    <d v="2024-10-16T04:00:00"/>
    <n v="1"/>
    <n v="0"/>
    <n v="1"/>
    <n v="38.37072916667239"/>
    <n v="37.37072916667239"/>
    <n v="0"/>
    <n v="0"/>
    <n v="0"/>
    <n v="0"/>
    <n v="0"/>
    <n v="0.22683293981390307"/>
    <n v="0"/>
    <n v="0"/>
    <n v="0.22683293981390307"/>
    <n v="38.143896226858487"/>
    <n v="37.143896226858487"/>
    <n v="28.041666666671517"/>
    <n v="0"/>
  </r>
  <r>
    <s v="Cases &amp; Composites"/>
    <s v="CAS-229369-T0G1B2"/>
    <s v="Jia Chen"/>
    <s v="Complete"/>
    <s v="Resolved"/>
    <s v="2-Routine"/>
    <n v="14"/>
    <s v="24KC693"/>
    <s v="Repair-EA"/>
    <s v="OTC"/>
    <s v="PW4000"/>
    <s v="AMO"/>
    <s v="75%"/>
    <d v="2024-10-01T14:29:23"/>
    <d v="2025-02-19T05:00:00"/>
    <d v="2025-03-14T04:00:00"/>
    <x v="229"/>
    <d v="2025-03-14T17:37:21"/>
    <s v="Mar2025"/>
    <d v="2024-11-21T05:00:00"/>
    <d v="2024-11-26T05:00:00"/>
    <d v="2024-11-26T05:00:00"/>
    <d v="2024-12-09T05:00:00"/>
    <n v="5"/>
    <n v="13"/>
    <n v="18"/>
    <n v="161.56292824073898"/>
    <n v="143.56292824073898"/>
    <n v="6"/>
    <n v="0"/>
    <n v="0"/>
    <n v="0"/>
    <n v="0"/>
    <n v="0"/>
    <n v="0"/>
    <n v="0"/>
    <n v="6"/>
    <n v="155.56292824073898"/>
    <n v="137.56292824073898"/>
    <n v="20.958333333328483"/>
    <n v="0"/>
  </r>
  <r>
    <s v="Cases &amp; Composites"/>
    <s v="CAS-237195-X0G9Q3"/>
    <s v="Francisco Astiasaran"/>
    <s v="Complete"/>
    <s v="Resolved"/>
    <s v="2-Routine"/>
    <n v="14"/>
    <s v="24CCY96"/>
    <s v="Repair-EA"/>
    <s v="OTC"/>
    <s v="PW1000G"/>
    <s v="24K"/>
    <s v="75%"/>
    <d v="2024-12-13T15:19:01"/>
    <d v="2025-01-31T05:00:00"/>
    <d v="2025-01-31T05:00:00"/>
    <x v="222"/>
    <d v="2025-01-31T22:10:28"/>
    <m/>
    <m/>
    <m/>
    <m/>
    <m/>
    <s v=""/>
    <s v=""/>
    <n v="0"/>
    <n v="48.570127314815181"/>
    <n v="48.570127314815181"/>
    <n v="0"/>
    <n v="0"/>
    <n v="0"/>
    <n v="0"/>
    <n v="0"/>
    <n v="0"/>
    <n v="0"/>
    <n v="0"/>
    <n v="0"/>
    <n v="48.570127314815181"/>
    <n v="48.570127314815181"/>
    <n v="0"/>
    <n v="1"/>
  </r>
  <r>
    <s v="Cases &amp; Composites"/>
    <s v="CAS-236047-G8C6R0"/>
    <s v="Orlando Melendez Colon"/>
    <s v="Complete"/>
    <s v="Resolved"/>
    <s v="2-Routine"/>
    <n v="14"/>
    <s v="25VC078"/>
    <s v="Repair-EA"/>
    <s v="OTC"/>
    <s v="V2500"/>
    <s v="V2500"/>
    <s v="75%"/>
    <d v="2024-12-03T14:42:11"/>
    <d v="2025-05-23T04:00:00"/>
    <d v="2025-06-13T04:00:00"/>
    <x v="230"/>
    <d v="2025-06-09T20:20:38"/>
    <s v="Jun2025"/>
    <d v="2025-02-24T05:00:00"/>
    <d v="2025-02-24T05:00:00"/>
    <d v="2025-03-04T05:00:00"/>
    <d v="2025-03-13T04:00:00"/>
    <n v="0"/>
    <n v="8.9583333333284827"/>
    <n v="8.9583333333284827"/>
    <n v="186.55403935184586"/>
    <n v="177.59570601851738"/>
    <n v="0"/>
    <n v="0"/>
    <n v="0"/>
    <n v="0"/>
    <n v="0"/>
    <n v="0"/>
    <n v="0"/>
    <n v="0"/>
    <n v="0"/>
    <n v="186.55403935184586"/>
    <n v="177.59570601851738"/>
    <n v="16"/>
    <n v="0"/>
  </r>
  <r>
    <s v="Cases &amp; Composites"/>
    <n v="110856"/>
    <s v="Austin Bryant"/>
    <s v="Complete"/>
    <s v="Closed"/>
    <s v="2-Routine"/>
    <n v="14"/>
    <s v="25FC035"/>
    <s v="Repair-EA"/>
    <s v="OTC"/>
    <s v="PW2000"/>
    <s v="F117"/>
    <s v="50%"/>
    <d v="2025-01-29T05:00:00"/>
    <d v="2025-08-15T04:00:00"/>
    <d v="2025-07-30T04:00:00"/>
    <x v="231"/>
    <d v="2025-07-30T20:48:26"/>
    <s v="JUL2025"/>
    <d v="2025-04-21T04:00:00"/>
    <d v="2025-04-21T04:00:00"/>
    <d v="2025-04-21T04:00:00"/>
    <d v="2025-07-13T04:00:00"/>
    <n v="0"/>
    <n v="83"/>
    <n v="83"/>
    <n v="175.95833333332848"/>
    <n v="92.958333333328483"/>
    <n v="0"/>
    <n v="0"/>
    <n v="0"/>
    <n v="8"/>
    <n v="0"/>
    <n v="0"/>
    <n v="0"/>
    <n v="0"/>
    <n v="8"/>
    <n v="167.95833333332848"/>
    <n v="84.958333333328483"/>
    <n v="-22"/>
    <n v="1"/>
  </r>
  <r>
    <s v="Cases &amp; Composites"/>
    <s v="CAS-166448-Y3F1V3"/>
    <s v="Jia Chen"/>
    <s v="Complete"/>
    <s v="Resolved"/>
    <s v="2-Routine"/>
    <n v="15"/>
    <s v="23CC904"/>
    <s v="Repair-EA"/>
    <s v="OTC"/>
    <s v="PW1000G"/>
    <s v="30K"/>
    <m/>
    <d v="2022-12-19T21:19:37"/>
    <d v="2023-04-28T04:00:00"/>
    <d v="2024-04-26T04:00:00"/>
    <x v="165"/>
    <d v="2024-04-03T17:16:27"/>
    <s v="IDC. Apr"/>
    <d v="2023-03-24T04:00:00"/>
    <d v="2023-04-05T04:00:00"/>
    <d v="2023-04-05T04:00:00"/>
    <d v="2024-03-26T04:00:00"/>
    <n v="12"/>
    <n v="356"/>
    <n v="368"/>
    <n v="470.27804398148146"/>
    <n v="102.27804398148146"/>
    <n v="0"/>
    <n v="0"/>
    <n v="0"/>
    <n v="0"/>
    <n v="0"/>
    <n v="0"/>
    <n v="0"/>
    <n v="0"/>
    <n v="0"/>
    <n v="470.27804398148146"/>
    <n v="102.27804398148146"/>
    <n v="341"/>
    <n v="0"/>
  </r>
  <r>
    <s v="Cases &amp; Composites"/>
    <s v="CAS-208201-S2D9L5"/>
    <s v="Ferdin Mustafa"/>
    <s v="Complete"/>
    <s v="Resolved"/>
    <s v="2-Routine"/>
    <n v="15"/>
    <s v="24KC563"/>
    <s v="Repair-EA"/>
    <s v="OTC"/>
    <s v="PW4000"/>
    <s v="AMO"/>
    <s v="50%"/>
    <d v="2024-02-29T15:08:33"/>
    <d v="2025-02-19T05:00:00"/>
    <d v="2025-02-27T05:00:00"/>
    <x v="202"/>
    <d v="2025-02-25T22:39:00"/>
    <s v="February"/>
    <d v="2024-09-05T04:00:00"/>
    <d v="2024-09-05T04:00:00"/>
    <d v="2024-09-05T04:00:00"/>
    <d v="2025-01-24T05:00:00"/>
    <n v="0"/>
    <n v="141.04166666667152"/>
    <n v="141.04166666667152"/>
    <n v="361.5773958333375"/>
    <n v="220.53572916666599"/>
    <n v="74"/>
    <n v="0"/>
    <n v="0"/>
    <n v="0"/>
    <n v="0"/>
    <n v="0"/>
    <n v="0"/>
    <n v="0"/>
    <n v="74"/>
    <n v="287.5773958333375"/>
    <n v="146.53572916666599"/>
    <n v="6"/>
    <n v="0"/>
  </r>
  <r>
    <s v="Cases &amp; Composites"/>
    <s v="CAS-224723-P9J2Z6"/>
    <s v="Jia Chen"/>
    <s v="Complete"/>
    <s v="Resolved"/>
    <s v="2-Routine"/>
    <n v="15"/>
    <s v="24KC269A"/>
    <s v="Repair-EA"/>
    <s v="OTC"/>
    <s v="PW4000"/>
    <s v="AMO"/>
    <s v="75%"/>
    <d v="2024-08-19T21:44:38"/>
    <d v="2024-10-04T04:00:00"/>
    <d v="2024-10-11T04:00:00"/>
    <x v="232"/>
    <d v="2024-10-10T12:26:15"/>
    <s v="EA Revision to 24KC269 (CAS-212100-L9L0L9) to allow &quot;no plasma removal necessary&quot; if utilizing a local heat treat. Oct"/>
    <m/>
    <m/>
    <m/>
    <m/>
    <s v=""/>
    <s v=""/>
    <n v="0"/>
    <n v="50.260671296295186"/>
    <n v="50.260671296295186"/>
    <n v="0"/>
    <n v="0"/>
    <n v="0"/>
    <n v="0"/>
    <n v="0"/>
    <n v="0"/>
    <n v="0"/>
    <n v="0"/>
    <n v="0"/>
    <n v="50.260671296295186"/>
    <n v="50.260671296295186"/>
    <n v="5"/>
    <n v="0"/>
  </r>
  <r>
    <s v="Cases &amp; Composites"/>
    <s v="CAS-223587-C4B8V8"/>
    <s v="Ferdin Mustafa"/>
    <s v="Complete"/>
    <s v="Resolved"/>
    <s v="2-Routine"/>
    <n v="15"/>
    <s v="24FC287"/>
    <s v="Repair-EA"/>
    <s v="EM"/>
    <s v="PW2000"/>
    <s v="OCE"/>
    <s v="75%"/>
    <d v="2024-08-07T13:03:15"/>
    <d v="2025-04-14T04:00:00"/>
    <d v="2024-10-17T04:00:00"/>
    <x v="39"/>
    <d v="2024-10-10T14:36:06"/>
    <s v="October - "/>
    <m/>
    <m/>
    <m/>
    <m/>
    <s v=""/>
    <s v=""/>
    <n v="0"/>
    <n v="61.622743055551837"/>
    <n v="61.622743055551837"/>
    <n v="0"/>
    <n v="0"/>
    <n v="0"/>
    <n v="0"/>
    <n v="0"/>
    <n v="0"/>
    <n v="0"/>
    <n v="0"/>
    <n v="0"/>
    <n v="61.622743055551837"/>
    <n v="61.622743055551837"/>
    <n v="-188"/>
    <n v="1"/>
  </r>
  <r>
    <s v="Cases &amp; Composites"/>
    <s v="CAS-231303-V2P5L0"/>
    <s v="Ferdin Mustafa"/>
    <s v="Complete"/>
    <s v="Resolved"/>
    <s v="2-Routine"/>
    <n v="15"/>
    <s v="24KC653"/>
    <s v="Repair-EA"/>
    <s v="OTC"/>
    <s v="PW4000"/>
    <s v="OCE"/>
    <s v="75%"/>
    <d v="2024-10-18T11:26:42"/>
    <d v="2025-04-10T04:00:00"/>
    <d v="2024-11-22T05:00:00"/>
    <x v="149"/>
    <d v="2024-11-13T18:47:04"/>
    <m/>
    <d v="2024-10-29T04:00:00"/>
    <d v="2024-10-31T04:00:00"/>
    <d v="2024-10-31T04:00:00"/>
    <d v="2024-11-07T05:00:00"/>
    <n v="2"/>
    <n v="7.0416666666715173"/>
    <n v="9.0416666666715173"/>
    <n v="25.731458333335468"/>
    <n v="16.68979166666395"/>
    <n v="4"/>
    <n v="0"/>
    <n v="0"/>
    <n v="0"/>
    <n v="0"/>
    <n v="0"/>
    <n v="0"/>
    <n v="0"/>
    <n v="4"/>
    <n v="21.731458333335468"/>
    <n v="12.68979166666395"/>
    <n v="-147.95833333332848"/>
    <n v="1"/>
  </r>
  <r>
    <s v="Cases &amp; Composites"/>
    <s v="MSG-241219-E0D4A1"/>
    <s v="Francisco Astiasaran"/>
    <s v="Complete"/>
    <s v="Complete"/>
    <s v="2-Routine"/>
    <n v="15"/>
    <s v="24CCZ03"/>
    <s v="Repair-EA"/>
    <s v="OTC"/>
    <s v="PW1000G"/>
    <s v="24K"/>
    <s v="75%"/>
    <d v="2024-12-19T05:00:00"/>
    <d v="2025-02-05T05:00:00"/>
    <d v="2025-02-05T05:00:00"/>
    <x v="15"/>
    <d v="2025-02-05T21:25:02"/>
    <m/>
    <m/>
    <m/>
    <m/>
    <m/>
    <s v=""/>
    <s v=""/>
    <n v="0"/>
    <n v="48"/>
    <n v="48"/>
    <n v="0"/>
    <n v="0"/>
    <n v="0"/>
    <n v="0"/>
    <n v="0"/>
    <n v="0"/>
    <n v="0"/>
    <n v="0"/>
    <n v="0"/>
    <n v="48"/>
    <n v="48"/>
    <n v="0"/>
    <n v="1"/>
  </r>
  <r>
    <s v="Cases &amp; Composites"/>
    <s v="CAS-232720-Q9F9R3"/>
    <s v="Alexander Page"/>
    <s v="Complete"/>
    <s v="Resolved"/>
    <s v="2-Routine"/>
    <n v="15"/>
    <s v="25KC037"/>
    <s v="Repair-EA"/>
    <s v="OTC"/>
    <s v="PW4000"/>
    <s v="AMO"/>
    <s v="50%"/>
    <d v="2024-10-31T20:19:53"/>
    <d v="2025-04-23T04:00:00"/>
    <d v="2025-04-23T04:00:00"/>
    <x v="227"/>
    <d v="2025-04-15T20:09:42"/>
    <s v="apr2025"/>
    <d v="2025-02-06T05:00:00"/>
    <d v="2025-02-12T05:00:00"/>
    <d v="2025-02-12T05:00:00"/>
    <d v="2025-04-11T04:00:00"/>
    <n v="6"/>
    <n v="57.958333333328483"/>
    <n v="63.958333333328483"/>
    <n v="165.31952546296088"/>
    <n v="101.3611921296324"/>
    <n v="21"/>
    <n v="0"/>
    <n v="0"/>
    <n v="0"/>
    <n v="0"/>
    <n v="0"/>
    <n v="0"/>
    <n v="0"/>
    <n v="21"/>
    <n v="144.31952546296088"/>
    <n v="80.3611921296324"/>
    <n v="-8"/>
    <n v="1"/>
  </r>
  <r>
    <s v="Cases &amp; Composites"/>
    <s v="CAS-231786-W6M4G5"/>
    <s v="Ibraheem Farajat"/>
    <s v="Complete"/>
    <s v="Resolved"/>
    <s v="2-Routine"/>
    <n v="15"/>
    <s v="25VC104"/>
    <s v="Repair-EA"/>
    <s v="OTC"/>
    <s v="V2500"/>
    <s v="V2500"/>
    <m/>
    <d v="2024-10-23T12:55:27"/>
    <d v="2025-04-30T04:00:00"/>
    <d v="2025-05-16T04:00:00"/>
    <x v="200"/>
    <d v="2025-05-12T13:41:23"/>
    <s v="May2025 PSD"/>
    <d v="2025-04-01T04:00:00"/>
    <d v="2025-04-01T04:00:00"/>
    <d v="2025-04-01T04:00:00"/>
    <d v="2025-04-02T04:00:00"/>
    <n v="0"/>
    <n v="1"/>
    <n v="1"/>
    <n v="197.6281597222187"/>
    <n v="196.6281597222187"/>
    <n v="0"/>
    <n v="0"/>
    <n v="0"/>
    <n v="0"/>
    <n v="0"/>
    <n v="0"/>
    <n v="0"/>
    <n v="0"/>
    <n v="0"/>
    <n v="197.6281597222187"/>
    <n v="196.6281597222187"/>
    <n v="9"/>
    <n v="0"/>
  </r>
  <r>
    <s v="Cases &amp; Composites"/>
    <s v="CAS-239016-Z5M2Q3"/>
    <s v="Orlando Melendez Colon"/>
    <s v="Complete"/>
    <s v="Resolved"/>
    <s v="2-Routine"/>
    <n v="15"/>
    <s v="25VG063"/>
    <s v="Repair-EA"/>
    <s v="OTC"/>
    <s v="V2500"/>
    <s v="V2500"/>
    <s v="75%"/>
    <d v="2025-01-07T12:18:21"/>
    <d v="2025-06-30T04:00:00"/>
    <d v="2025-08-21T04:00:00"/>
    <x v="233"/>
    <d v="2025-07-14T15:58:58"/>
    <m/>
    <d v="2025-05-20T04:00:00"/>
    <d v="2025-05-20T04:00:00"/>
    <d v="2025-05-20T04:00:00"/>
    <d v="2025-06-16T04:00:00"/>
    <n v="0"/>
    <n v="27"/>
    <n v="27"/>
    <n v="183.65392361110571"/>
    <n v="156.65392361110571"/>
    <n v="0"/>
    <n v="0"/>
    <n v="13"/>
    <n v="0"/>
    <n v="16"/>
    <n v="0"/>
    <n v="0"/>
    <n v="0"/>
    <n v="29"/>
    <n v="154.65392361110571"/>
    <n v="127.65392361110571"/>
    <n v="10"/>
    <n v="0"/>
  </r>
  <r>
    <s v="Cases &amp; Composites"/>
    <s v="CAS-247692-T1L6J1"/>
    <s v="Ibraheem Farajat"/>
    <s v="Complete"/>
    <s v="Resolved"/>
    <s v="2-Routine"/>
    <n v="15"/>
    <s v="25VC120"/>
    <s v="Repair-EA"/>
    <s v="OTC"/>
    <s v="V2500"/>
    <s v="V2500"/>
    <s v="75%"/>
    <d v="2025-03-28T19:00:58"/>
    <d v="2025-04-25T04:00:00"/>
    <d v="2025-05-09T04:00:00"/>
    <x v="194"/>
    <d v="2025-05-07T18:31:08"/>
    <s v="May2025"/>
    <d v="2025-04-08T04:00:00"/>
    <d v="2025-04-09T04:00:00"/>
    <d v="2025-04-09T04:00:00"/>
    <d v="2025-04-10T04:00:00"/>
    <n v="1"/>
    <n v="1"/>
    <n v="2"/>
    <n v="39.374328703699575"/>
    <n v="37.374328703699575"/>
    <n v="0"/>
    <n v="0"/>
    <n v="0"/>
    <n v="0"/>
    <n v="0"/>
    <n v="0"/>
    <n v="0"/>
    <n v="0"/>
    <n v="0"/>
    <n v="39.374328703699575"/>
    <n v="37.374328703699575"/>
    <n v="12"/>
    <n v="0"/>
  </r>
  <r>
    <s v="Cases &amp; Composites"/>
    <s v="CAS-246085-W8F6F6"/>
    <s v="Orlando Melendez Colon"/>
    <s v="Complete"/>
    <s v="Resolved"/>
    <s v="2-Routine"/>
    <n v="15"/>
    <s v="25VC131"/>
    <s v="Repair-EA"/>
    <s v="OTC"/>
    <s v="V2500"/>
    <s v="V2500"/>
    <s v="50%"/>
    <d v="2025-03-13T10:37:55"/>
    <d v="2025-06-30T04:00:00"/>
    <d v="2025-06-25T04:00:00"/>
    <x v="230"/>
    <d v="2025-06-11T14:57:14"/>
    <s v="Jun2025"/>
    <d v="2025-05-09T04:00:00"/>
    <d v="2025-05-09T04:00:00"/>
    <d v="2025-05-09T04:00:00"/>
    <d v="2025-05-20T04:00:00"/>
    <n v="0"/>
    <n v="11"/>
    <n v="11"/>
    <n v="86.723668981481751"/>
    <n v="75.723668981481751"/>
    <n v="13"/>
    <n v="0"/>
    <n v="8"/>
    <n v="0"/>
    <n v="0"/>
    <n v="0"/>
    <n v="0"/>
    <n v="0"/>
    <n v="21"/>
    <n v="65.723668981481751"/>
    <n v="54.723668981481751"/>
    <n v="-22"/>
    <n v="1"/>
  </r>
  <r>
    <s v="Cases &amp; Composites"/>
    <s v="CAS-249276-C4Y3H9"/>
    <s v="Francisco Astiasaran"/>
    <s v="Complete"/>
    <s v="Resolved"/>
    <s v="2-Routine"/>
    <n v="15"/>
    <s v="25CC882"/>
    <s v="Repair-EA"/>
    <s v="OTC"/>
    <s v="PW1000G"/>
    <s v="24K CIPT"/>
    <s v="75%"/>
    <d v="2025-04-14T12:40:22"/>
    <d v="2025-04-25T04:00:00"/>
    <d v="2025-04-25T04:00:00"/>
    <x v="53"/>
    <d v="2025-04-29T17:27:23"/>
    <s v="Apr2025"/>
    <m/>
    <m/>
    <m/>
    <m/>
    <s v=""/>
    <s v=""/>
    <n v="0"/>
    <n v="14.638634259259561"/>
    <n v="14.638634259259561"/>
    <n v="0"/>
    <n v="0"/>
    <n v="0"/>
    <n v="0"/>
    <n v="0"/>
    <n v="0"/>
    <n v="0"/>
    <n v="0"/>
    <n v="0"/>
    <n v="14.638634259259561"/>
    <n v="14.638634259259561"/>
    <n v="4"/>
    <n v="0"/>
  </r>
  <r>
    <s v="Cases &amp; Composites"/>
    <s v="CAS-208345-H5N6Y2"/>
    <s v="Jia Chen"/>
    <s v="Complete"/>
    <s v="Resolved"/>
    <s v="2-Routine"/>
    <n v="16"/>
    <s v="24KC135"/>
    <s v="Repair-EA"/>
    <s v="OTC"/>
    <s v="PW4000"/>
    <s v="AMO"/>
    <s v="75%"/>
    <d v="2024-03-01T18:39:22"/>
    <d v="2025-01-14T05:00:00"/>
    <d v="2025-01-14T05:00:00"/>
    <x v="197"/>
    <d v="2024-11-19T23:06:33"/>
    <m/>
    <d v="2024-06-14T04:00:00"/>
    <d v="2024-08-05T04:00:00"/>
    <d v="2024-08-05T04:00:00"/>
    <d v="2024-08-21T04:00:00"/>
    <n v="52"/>
    <n v="16"/>
    <n v="68"/>
    <n v="262.43099537037051"/>
    <n v="194.43099537037051"/>
    <n v="0"/>
    <n v="0"/>
    <n v="0"/>
    <n v="0"/>
    <n v="18"/>
    <n v="0"/>
    <n v="0"/>
    <n v="0"/>
    <n v="18"/>
    <n v="244.43099537037051"/>
    <n v="176.43099537037051"/>
    <n v="-56"/>
    <n v="1"/>
  </r>
  <r>
    <s v="Cases &amp; Composites"/>
    <s v="CAS-210588-S8G6T8"/>
    <s v="Francisco Astiasaran"/>
    <s v="Complete"/>
    <s v="Resolved"/>
    <s v="2-Routine"/>
    <n v="16"/>
    <s v="23CCQ47"/>
    <s v="Repair-EA"/>
    <s v="Discretionary"/>
    <s v="PW1000G"/>
    <s v="24K"/>
    <m/>
    <d v="2024-03-26T17:35:35"/>
    <d v="2024-06-05T04:00:00"/>
    <d v="2024-12-11T05:00:00"/>
    <x v="210"/>
    <d v="2024-12-05T18:27:10"/>
    <s v="DEC"/>
    <d v="2024-06-10T04:00:00"/>
    <d v="2024-11-21T05:00:00"/>
    <d v="2024-11-21T05:00:00"/>
    <d v="2024-11-27T05:00:00"/>
    <n v="164.04166666667152"/>
    <n v="6"/>
    <n v="170.04166666667152"/>
    <n v="252.47528935185255"/>
    <n v="82.433622685181035"/>
    <n v="0"/>
    <n v="0"/>
    <n v="0"/>
    <n v="0"/>
    <n v="0"/>
    <n v="90.21002001157467"/>
    <n v="0"/>
    <n v="0"/>
    <n v="90.21002001157467"/>
    <n v="162.26526934027788"/>
    <n v="-7.776397326393635"/>
    <n v="182.04166666667152"/>
    <n v="0"/>
  </r>
  <r>
    <s v="Cases &amp; Composites"/>
    <s v="CAS-208328-F3P5N3"/>
    <s v="Tyler Abusbah"/>
    <s v="Complete"/>
    <s v="Resolved"/>
    <s v="2-Routine"/>
    <n v="16"/>
    <s v="24KC377"/>
    <s v="Repair-EA"/>
    <s v="OTC"/>
    <s v="PW4000"/>
    <s v="AMO"/>
    <s v="75%"/>
    <d v="2024-03-01T15:03:08"/>
    <d v="2025-01-03T05:00:00"/>
    <d v="2024-10-24T04:00:00"/>
    <x v="183"/>
    <d v="2024-10-24T06:57:46"/>
    <s v="Oct"/>
    <d v="2024-05-13T04:00:00"/>
    <d v="2024-08-14T04:00:00"/>
    <d v="2024-08-14T04:00:00"/>
    <d v="2024-09-11T04:00:00"/>
    <n v="93"/>
    <n v="28"/>
    <n v="121"/>
    <n v="235.53949074073898"/>
    <n v="114.53949074073898"/>
    <n v="0"/>
    <n v="0"/>
    <n v="0"/>
    <n v="6"/>
    <n v="0"/>
    <n v="0"/>
    <n v="0"/>
    <n v="0"/>
    <n v="6"/>
    <n v="229.53949074073898"/>
    <n v="108.53949074073898"/>
    <n v="-72.041666666671517"/>
    <n v="1"/>
  </r>
  <r>
    <s v="Cases &amp; Composites"/>
    <s v="CAS-201983-P9Z3Q3"/>
    <s v="Ferdin Mustafa"/>
    <s v="Complete"/>
    <s v="Resolved"/>
    <s v="2-Routine"/>
    <n v="16"/>
    <s v="24KC652"/>
    <s v="Repair-EA"/>
    <s v="OTC"/>
    <s v="PW4000"/>
    <s v="AMO"/>
    <m/>
    <d v="2023-12-22T08:56:39"/>
    <d v="2025-04-14T04:00:00"/>
    <d v="2025-07-11T04:00:00"/>
    <x v="20"/>
    <d v="2025-07-03T01:30:14"/>
    <s v="Jul2025"/>
    <d v="2024-10-28T04:00:00"/>
    <d v="2024-10-29T04:00:00"/>
    <d v="2024-10-29T04:00:00"/>
    <d v="2025-02-27T05:00:00"/>
    <n v="1"/>
    <n v="121.04166666667152"/>
    <n v="122.04166666667152"/>
    <n v="557.79399305555125"/>
    <n v="435.75232638887974"/>
    <n v="0"/>
    <n v="15"/>
    <n v="12"/>
    <n v="158"/>
    <n v="61"/>
    <n v="0"/>
    <n v="0"/>
    <n v="0"/>
    <n v="246"/>
    <n v="311.79399305555125"/>
    <n v="189.75232638887974"/>
    <n v="79"/>
    <n v="0"/>
  </r>
  <r>
    <s v="Cases &amp; Composites"/>
    <s v="CAS-222321-T5D3F1"/>
    <s v="Jia Chen"/>
    <s v="Complete"/>
    <s v="Resolved"/>
    <s v="2-Routine"/>
    <n v="16"/>
    <s v="24CCR07"/>
    <s v="Repair-EA"/>
    <s v="OTC"/>
    <s v="PW1000G"/>
    <s v="24K"/>
    <s v="50%"/>
    <d v="2024-07-25T15:23:10"/>
    <d v="2025-02-13T05:00:00"/>
    <d v="2025-02-13T05:00:00"/>
    <x v="100"/>
    <d v="2025-02-06T21:06:15"/>
    <s v="DIFFUSER INNER CASE ASSEMBLY - INNER CASE WALL - BLEND REPAIR."/>
    <d v="2024-11-14T05:00:00"/>
    <d v="2024-11-22T05:00:00"/>
    <d v="2024-11-22T05:00:00"/>
    <d v="2024-11-25T05:00:00"/>
    <n v="8"/>
    <n v="3"/>
    <n v="11"/>
    <n v="195.56724537037371"/>
    <n v="184.56724537037371"/>
    <n v="30.088121076398238"/>
    <n v="0"/>
    <n v="0"/>
    <n v="0"/>
    <n v="0"/>
    <n v="0"/>
    <n v="0"/>
    <n v="0"/>
    <n v="30.088121076398238"/>
    <n v="165.47912429397547"/>
    <n v="154.47912429397547"/>
    <n v="-7"/>
    <n v="1"/>
  </r>
  <r>
    <s v="Cases &amp; Composites"/>
    <s v="CAS-228800-Q8C9G6"/>
    <s v="Robert Thompson"/>
    <s v="Complete"/>
    <s v="Resolved"/>
    <s v="2-Routine"/>
    <n v="16"/>
    <s v="24KC603"/>
    <s v="Repair-EA"/>
    <s v="OTC"/>
    <s v="PW4000"/>
    <s v="AMO"/>
    <s v="75%"/>
    <d v="2024-09-30T19:08:52"/>
    <d v="2024-10-29T04:00:00"/>
    <d v="2024-10-29T04:00:00"/>
    <x v="234"/>
    <d v="2024-10-30T12:49:43"/>
    <m/>
    <m/>
    <m/>
    <m/>
    <m/>
    <s v=""/>
    <s v=""/>
    <n v="0"/>
    <n v="28.368842592586589"/>
    <n v="28.368842592586589"/>
    <n v="0"/>
    <n v="0"/>
    <n v="0"/>
    <n v="0"/>
    <n v="0"/>
    <n v="0"/>
    <n v="0"/>
    <n v="0"/>
    <n v="0"/>
    <n v="28.368842592586589"/>
    <n v="28.368842592586589"/>
    <n v="0"/>
    <n v="1"/>
  </r>
  <r>
    <s v="Cases &amp; Composites"/>
    <n v="109545"/>
    <s v="Francisco Astiasaran"/>
    <s v="Complete"/>
    <s v="Closed"/>
    <s v="2-Routine"/>
    <n v="16"/>
    <s v="24FC364"/>
    <s v="Repair-EA"/>
    <s v="OTC"/>
    <s v="PW2000"/>
    <s v="AMO"/>
    <s v="75%"/>
    <d v="2024-11-11T05:00:00"/>
    <d v="2025-01-24T05:00:00"/>
    <d v="2025-02-26T05:00:00"/>
    <x v="235"/>
    <d v="2025-02-28T22:57:46"/>
    <s v="JAN"/>
    <d v="2024-11-22T05:00:00"/>
    <d v="2024-11-25T05:00:00"/>
    <d v="2024-11-25T05:00:00"/>
    <d v="2025-01-10T05:00:00"/>
    <n v="3"/>
    <n v="46"/>
    <n v="49"/>
    <n v="109"/>
    <n v="60"/>
    <n v="0"/>
    <n v="0"/>
    <n v="0"/>
    <n v="0"/>
    <n v="0"/>
    <n v="0"/>
    <n v="0"/>
    <n v="0"/>
    <n v="0"/>
    <n v="109"/>
    <n v="60"/>
    <n v="35"/>
    <n v="0"/>
  </r>
  <r>
    <s v="Cases &amp; Composites"/>
    <s v="CAS-228630-R6J9L1"/>
    <s v="Jia Chen"/>
    <s v="Complete"/>
    <s v="Resolved"/>
    <s v="2-Routine"/>
    <n v="16"/>
    <s v="24KC714"/>
    <s v="Repair-EA"/>
    <s v="OTC"/>
    <s v="PW4000"/>
    <s v="AMO"/>
    <s v="75%"/>
    <d v="2024-09-24T20:30:28"/>
    <d v="2025-03-04T05:00:00"/>
    <d v="2025-03-04T05:00:00"/>
    <x v="236"/>
    <d v="2025-01-22T18:46:26"/>
    <m/>
    <d v="2024-12-19T05:00:00"/>
    <d v="2025-01-08T05:00:00"/>
    <d v="2025-01-08T05:00:00"/>
    <d v="2025-01-10T05:00:00"/>
    <n v="20"/>
    <n v="2"/>
    <n v="22"/>
    <n v="119.35384259259445"/>
    <n v="97.353842592594447"/>
    <n v="34"/>
    <n v="0"/>
    <n v="0"/>
    <n v="0"/>
    <n v="0"/>
    <n v="0"/>
    <n v="0"/>
    <n v="0"/>
    <n v="34"/>
    <n v="85.353842592594447"/>
    <n v="63.353842592594447"/>
    <n v="-41"/>
    <n v="1"/>
  </r>
  <r>
    <s v="Cases &amp; Composites"/>
    <s v="CAS-232593-T7R8P5"/>
    <s v="Francisco Astiasaran"/>
    <s v="Complete"/>
    <s v="Resolved"/>
    <s v="2-Routine"/>
    <n v="16"/>
    <s v="24CCX13"/>
    <s v="Repair-EA"/>
    <s v="OTC"/>
    <s v="PW1000G"/>
    <s v="30K"/>
    <s v="50%"/>
    <d v="2024-10-30T20:32:48"/>
    <d v="2024-11-20T05:00:00"/>
    <d v="2025-02-12T05:00:00"/>
    <x v="114"/>
    <d v="2025-02-12T20:12:32"/>
    <m/>
    <d v="2024-11-26T05:00:00"/>
    <d v="2025-01-06T05:00:00"/>
    <d v="2025-01-06T05:00:00"/>
    <d v="2025-01-06T05:00:00"/>
    <n v="41"/>
    <n v="0"/>
    <n v="41"/>
    <n v="104.35222222222365"/>
    <n v="63.352222222223645"/>
    <n v="0"/>
    <n v="0"/>
    <n v="0"/>
    <n v="0"/>
    <n v="0"/>
    <n v="0"/>
    <n v="0"/>
    <n v="0"/>
    <n v="0"/>
    <n v="104.35222222222365"/>
    <n v="63.352222222223645"/>
    <n v="84"/>
    <n v="0"/>
  </r>
  <r>
    <s v="Cases &amp; Composites"/>
    <s v="CAS-242014-G6L7P5"/>
    <s v="Tyler Abusbah"/>
    <s v="Complete"/>
    <s v="Resolved"/>
    <s v="2-Routine"/>
    <n v="16"/>
    <s v="25KC204"/>
    <s v="Repair-EA"/>
    <s v="OTC"/>
    <s v="PW4000"/>
    <s v="AMO"/>
    <s v="75%"/>
    <d v="2025-02-18T20:17:10"/>
    <d v="2025-09-24T04:00:00"/>
    <d v="2025-05-28T04:00:00"/>
    <x v="200"/>
    <d v="2025-05-09T20:06:23"/>
    <s v="May2025"/>
    <d v="2025-04-14T04:00:00"/>
    <d v="2025-04-15T04:00:00"/>
    <d v="2025-04-25T04:00:00"/>
    <d v="2025-04-30T04:00:00"/>
    <n v="1"/>
    <n v="5"/>
    <n v="6"/>
    <n v="79.321412037032133"/>
    <n v="73.321412037032133"/>
    <n v="5"/>
    <n v="0"/>
    <n v="0"/>
    <n v="0"/>
    <n v="0"/>
    <n v="0"/>
    <n v="0"/>
    <n v="0"/>
    <n v="5"/>
    <n v="74.321412037032133"/>
    <n v="68.321412037032133"/>
    <n v="-138"/>
    <n v="1"/>
  </r>
  <r>
    <s v="Cases &amp; Composites"/>
    <s v="CAS-245978-Y8Q5J4"/>
    <s v="Ferdin Mustafa"/>
    <s v="Complete"/>
    <s v="Resolved"/>
    <s v="2-Routine"/>
    <n v="16"/>
    <s v="24KC622A"/>
    <s v="Repair-EA"/>
    <s v="OTC"/>
    <s v="PW4000"/>
    <s v="AMO"/>
    <s v="75%"/>
    <d v="2025-03-12T14:20:49"/>
    <d v="2025-08-01T04:00:00"/>
    <d v="2025-04-17T04:00:00"/>
    <x v="227"/>
    <d v="2025-04-21T13:51:09"/>
    <s v="Apr2025 - RSL"/>
    <d v="2025-03-26T04:00:00"/>
    <d v="2025-04-02T04:00:00"/>
    <d v="2025-04-02T04:00:00"/>
    <d v="2025-04-02T04:00:00"/>
    <n v="7"/>
    <n v="0"/>
    <n v="7"/>
    <n v="33.568877314814017"/>
    <n v="26.568877314814017"/>
    <n v="0"/>
    <n v="0"/>
    <n v="0"/>
    <n v="0"/>
    <n v="0"/>
    <n v="0"/>
    <n v="0"/>
    <n v="0"/>
    <n v="0"/>
    <n v="33.568877314814017"/>
    <n v="26.568877314814017"/>
    <n v="-108"/>
    <n v="1"/>
  </r>
  <r>
    <s v="Cases &amp; Composites"/>
    <s v="CAS-248540-R7D5Y4"/>
    <s v="Francisco Astiasaran"/>
    <s v="Complete"/>
    <s v="Resolved"/>
    <s v="2-Routine"/>
    <n v="16"/>
    <s v="25CC847"/>
    <s v="Repair-EA"/>
    <s v="OTC"/>
    <s v="PW1000G"/>
    <s v="30K CIPT"/>
    <s v="75%"/>
    <d v="2025-04-07T16:27:57"/>
    <d v="2025-04-23T04:00:00"/>
    <d v="2025-04-25T04:00:00"/>
    <x v="53"/>
    <d v="2025-04-29T17:28:43"/>
    <s v="Apr2025"/>
    <d v="2025-04-09T04:00:00"/>
    <d v="2025-04-09T04:00:00"/>
    <m/>
    <d v="2025-04-09T04:00:00"/>
    <n v="0"/>
    <s v=""/>
    <n v="0"/>
    <n v="21.480590277773445"/>
    <n v="21.480590277773445"/>
    <n v="0"/>
    <n v="0"/>
    <n v="0"/>
    <n v="0"/>
    <n v="0"/>
    <n v="0"/>
    <n v="0"/>
    <n v="0"/>
    <n v="0"/>
    <n v="21.480590277773445"/>
    <n v="21.480590277773445"/>
    <n v="6"/>
    <n v="0"/>
  </r>
  <r>
    <s v="Cases &amp; Composites"/>
    <s v="CAS-251591-J9H8J4"/>
    <s v="Francisco Astiasaran"/>
    <s v="Complete"/>
    <s v="Resolved"/>
    <s v="2-Routine"/>
    <n v="16"/>
    <s v="20CCK95D"/>
    <s v="Repair-EA"/>
    <s v="EM"/>
    <s v="PW1000G"/>
    <s v="30K"/>
    <s v="75%"/>
    <d v="2025-05-08T09:57:03"/>
    <d v="2025-06-03T04:00:00"/>
    <d v="2025-06-20T04:00:00"/>
    <x v="237"/>
    <d v="2025-06-13T17:21:18"/>
    <s v="Jun2025"/>
    <m/>
    <m/>
    <m/>
    <m/>
    <s v=""/>
    <s v=""/>
    <n v="0"/>
    <n v="33.752048611109785"/>
    <n v="33.752048611109785"/>
    <n v="0"/>
    <n v="0"/>
    <n v="0"/>
    <n v="0"/>
    <n v="0"/>
    <n v="0"/>
    <n v="0"/>
    <n v="0.67575780092738569"/>
    <n v="0.67575780092738569"/>
    <n v="33.0762908101824"/>
    <n v="33.0762908101824"/>
    <n v="8"/>
    <n v="0"/>
  </r>
  <r>
    <s v="Cases &amp; Composites"/>
    <s v="CAS-182441-V9X0Y1"/>
    <s v="Francisco Astiasaran"/>
    <s v="Complete"/>
    <s v="Resolved"/>
    <s v="2-Routine"/>
    <n v="17"/>
    <s v="23CCU67"/>
    <s v="Repair-EA"/>
    <s v="OTC"/>
    <s v="PW1000G"/>
    <s v="24K"/>
    <m/>
    <d v="2023-06-08T07:49:10"/>
    <d v="2024-01-05T05:00:00"/>
    <d v="2025-06-18T04:00:00"/>
    <x v="238"/>
    <d v="2025-06-05T20:10:29"/>
    <s v="Jun2025. Dent on Side of Clip Holes"/>
    <d v="2023-11-07T05:00:00"/>
    <d v="2023-12-05T05:00:00"/>
    <d v="2025-05-12T04:00:00"/>
    <d v="2025-05-29T04:00:00"/>
    <n v="28"/>
    <n v="17"/>
    <n v="45"/>
    <n v="727.84085648148175"/>
    <n v="682.84085648148175"/>
    <n v="0"/>
    <n v="0"/>
    <n v="0"/>
    <n v="0"/>
    <n v="0"/>
    <n v="0"/>
    <n v="0"/>
    <n v="0"/>
    <n v="0"/>
    <n v="727.84085648148175"/>
    <n v="682.84085648148175"/>
    <n v="516.95833333332848"/>
    <n v="0"/>
  </r>
  <r>
    <s v="Cases &amp; Composites"/>
    <s v="CAS-195395-X8V9C8"/>
    <s v="Alexander Page"/>
    <s v="Complete"/>
    <s v="Resolved"/>
    <s v="2-Routine"/>
    <n v="17"/>
    <s v="24CC402"/>
    <s v="Repair-EA"/>
    <s v="OTC"/>
    <s v="PW1000G"/>
    <s v="24K"/>
    <m/>
    <d v="2023-10-17T20:59:10"/>
    <d v="2024-03-07T05:00:00"/>
    <d v="2025-04-25T04:00:00"/>
    <x v="225"/>
    <d v="2025-04-07T13:14:17"/>
    <s v="apr2025"/>
    <d v="2024-02-06T05:00:00"/>
    <d v="2024-03-20T04:00:00"/>
    <d v="2024-03-20T04:00:00"/>
    <d v="2025-03-12T04:00:00"/>
    <n v="42.958333333328483"/>
    <n v="357"/>
    <n v="399.95833333332848"/>
    <n v="534.29224537036498"/>
    <n v="134.3339120370365"/>
    <n v="0"/>
    <n v="0"/>
    <n v="0"/>
    <n v="0"/>
    <n v="0"/>
    <n v="0"/>
    <n v="0"/>
    <n v="0"/>
    <n v="0"/>
    <n v="534.29224537036498"/>
    <n v="134.3339120370365"/>
    <n v="392.95833333332848"/>
    <n v="0"/>
  </r>
  <r>
    <s v="Cases &amp; Composites"/>
    <s v="CAS-209107-K3H5Y2"/>
    <s v="Jia Chen"/>
    <s v="Complete"/>
    <s v="Resolved"/>
    <s v="2-Routine"/>
    <n v="17"/>
    <s v="07FC245A"/>
    <s v="Repair-EA"/>
    <s v="EM"/>
    <s v="PW2000"/>
    <s v="AMO"/>
    <m/>
    <d v="2024-03-11T12:50:15"/>
    <d v="2025-01-14T05:00:00"/>
    <d v="2025-01-14T05:00:00"/>
    <x v="71"/>
    <d v="2025-01-08T15:51:24"/>
    <s v="Jan"/>
    <d v="2024-03-21T04:00:00"/>
    <d v="2024-08-27T04:00:00"/>
    <d v="2024-08-27T04:00:00"/>
    <d v="2024-08-27T04:00:00"/>
    <n v="159"/>
    <n v="0"/>
    <n v="159"/>
    <n v="302.67343750000146"/>
    <n v="143.67343750000146"/>
    <n v="0"/>
    <n v="0"/>
    <n v="0"/>
    <n v="0"/>
    <n v="0"/>
    <n v="80"/>
    <n v="0"/>
    <n v="0"/>
    <n v="80"/>
    <n v="222.67343750000146"/>
    <n v="63.673437500001455"/>
    <n v="-6"/>
    <n v="1"/>
  </r>
  <r>
    <s v="Cases &amp; Composites"/>
    <s v="CAS-216436-T3J3W8"/>
    <s v="Jia Chen"/>
    <s v="Complete"/>
    <s v="Resolved"/>
    <s v="2-Routine"/>
    <n v="17"/>
    <s v="24CCK38"/>
    <s v="Repair-EA"/>
    <s v="OTC"/>
    <s v="PW1000G"/>
    <s v="24K"/>
    <s v="50%"/>
    <d v="2024-05-29T15:30:04"/>
    <d v="2024-11-26T05:00:00"/>
    <d v="2024-11-26T05:00:00"/>
    <x v="182"/>
    <d v="2024-11-15T17:23:20"/>
    <s v="Nov"/>
    <d v="2024-08-29T04:00:00"/>
    <d v="2024-09-05T04:00:00"/>
    <d v="2024-09-05T04:00:00"/>
    <d v="2024-11-07T05:00:00"/>
    <n v="7"/>
    <n v="63.041666666671517"/>
    <n v="70.041666666671517"/>
    <n v="169.56245370370743"/>
    <n v="99.520787037035916"/>
    <n v="20.791415381943807"/>
    <n v="23.158961122680921"/>
    <n v="0"/>
    <n v="0"/>
    <n v="0"/>
    <n v="0"/>
    <n v="0"/>
    <n v="0"/>
    <n v="43.950376504624728"/>
    <n v="125.61207719908271"/>
    <n v="55.570410532411188"/>
    <n v="-11"/>
    <n v="1"/>
  </r>
  <r>
    <s v="Cases &amp; Composites"/>
    <s v="CAS-221701-K9F3V4"/>
    <s v="Jia Chen"/>
    <s v="Complete"/>
    <s v="Resolved"/>
    <s v="2-Routine"/>
    <n v="17"/>
    <s v="24VC271"/>
    <s v="Repair-EA"/>
    <s v="OTC"/>
    <s v="V2500"/>
    <s v="AMO"/>
    <s v="75%"/>
    <d v="2024-07-19T14:37:46"/>
    <d v="2024-11-21T05:00:00"/>
    <d v="2024-11-28T05:00:00"/>
    <x v="218"/>
    <d v="2024-11-04T17:57:40"/>
    <s v="Nov"/>
    <d v="2024-08-29T04:00:00"/>
    <d v="2024-10-16T04:00:00"/>
    <d v="2024-10-16T04:00:00"/>
    <d v="2024-10-30T04:00:00"/>
    <n v="48"/>
    <n v="14"/>
    <n v="62"/>
    <n v="104.55710648147942"/>
    <n v="42.557106481479423"/>
    <n v="12"/>
    <n v="0"/>
    <n v="0"/>
    <n v="0"/>
    <n v="1"/>
    <n v="0"/>
    <n v="0"/>
    <n v="0"/>
    <n v="13"/>
    <n v="91.557106481479423"/>
    <n v="29.557106481479423"/>
    <n v="-20.041666666671517"/>
    <n v="1"/>
  </r>
  <r>
    <s v="Cases &amp; Composites"/>
    <s v="CAS-232125-J5N7V3"/>
    <s v="Brian K Holland"/>
    <s v="Complete"/>
    <s v="Resolved"/>
    <s v="2-Routine"/>
    <n v="17"/>
    <s v="24CCU00"/>
    <s v="Repair-EA"/>
    <s v="OTC"/>
    <s v="PW1000G"/>
    <s v="AMO"/>
    <m/>
    <d v="2024-10-25T20:06:08"/>
    <d v="2024-10-31T04:00:00"/>
    <d v="2024-10-31T04:00:00"/>
    <x v="239"/>
    <d v="2024-10-31T15:58:39"/>
    <m/>
    <m/>
    <m/>
    <m/>
    <m/>
    <s v=""/>
    <s v=""/>
    <n v="0"/>
    <n v="5.3290740740703768"/>
    <n v="5.3290740740703768"/>
    <n v="0"/>
    <n v="0"/>
    <n v="0"/>
    <n v="0"/>
    <n v="0"/>
    <n v="0"/>
    <n v="0"/>
    <n v="0"/>
    <n v="0"/>
    <n v="5.3290740740703768"/>
    <n v="5.3290740740703768"/>
    <n v="0"/>
    <n v="1"/>
  </r>
  <r>
    <s v="Cases &amp; Composites"/>
    <s v="CAS-238779-S6R1Y2"/>
    <s v="Francisco Astiasaran"/>
    <s v="Complete"/>
    <s v="Resolved"/>
    <s v="2-Routine"/>
    <n v="17"/>
    <s v="25CC048"/>
    <s v="Repair-EA"/>
    <s v="OTC"/>
    <s v="PW1000G"/>
    <s v="24K"/>
    <m/>
    <d v="2025-01-03T17:55:17"/>
    <d v="2025-02-07T05:00:00"/>
    <d v="2025-02-07T05:00:00"/>
    <x v="240"/>
    <d v="2025-02-07T13:24:26"/>
    <m/>
    <m/>
    <m/>
    <m/>
    <m/>
    <s v=""/>
    <s v=""/>
    <n v="0"/>
    <n v="34.461608796300425"/>
    <n v="34.461608796300425"/>
    <n v="0"/>
    <n v="0"/>
    <n v="0"/>
    <n v="0"/>
    <n v="0"/>
    <n v="0"/>
    <n v="0"/>
    <n v="0"/>
    <n v="0"/>
    <n v="34.461608796300425"/>
    <n v="34.461608796300425"/>
    <n v="0"/>
    <n v="1"/>
  </r>
  <r>
    <s v="Cases &amp; Composites"/>
    <s v="CAS-241637-G8B4T7"/>
    <s v="Francisco Astiasaran"/>
    <s v="Complete"/>
    <s v="Resolved"/>
    <s v="2-Routine"/>
    <n v="17"/>
    <s v="22CCB58B"/>
    <s v="Repair-EA"/>
    <s v="EM"/>
    <s v="PW1000G"/>
    <s v="30K"/>
    <s v="75%"/>
    <d v="2025-01-30T23:12:01"/>
    <d v="2025-03-17T04:00:00"/>
    <d v="2025-02-28T05:00:00"/>
    <x v="241"/>
    <d v="2025-02-27T14:54:07"/>
    <m/>
    <m/>
    <m/>
    <m/>
    <m/>
    <s v=""/>
    <s v=""/>
    <n v="0"/>
    <n v="26.241655092591827"/>
    <n v="26.241655092591827"/>
    <n v="0"/>
    <n v="0"/>
    <n v="0"/>
    <n v="0"/>
    <n v="0"/>
    <n v="0"/>
    <n v="0"/>
    <n v="0"/>
    <n v="0"/>
    <n v="26.241655092591827"/>
    <n v="26.241655092591827"/>
    <n v="-18.958333333328483"/>
    <n v="1"/>
  </r>
  <r>
    <s v="Cases &amp; Composites"/>
    <s v="CAS-243400-T2N9Q8"/>
    <s v="Francisco Astiasaran"/>
    <s v="Complete"/>
    <s v="Resolved"/>
    <s v="2-Routine"/>
    <n v="17"/>
    <s v="15CC044C"/>
    <s v="Repair-EA"/>
    <s v="EM"/>
    <s v="PW1000G"/>
    <s v="24K"/>
    <s v="75%"/>
    <d v="2025-02-17T19:47:44"/>
    <d v="2025-04-16T04:00:00"/>
    <d v="2025-05-07T04:00:00"/>
    <x v="242"/>
    <d v="2025-05-01T19:58:21"/>
    <s v="may2025"/>
    <m/>
    <m/>
    <m/>
    <m/>
    <s v=""/>
    <s v=""/>
    <n v="0"/>
    <n v="72.34185185185197"/>
    <n v="72.34185185185197"/>
    <n v="0"/>
    <n v="0"/>
    <n v="0"/>
    <n v="0"/>
    <n v="0"/>
    <n v="0"/>
    <n v="0"/>
    <n v="0"/>
    <n v="0"/>
    <n v="72.34185185185197"/>
    <n v="72.34185185185197"/>
    <n v="15"/>
    <n v="0"/>
  </r>
  <r>
    <s v="Cases &amp; Composites"/>
    <s v="CAS-114668-R4C2Y4"/>
    <s v="Orlando Melendez Colon"/>
    <s v="Complete"/>
    <s v="Resolved"/>
    <s v="2-Routine"/>
    <n v="18"/>
    <s v="22VG193A"/>
    <s v="Repair-EA"/>
    <s v="EM"/>
    <s v="V2500"/>
    <s v="V2500"/>
    <m/>
    <d v="2021-07-01T03:21:43"/>
    <d v="2021-12-10T05:00:00"/>
    <d v="2024-10-15T04:00:00"/>
    <x v="243"/>
    <d v="2024-10-15T14:34:50"/>
    <m/>
    <d v="2022-10-11T04:00:00"/>
    <d v="2022-10-11T04:00:00"/>
    <d v="2022-10-11T04:00:00"/>
    <d v="2022-10-11T04:00:00"/>
    <n v="0"/>
    <n v="0"/>
    <n v="0"/>
    <n v="1201.0265856481492"/>
    <n v="1201.0265856481492"/>
    <n v="0"/>
    <n v="0"/>
    <n v="0"/>
    <n v="0"/>
    <n v="0"/>
    <n v="0"/>
    <n v="0"/>
    <n v="0"/>
    <n v="0"/>
    <n v="1201.0265856481492"/>
    <n v="1201.0265856481492"/>
    <n v="1038.9583333333285"/>
    <n v="0"/>
  </r>
  <r>
    <s v="Cases &amp; Composites"/>
    <s v="CAS-187986-C6Y4Y9"/>
    <s v="Pedro Iturrino"/>
    <s v="Complete"/>
    <s v="Resolved"/>
    <s v="2-Routine"/>
    <n v="18"/>
    <s v="23VG263"/>
    <s v="Repair-EA"/>
    <s v="OTC"/>
    <s v="V2500"/>
    <s v="AMO"/>
    <m/>
    <d v="2023-08-03T15:02:10"/>
    <d v="2023-11-27T05:00:00"/>
    <d v="2024-12-20T05:00:00"/>
    <x v="188"/>
    <d v="2024-12-17T19:26:38"/>
    <s v="DEC"/>
    <d v="2023-10-31T04:00:00"/>
    <d v="2024-07-15T04:00:00"/>
    <d v="2024-07-15T04:00:00"/>
    <d v="2024-10-23T04:00:00"/>
    <n v="258"/>
    <n v="100"/>
    <n v="358"/>
    <n v="501.58182870370365"/>
    <n v="143.58182870370365"/>
    <n v="0"/>
    <n v="0"/>
    <n v="0"/>
    <n v="0"/>
    <n v="0"/>
    <n v="135"/>
    <n v="0"/>
    <n v="0"/>
    <n v="135"/>
    <n v="366.58182870370365"/>
    <n v="8.5818287037036498"/>
    <n v="386"/>
    <n v="0"/>
  </r>
  <r>
    <s v="Cases &amp; Composites"/>
    <n v="105596"/>
    <s v="Jia Chen"/>
    <s v="Complete"/>
    <s v="Closed"/>
    <s v="2-Routine"/>
    <n v="18"/>
    <s v="24FC197"/>
    <s v="Repair-EA"/>
    <s v="OTC"/>
    <s v="PW2000"/>
    <s v="AMO"/>
    <s v="75%"/>
    <d v="2024-04-29T04:00:00"/>
    <d v="2024-10-21T04:00:00"/>
    <d v="2024-10-21T04:00:00"/>
    <x v="232"/>
    <d v="2024-10-09T19:54:29"/>
    <s v="Oct"/>
    <d v="2024-06-13T04:00:00"/>
    <d v="2024-06-19T04:00:00"/>
    <d v="2024-06-19T04:00:00"/>
    <d v="2024-06-19T04:00:00"/>
    <n v="6"/>
    <n v="0"/>
    <n v="6"/>
    <n v="163"/>
    <n v="157"/>
    <n v="0"/>
    <n v="0"/>
    <n v="0"/>
    <n v="0"/>
    <n v="0"/>
    <n v="0"/>
    <n v="0"/>
    <n v="0"/>
    <n v="0"/>
    <n v="163"/>
    <n v="157"/>
    <n v="-12"/>
    <n v="1"/>
  </r>
  <r>
    <s v="Cases &amp; Composites"/>
    <s v="CAS-216987-J6D9V9"/>
    <s v="Jia Chen"/>
    <s v="Complete"/>
    <s v="Resolved"/>
    <s v="2-Routine"/>
    <n v="18"/>
    <s v="24KC370"/>
    <s v="Repair-EA"/>
    <s v="OTC"/>
    <s v="PW4000"/>
    <s v="AMO"/>
    <s v="75%"/>
    <d v="2024-06-04T14:01:44"/>
    <d v="2024-11-27T05:00:00"/>
    <d v="2024-11-27T05:00:00"/>
    <x v="234"/>
    <d v="2024-10-29T13:41:22"/>
    <m/>
    <d v="2024-07-11T04:00:00"/>
    <d v="2024-07-18T04:00:00"/>
    <d v="2024-07-18T04:00:00"/>
    <d v="2024-10-25T04:00:00"/>
    <n v="7"/>
    <n v="99"/>
    <n v="106"/>
    <n v="146.58212962962716"/>
    <n v="40.582129629627161"/>
    <n v="9"/>
    <n v="21"/>
    <n v="0"/>
    <n v="0"/>
    <n v="1"/>
    <n v="0"/>
    <n v="50"/>
    <n v="0"/>
    <n v="81"/>
    <n v="65.582129629627161"/>
    <n v="-40.417870370372839"/>
    <n v="-29.041666666671517"/>
    <n v="1"/>
  </r>
  <r>
    <s v="Cases &amp; Composites"/>
    <s v="CAS-215781-F5W3G0"/>
    <s v="Tyler Abusbah"/>
    <s v="Complete"/>
    <s v="Resolved"/>
    <s v="2-Routine"/>
    <n v="18"/>
    <s v="23KC581A"/>
    <s v="Repair-EA"/>
    <s v="OTC"/>
    <s v="PW4000"/>
    <s v="AMO"/>
    <s v="75%"/>
    <d v="2024-05-29T18:48:16"/>
    <d v="2024-12-18T05:00:00"/>
    <d v="2024-12-20T05:00:00"/>
    <x v="189"/>
    <d v="2024-12-16T14:57:24"/>
    <s v="Dec"/>
    <d v="2024-10-02T04:00:00"/>
    <d v="2024-10-09T04:00:00"/>
    <d v="2024-10-09T04:00:00"/>
    <d v="2024-10-15T04:00:00"/>
    <n v="7"/>
    <n v="6"/>
    <n v="13"/>
    <n v="197.42481481481809"/>
    <n v="184.42481481481809"/>
    <n v="22"/>
    <n v="0"/>
    <n v="0"/>
    <n v="0"/>
    <n v="0"/>
    <n v="0"/>
    <n v="0"/>
    <n v="0"/>
    <n v="22"/>
    <n v="175.42481481481809"/>
    <n v="162.42481481481809"/>
    <n v="-5"/>
    <n v="1"/>
  </r>
  <r>
    <s v="Cases &amp; Composites"/>
    <s v="CAS-222747-G7G0T5"/>
    <s v="Alexander Page"/>
    <s v="Complete"/>
    <s v="Resolved"/>
    <s v="2-Routine"/>
    <n v="18"/>
    <s v="24CCU07"/>
    <s v="Repair-EA"/>
    <s v="OTC"/>
    <s v="PW1000G"/>
    <s v="24K"/>
    <s v="50%"/>
    <d v="2024-07-30T17:56:38"/>
    <d v="2025-04-10T04:00:00"/>
    <d v="2025-04-29T04:00:00"/>
    <x v="18"/>
    <d v="2025-04-11T14:24:59"/>
    <s v="apr2025"/>
    <d v="2024-11-11T05:00:00"/>
    <d v="2024-11-22T05:00:00"/>
    <d v="2024-11-22T05:00:00"/>
    <d v="2025-03-21T04:00:00"/>
    <n v="11"/>
    <n v="118.95833333332848"/>
    <n v="129.95833333332848"/>
    <n v="254.41900462962803"/>
    <n v="124.46067129629955"/>
    <n v="9.9404780555560137"/>
    <n v="0"/>
    <n v="0"/>
    <n v="0"/>
    <n v="0"/>
    <n v="0"/>
    <n v="0"/>
    <n v="0"/>
    <n v="9.9404780555560137"/>
    <n v="244.47852657407202"/>
    <n v="114.52019324074354"/>
    <n v="1"/>
    <n v="0"/>
  </r>
  <r>
    <s v="Cases &amp; Composites"/>
    <s v="CAS-231938-B9D5W5"/>
    <s v="Brian K Holland"/>
    <s v="Complete"/>
    <s v="Resolved"/>
    <s v="2-Routine"/>
    <n v="18"/>
    <s v="24CCT98"/>
    <s v="Repair-EA"/>
    <s v="OTC"/>
    <s v="PW1000G"/>
    <s v="30K CIPT"/>
    <s v="75%"/>
    <d v="2024-10-24T13:26:24"/>
    <d v="2025-01-03T05:00:00"/>
    <d v="2025-01-03T05:00:00"/>
    <x v="228"/>
    <d v="2024-11-26T20:49:38"/>
    <s v="FanR-Blade"/>
    <d v="2024-10-31T04:00:00"/>
    <d v="2024-11-19T05:00:00"/>
    <d v="2024-11-19T05:00:00"/>
    <d v="2024-11-19T05:00:00"/>
    <n v="19.041666666671517"/>
    <n v="0"/>
    <n v="19.041666666671517"/>
    <n v="32.648333333338087"/>
    <n v="13.60666666666657"/>
    <n v="0"/>
    <n v="0"/>
    <n v="0"/>
    <n v="0"/>
    <n v="0"/>
    <n v="0"/>
    <n v="0"/>
    <n v="0"/>
    <n v="0"/>
    <n v="32.648333333338087"/>
    <n v="13.60666666666657"/>
    <n v="-38"/>
    <n v="1"/>
  </r>
  <r>
    <s v="Cases &amp; Composites"/>
    <s v="CAS-231818-M1J0B1"/>
    <s v="Tyler Abusbah"/>
    <s v="Complete"/>
    <s v="Resolved"/>
    <s v="2-Routine"/>
    <n v="18"/>
    <s v="24CCV37"/>
    <s v="Repair-EA"/>
    <s v="OTC"/>
    <s v="PW1000G"/>
    <s v="30K"/>
    <s v="50%"/>
    <d v="2024-10-23T16:35:31"/>
    <d v="2025-02-12T05:00:00"/>
    <d v="2025-06-13T04:00:00"/>
    <x v="244"/>
    <d v="2025-05-30T13:09:45"/>
    <s v="TIC Inner  May2025"/>
    <d v="2025-03-12T04:00:00"/>
    <d v="2025-03-12T04:00:00"/>
    <d v="2025-04-11T04:00:00"/>
    <d v="2025-05-20T04:00:00"/>
    <n v="0"/>
    <n v="39"/>
    <n v="39"/>
    <n v="217.47533564814512"/>
    <n v="178.47533564814512"/>
    <n v="9.9171915393526433"/>
    <n v="0"/>
    <n v="0"/>
    <n v="0"/>
    <n v="0"/>
    <n v="0"/>
    <n v="0"/>
    <n v="0"/>
    <n v="9.9171915393526433"/>
    <n v="207.55814410879248"/>
    <n v="168.55814410879248"/>
    <n v="105.95833333332848"/>
    <n v="0"/>
  </r>
  <r>
    <s v="Cases &amp; Composites"/>
    <s v="MSG-241206-7B75B2"/>
    <s v="Francisco Astiasaran"/>
    <s v="Complete"/>
    <s v="Complete"/>
    <s v="2-Routine"/>
    <n v="18"/>
    <s v="24KC602A"/>
    <s v="Repair-EA"/>
    <s v="OTC"/>
    <s v="PW4000"/>
    <s v="AMO"/>
    <s v="75%"/>
    <d v="2024-12-06T05:00:00"/>
    <d v="2024-12-09T05:00:00"/>
    <d v="2024-12-09T05:00:00"/>
    <x v="189"/>
    <d v="2024-12-16T20:24:16"/>
    <s v="Wrong adhesive used"/>
    <m/>
    <m/>
    <m/>
    <m/>
    <s v=""/>
    <s v=""/>
    <n v="0"/>
    <n v="7"/>
    <n v="7"/>
    <n v="0"/>
    <n v="0"/>
    <n v="0"/>
    <n v="0"/>
    <n v="0"/>
    <n v="0"/>
    <n v="0"/>
    <n v="0"/>
    <n v="0"/>
    <n v="7"/>
    <n v="7"/>
    <n v="4"/>
    <n v="0"/>
  </r>
  <r>
    <s v="Cases &amp; Composites"/>
    <s v="CAS-238778-M0S7S8"/>
    <s v="Francisco Astiasaran"/>
    <s v="Complete"/>
    <s v="Resolved"/>
    <s v="2-Routine"/>
    <n v="18"/>
    <s v="25CC011"/>
    <s v="Repair-EA"/>
    <s v="OTC"/>
    <s v="PW1000G"/>
    <s v="24K"/>
    <m/>
    <d v="2025-01-03T17:55:21"/>
    <d v="2025-02-07T05:00:00"/>
    <d v="2025-02-07T05:00:00"/>
    <x v="240"/>
    <d v="2025-02-07T14:44:39"/>
    <m/>
    <m/>
    <m/>
    <m/>
    <m/>
    <s v=""/>
    <s v=""/>
    <n v="0"/>
    <n v="34.461562500000582"/>
    <n v="34.461562500000582"/>
    <n v="0"/>
    <n v="0"/>
    <n v="0"/>
    <n v="0"/>
    <n v="0"/>
    <n v="0"/>
    <n v="0"/>
    <n v="0"/>
    <n v="0"/>
    <n v="34.461562500000582"/>
    <n v="34.461562500000582"/>
    <n v="0"/>
    <n v="1"/>
  </r>
  <r>
    <s v="Cases &amp; Composites"/>
    <n v="110423"/>
    <s v="Francisco Astiasaran"/>
    <s v="Complete"/>
    <s v="Closed"/>
    <s v="2-Routine"/>
    <n v="18"/>
    <s v="25FC017"/>
    <s v="Repair-EA"/>
    <s v="OTC"/>
    <s v="PW2000"/>
    <s v="AMO"/>
    <s v="75%"/>
    <d v="2025-01-08T05:00:00"/>
    <d v="2025-01-28T05:00:00"/>
    <d v="2025-02-14T05:00:00"/>
    <x v="245"/>
    <d v="2025-02-24T20:56:02"/>
    <m/>
    <d v="2025-01-27T05:00:00"/>
    <d v="2025-01-29T05:00:00"/>
    <d v="2025-01-29T05:00:00"/>
    <d v="2025-02-19T05:00:00"/>
    <n v="2"/>
    <n v="21"/>
    <n v="23"/>
    <n v="47"/>
    <n v="24"/>
    <n v="0"/>
    <n v="0"/>
    <n v="0"/>
    <n v="0"/>
    <n v="0"/>
    <n v="0"/>
    <n v="0"/>
    <n v="0"/>
    <n v="0"/>
    <n v="47"/>
    <n v="24"/>
    <n v="27"/>
    <n v="0"/>
  </r>
  <r>
    <s v="Cases &amp; Composites"/>
    <s v="CAS-238384-L1R2X1"/>
    <s v="Orlando Melendez Colon"/>
    <s v="Complete"/>
    <s v="Resolved"/>
    <s v="2-Routine"/>
    <n v="18"/>
    <s v="25VG018"/>
    <s v="Repair-EA"/>
    <s v="OTC"/>
    <s v="V2500"/>
    <s v="V2500"/>
    <s v="75%"/>
    <d v="2024-12-27T07:51:10"/>
    <d v="2025-02-14T05:00:00"/>
    <d v="2025-04-02T04:00:00"/>
    <x v="235"/>
    <d v="2025-03-04T15:16:27"/>
    <m/>
    <d v="2025-02-19T05:00:00"/>
    <d v="2025-02-19T05:00:00"/>
    <d v="2025-02-19T05:00:00"/>
    <d v="2025-02-19T05:00:00"/>
    <n v="0"/>
    <n v="0"/>
    <n v="0"/>
    <n v="62.881134259259852"/>
    <n v="62.881134259259852"/>
    <n v="0"/>
    <n v="0"/>
    <n v="0"/>
    <n v="0"/>
    <n v="0"/>
    <n v="0"/>
    <n v="0"/>
    <n v="0"/>
    <n v="0"/>
    <n v="62.881134259259852"/>
    <n v="62.881134259259852"/>
    <n v="14"/>
    <n v="0"/>
  </r>
  <r>
    <s v="Cases &amp; Composites"/>
    <s v="CAS-235093-D8W8M8"/>
    <s v="Orlando Melendez Colon"/>
    <s v="Complete"/>
    <s v="Resolved"/>
    <s v="2-Routine"/>
    <n v="18"/>
    <s v="25VC068"/>
    <s v="Repair-EA"/>
    <s v="OTC"/>
    <s v="V2500"/>
    <s v="V2500"/>
    <s v="75%"/>
    <d v="2024-11-22T13:26:40"/>
    <d v="2025-04-25T04:00:00"/>
    <d v="2025-05-14T04:00:00"/>
    <x v="194"/>
    <d v="2025-05-08T14:55:10"/>
    <s v="May2025"/>
    <d v="2025-03-05T05:00:00"/>
    <d v="2025-03-05T05:00:00"/>
    <d v="2025-03-06T05:00:00"/>
    <d v="2025-03-06T05:00:00"/>
    <n v="0"/>
    <n v="0"/>
    <n v="0"/>
    <n v="165.60648148148175"/>
    <n v="165.60648148148175"/>
    <n v="0"/>
    <n v="0"/>
    <n v="0"/>
    <n v="0"/>
    <n v="10"/>
    <n v="0"/>
    <n v="0"/>
    <n v="0"/>
    <n v="10"/>
    <n v="155.60648148148175"/>
    <n v="155.60648148148175"/>
    <n v="12"/>
    <n v="0"/>
  </r>
  <r>
    <s v="Cases &amp; Composites"/>
    <s v="CAS-242222-K2G8T6"/>
    <s v="Orlando Melendez Colon"/>
    <s v="Complete"/>
    <s v="Resolved"/>
    <s v="2-Routine"/>
    <n v="18"/>
    <s v="25VC095"/>
    <s v="Repair-EA"/>
    <s v="OTC"/>
    <s v="V2500"/>
    <s v="V2500"/>
    <s v="75%"/>
    <d v="2025-02-06T06:19:46"/>
    <d v="2025-04-25T04:00:00"/>
    <d v="2025-04-30T04:00:00"/>
    <x v="191"/>
    <d v="2025-05-09T14:50:07"/>
    <s v="May2025"/>
    <d v="2025-03-11T04:00:00"/>
    <d v="2025-03-11T04:00:00"/>
    <d v="2025-03-12T04:00:00"/>
    <d v="2025-03-12T04:00:00"/>
    <n v="0"/>
    <n v="0"/>
    <n v="0"/>
    <n v="90.902939814812271"/>
    <n v="90.902939814812271"/>
    <n v="0"/>
    <n v="0"/>
    <n v="0"/>
    <n v="0"/>
    <n v="0"/>
    <n v="0"/>
    <n v="0"/>
    <n v="0"/>
    <n v="0"/>
    <n v="90.902939814812271"/>
    <n v="90.902939814812271"/>
    <n v="13"/>
    <n v="0"/>
  </r>
  <r>
    <s v="Cases &amp; Composites"/>
    <s v="CAS-174703-G7C2M9"/>
    <s v="Orlando Melendez Colon"/>
    <s v="Complete"/>
    <s v="Resolved"/>
    <s v="2-Routine"/>
    <n v="19"/>
    <s v="20VC243A"/>
    <s v="Repair-EA"/>
    <s v="EM"/>
    <s v="V2500"/>
    <s v="V2500"/>
    <m/>
    <d v="2023-03-16T16:41:23"/>
    <d v="2023-09-29T04:00:00"/>
    <d v="2024-10-23T04:00:00"/>
    <x v="246"/>
    <d v="2024-10-21T18:38:02"/>
    <s v="Oct"/>
    <d v="2023-06-29T04:00:00"/>
    <d v="2023-07-05T04:00:00"/>
    <d v="2023-07-05T04:00:00"/>
    <d v="2023-07-05T04:00:00"/>
    <n v="6"/>
    <n v="0"/>
    <n v="6"/>
    <n v="582.47126157407183"/>
    <n v="576.47126157407183"/>
    <n v="0"/>
    <n v="0"/>
    <n v="0"/>
    <n v="0"/>
    <n v="0"/>
    <n v="0"/>
    <n v="0"/>
    <n v="0"/>
    <n v="0"/>
    <n v="582.47126157407183"/>
    <n v="576.47126157407183"/>
    <n v="386"/>
    <n v="0"/>
  </r>
  <r>
    <s v="Cases &amp; Composites"/>
    <s v="CAS-205374-B9P0H8"/>
    <s v="Jia Chen"/>
    <s v="Complete"/>
    <s v="Resolved"/>
    <s v="2-Routine"/>
    <n v="19"/>
    <s v="24KC069"/>
    <s v="Repair-EA"/>
    <s v="OTC"/>
    <s v="PW4000"/>
    <s v="AMO"/>
    <m/>
    <d v="2024-01-31T14:08:05"/>
    <d v="2024-11-27T05:00:00"/>
    <d v="2024-11-27T05:00:00"/>
    <x v="247"/>
    <d v="2024-11-12T16:19:43"/>
    <s v="Nov"/>
    <d v="2024-08-29T04:00:00"/>
    <d v="2024-08-30T04:00:00"/>
    <d v="2024-08-30T04:00:00"/>
    <d v="2024-10-31T04:00:00"/>
    <n v="1"/>
    <n v="62"/>
    <n v="63"/>
    <n v="285.61938657407882"/>
    <n v="222.61938657407882"/>
    <n v="0"/>
    <n v="0"/>
    <n v="0"/>
    <n v="111"/>
    <n v="0"/>
    <n v="0"/>
    <n v="0"/>
    <n v="0"/>
    <n v="111"/>
    <n v="174.61938657407882"/>
    <n v="111.61938657407882"/>
    <n v="-15"/>
    <n v="1"/>
  </r>
  <r>
    <s v="Cases &amp; Composites"/>
    <s v="CAS-225844-P3K6X8"/>
    <s v="Jia Chen"/>
    <s v="Complete"/>
    <s v="Resolved"/>
    <s v="2-Routine"/>
    <n v="19"/>
    <s v="24FC348"/>
    <s v="Repair-EA"/>
    <s v="EM"/>
    <s v="PW2000"/>
    <s v="AMO"/>
    <m/>
    <d v="2024-08-29T15:38:18"/>
    <d v="2024-12-16T05:00:00"/>
    <d v="2025-01-08T05:00:00"/>
    <x v="63"/>
    <d v="2025-01-07T17:04:57"/>
    <s v="Jan"/>
    <m/>
    <m/>
    <m/>
    <m/>
    <s v=""/>
    <s v=""/>
    <n v="0"/>
    <n v="130.55673611111706"/>
    <n v="130.55673611111706"/>
    <n v="0"/>
    <n v="0"/>
    <n v="0"/>
    <n v="0"/>
    <n v="0"/>
    <n v="0"/>
    <n v="0"/>
    <n v="0"/>
    <n v="0"/>
    <n v="130.55673611111706"/>
    <n v="130.55673611111706"/>
    <n v="22"/>
    <n v="0"/>
  </r>
  <r>
    <s v="Cases &amp; Composites"/>
    <s v="CAS-234961-C4B3Z1"/>
    <s v="Francisco Astiasaran"/>
    <s v="Complete"/>
    <s v="Resolved"/>
    <s v="2-Routine"/>
    <n v="19"/>
    <s v="25KC066"/>
    <s v="Repair-EA"/>
    <s v="OTC"/>
    <s v="PW4000"/>
    <s v="AMO"/>
    <m/>
    <d v="2024-11-21T14:21:52"/>
    <d v="2025-02-11T05:00:00"/>
    <d v="2025-02-11T05:00:00"/>
    <x v="248"/>
    <d v="2025-02-03T21:54:50"/>
    <m/>
    <m/>
    <m/>
    <m/>
    <m/>
    <s v=""/>
    <s v=""/>
    <n v="0"/>
    <n v="73.609814814815763"/>
    <n v="73.609814814815763"/>
    <n v="0"/>
    <n v="43"/>
    <n v="0"/>
    <n v="0"/>
    <n v="0"/>
    <n v="0"/>
    <n v="0"/>
    <n v="0"/>
    <n v="43"/>
    <n v="30.609814814815763"/>
    <n v="30.609814814815763"/>
    <n v="-8"/>
    <n v="1"/>
  </r>
  <r>
    <s v="Cases &amp; Composites"/>
    <s v="CAS-241303-V4Z5R3"/>
    <s v="Francisco Astiasaran"/>
    <s v="Complete"/>
    <s v="Resolved"/>
    <s v="2-Routine"/>
    <n v="19"/>
    <s v="23CCQ12A"/>
    <s v="Repair-EA"/>
    <s v="OTC"/>
    <s v="PW1000G"/>
    <s v="30K"/>
    <s v="50%"/>
    <d v="2025-01-27T22:18:23"/>
    <d v="2025-02-26T05:00:00"/>
    <d v="2025-02-26T05:00:00"/>
    <x v="47"/>
    <d v="2025-02-19T18:04:59"/>
    <m/>
    <d v="2025-01-28T05:00:00"/>
    <d v="2025-01-29T05:00:00"/>
    <d v="2025-01-29T05:00:00"/>
    <d v="2025-02-16T05:00:00"/>
    <n v="1"/>
    <n v="18"/>
    <n v="19"/>
    <n v="21.278900462966703"/>
    <n v="2.2789004629667033"/>
    <n v="0"/>
    <n v="0"/>
    <n v="0"/>
    <n v="0"/>
    <n v="0"/>
    <n v="0"/>
    <n v="0"/>
    <n v="0"/>
    <n v="0"/>
    <n v="21.278900462966703"/>
    <n v="2.2789004629667033"/>
    <n v="-8"/>
    <n v="1"/>
  </r>
  <r>
    <s v="Cases &amp; Composites"/>
    <s v="CAS-241617-C7J8C1"/>
    <s v="Jia Chen"/>
    <s v="Complete"/>
    <s v="Resolved"/>
    <s v="2-Routine"/>
    <n v="19"/>
    <s v="20KC439A"/>
    <s v="Repair-EA"/>
    <s v="OTC"/>
    <s v="PW4000"/>
    <s v="AMO"/>
    <s v="75%"/>
    <d v="2025-02-05T20:11:34"/>
    <d v="2025-02-25T05:00:00"/>
    <d v="2025-02-25T05:00:00"/>
    <x v="199"/>
    <d v="2025-02-20T20:34:24"/>
    <m/>
    <d v="2025-02-20T05:00:00"/>
    <d v="2025-02-20T05:00:00"/>
    <d v="2025-02-20T05:00:00"/>
    <d v="2025-02-20T05:00:00"/>
    <n v="0"/>
    <n v="0"/>
    <n v="0"/>
    <n v="14.366967592592118"/>
    <n v="14.366967592592118"/>
    <n v="0"/>
    <n v="0"/>
    <n v="0"/>
    <n v="0"/>
    <n v="0"/>
    <n v="0"/>
    <n v="0"/>
    <n v="0"/>
    <n v="0"/>
    <n v="14.366967592592118"/>
    <n v="14.366967592592118"/>
    <n v="-5"/>
    <n v="1"/>
  </r>
  <r>
    <s v="Cases &amp; Composites"/>
    <s v="CAS-242917-K1P0D6"/>
    <s v="Francisco Astiasaran"/>
    <s v="Complete"/>
    <s v="Resolved"/>
    <s v="2-Routine"/>
    <n v="19"/>
    <s v="25CC407"/>
    <s v="Repair-EA"/>
    <s v="OTC"/>
    <s v="PW1000G"/>
    <s v="30K CIPT"/>
    <s v="75%"/>
    <d v="2025-02-12T15:41:02"/>
    <d v="2025-03-14T04:00:00"/>
    <d v="2025-03-14T04:00:00"/>
    <x v="249"/>
    <d v="2025-03-24T12:56:04"/>
    <s v="Mar2025"/>
    <d v="2025-02-25T05:00:00"/>
    <d v="2025-02-27T05:00:00"/>
    <d v="2025-02-27T05:00:00"/>
    <d v="2025-02-27T05:00:00"/>
    <n v="2"/>
    <n v="0"/>
    <n v="2"/>
    <n v="36.513171296290238"/>
    <n v="34.513171296290238"/>
    <n v="0"/>
    <n v="5.9057839467568556"/>
    <n v="0"/>
    <n v="0"/>
    <n v="0"/>
    <n v="0"/>
    <n v="0"/>
    <n v="0"/>
    <n v="5.9057839467568556"/>
    <n v="30.607387349533383"/>
    <n v="28.607387349533383"/>
    <n v="7"/>
    <n v="0"/>
  </r>
  <r>
    <s v="Cases &amp; Composites"/>
    <n v="111336"/>
    <s v="Francisco Astiasaran"/>
    <s v="Complete"/>
    <s v="Closed"/>
    <s v="2-Routine"/>
    <n v="19"/>
    <s v="25FC065"/>
    <s v="Repair-EA"/>
    <s v="OTC"/>
    <s v="PW2000"/>
    <s v="AMO"/>
    <s v="75%"/>
    <d v="2025-02-24T05:00:00"/>
    <d v="2025-04-18T04:00:00"/>
    <d v="2025-04-18T04:00:00"/>
    <x v="250"/>
    <d v="2025-04-22T17:55:41"/>
    <m/>
    <d v="2025-03-28T04:00:00"/>
    <d v="2025-03-28T04:00:00"/>
    <d v="2025-04-01T04:00:00"/>
    <d v="2025-04-08T04:00:00"/>
    <n v="0"/>
    <n v="7"/>
    <n v="7"/>
    <n v="56.958333333328483"/>
    <n v="49.958333333328483"/>
    <n v="0"/>
    <n v="5"/>
    <n v="0"/>
    <n v="0"/>
    <n v="0"/>
    <n v="0"/>
    <n v="0"/>
    <n v="0"/>
    <n v="5"/>
    <n v="51.958333333328483"/>
    <n v="44.958333333328483"/>
    <n v="4"/>
    <n v="0"/>
  </r>
  <r>
    <s v="Cases &amp; Composites"/>
    <s v="CAS-242617-B7W1N8"/>
    <s v="Ferdin Mustafa"/>
    <s v="Complete"/>
    <s v="Resolved"/>
    <s v="2-Routine"/>
    <n v="19"/>
    <s v="25KC258"/>
    <s v="Repair-EA"/>
    <s v="OTC"/>
    <s v="PW4000"/>
    <s v="AMO"/>
    <s v="75%"/>
    <d v="2025-02-10T13:34:50"/>
    <d v="2025-07-18T04:00:00"/>
    <d v="2025-07-31T04:00:00"/>
    <x v="136"/>
    <d v="2025-07-21T18:23:38"/>
    <s v="RSL"/>
    <d v="2025-04-16T04:00:00"/>
    <d v="2025-04-16T04:00:00"/>
    <d v="2025-06-26T04:00:00"/>
    <d v="2025-06-30T04:00:00"/>
    <n v="0"/>
    <n v="4"/>
    <n v="4"/>
    <n v="157.60081018518395"/>
    <n v="153.60081018518395"/>
    <n v="1"/>
    <n v="32"/>
    <n v="0"/>
    <n v="0"/>
    <n v="21"/>
    <n v="0"/>
    <n v="0"/>
    <n v="0"/>
    <n v="54"/>
    <n v="103.60081018518395"/>
    <n v="99.600810185183946"/>
    <n v="0"/>
    <n v="1"/>
  </r>
  <r>
    <s v="Cases &amp; Composites"/>
    <s v="CAS-197438-D0Q5Z6"/>
    <s v="Alexander Page"/>
    <s v="Complete"/>
    <s v="Resolved"/>
    <s v="2-Routine"/>
    <n v="20"/>
    <s v="14CC548A"/>
    <s v="Repair-EA"/>
    <s v="EM"/>
    <s v="PW1000G"/>
    <s v="24K"/>
    <m/>
    <d v="2023-11-06T20:41:47"/>
    <d v="2025-04-03T04:00:00"/>
    <d v="2025-07-18T04:00:00"/>
    <x v="20"/>
    <d v="2025-07-09T15:16:01"/>
    <s v="Jul2025 TIC Inner"/>
    <d v="2024-06-28T04:00:00"/>
    <d v="2024-07-29T04:00:00"/>
    <d v="2024-07-29T04:00:00"/>
    <d v="2024-07-30T04:00:00"/>
    <n v="31"/>
    <n v="1"/>
    <n v="32"/>
    <n v="603.30431712963036"/>
    <n v="571.30431712963036"/>
    <n v="0"/>
    <n v="0"/>
    <n v="0"/>
    <n v="0"/>
    <n v="0"/>
    <n v="0.75999459491140442"/>
    <n v="0"/>
    <n v="0"/>
    <n v="0.75999459491140442"/>
    <n v="602.54432253471896"/>
    <n v="570.54432253471896"/>
    <n v="90"/>
    <n v="0"/>
  </r>
  <r>
    <s v="Cases &amp; Composites"/>
    <s v="CAS-218146-D6N2M2"/>
    <s v="Tyler Abusbah"/>
    <s v="Complete"/>
    <s v="Resolved"/>
    <s v="2-Routine"/>
    <n v="20"/>
    <s v="24CCG87"/>
    <s v="Repair-EA"/>
    <s v="OTC"/>
    <s v="PW1000G"/>
    <s v="24K"/>
    <s v="75%"/>
    <d v="2024-06-14T13:48:24"/>
    <d v="2025-03-06T05:00:00"/>
    <d v="2025-05-13T04:00:00"/>
    <x v="17"/>
    <d v="2025-04-28T12:51:49"/>
    <s v="LPC 2ND STAGE STATOR CASE ASSEMBLY - REAR FLANGE BOLT HOLE, BLEND REPAIR Apr2025"/>
    <d v="2024-07-25T04:00:00"/>
    <d v="2024-07-31T04:00:00"/>
    <d v="2024-07-31T04:00:00"/>
    <d v="2024-12-23T05:00:00"/>
    <n v="6"/>
    <n v="145.04166666667152"/>
    <n v="151.04166666667152"/>
    <n v="314.59138888888992"/>
    <n v="163.54972222221841"/>
    <n v="2.758059756939474"/>
    <n v="0"/>
    <n v="0"/>
    <n v="0"/>
    <n v="0"/>
    <n v="0"/>
    <n v="0"/>
    <n v="0"/>
    <n v="2.758059756939474"/>
    <n v="311.83332913195045"/>
    <n v="160.79166246527893"/>
    <n v="49.958333333328483"/>
    <n v="0"/>
  </r>
  <r>
    <s v="Cases &amp; Composites"/>
    <s v="CAS-220562-P7Q7N8"/>
    <s v="Bruce Zoyaar"/>
    <s v="Complete"/>
    <s v="Resolved"/>
    <s v="2-Routine"/>
    <n v="20"/>
    <s v="24KC717"/>
    <s v="Repair-EA"/>
    <s v="OTC"/>
    <s v="PW4000"/>
    <s v="AMO"/>
    <s v="50%"/>
    <d v="2024-07-09T18:25:22"/>
    <d v="2025-02-24T05:00:00"/>
    <d v="2025-03-24T04:00:00"/>
    <x v="84"/>
    <d v="2025-01-17T21:42:49"/>
    <m/>
    <d v="2024-10-02T04:00:00"/>
    <d v="2024-11-21T05:00:00"/>
    <d v="2024-11-21T05:00:00"/>
    <d v="2024-12-17T05:00:00"/>
    <n v="50.041666666671517"/>
    <n v="26"/>
    <n v="76.041666666671517"/>
    <n v="191.44071759259532"/>
    <n v="115.3990509259238"/>
    <n v="0"/>
    <n v="5"/>
    <n v="0"/>
    <n v="73"/>
    <n v="0"/>
    <n v="33"/>
    <n v="0"/>
    <n v="0"/>
    <n v="111"/>
    <n v="80.44071759259532"/>
    <n v="4.3990509259238024"/>
    <n v="-38"/>
    <n v="1"/>
  </r>
  <r>
    <s v="Cases &amp; Composites"/>
    <n v="108089"/>
    <s v="Jia Chen"/>
    <s v="Complete"/>
    <s v="Closed"/>
    <s v="2-Routine"/>
    <n v="20"/>
    <s v="24FC315"/>
    <s v="Repair-EA"/>
    <s v="OTC"/>
    <s v="PW2000"/>
    <s v="AMO"/>
    <s v="75%"/>
    <d v="2024-09-03T04:00:00"/>
    <d v="2024-11-12T05:00:00"/>
    <d v="2024-11-12T05:00:00"/>
    <x v="251"/>
    <d v="2024-11-06T15:26:27"/>
    <s v="Nov"/>
    <d v="2024-10-04T04:00:00"/>
    <d v="2024-10-09T04:00:00"/>
    <d v="2024-10-09T04:00:00"/>
    <d v="2024-10-15T04:00:00"/>
    <n v="5"/>
    <n v="6"/>
    <n v="11"/>
    <n v="63.041666666671517"/>
    <n v="52.041666666671517"/>
    <n v="4"/>
    <n v="0"/>
    <n v="0"/>
    <n v="0"/>
    <n v="0"/>
    <n v="0"/>
    <n v="0"/>
    <n v="0"/>
    <n v="4"/>
    <n v="59.041666666671517"/>
    <n v="48.041666666671517"/>
    <n v="-7"/>
    <n v="1"/>
  </r>
  <r>
    <s v="Cases &amp; Composites"/>
    <s v="CAS-231628-F2X9G4"/>
    <s v="Brian K Holland"/>
    <s v="Complete"/>
    <s v="Resolved"/>
    <s v="2-Routine"/>
    <n v="20"/>
    <s v="24KC680"/>
    <s v="Repair-EA"/>
    <s v="EM"/>
    <s v="PW4000"/>
    <s v="AMO"/>
    <s v="75%"/>
    <d v="2024-10-22T11:36:43"/>
    <d v="2024-12-11T05:00:00"/>
    <d v="2024-12-11T05:00:00"/>
    <x v="252"/>
    <d v="2024-11-20T18:12:45"/>
    <m/>
    <m/>
    <m/>
    <m/>
    <m/>
    <s v=""/>
    <s v=""/>
    <n v="0"/>
    <n v="28.724502314820711"/>
    <n v="28.724502314820711"/>
    <n v="0"/>
    <n v="0"/>
    <n v="0"/>
    <n v="0"/>
    <n v="0"/>
    <n v="0"/>
    <n v="0"/>
    <n v="0"/>
    <n v="0"/>
    <n v="28.724502314820711"/>
    <n v="28.724502314820711"/>
    <n v="-21"/>
    <n v="1"/>
  </r>
  <r>
    <s v="Cases &amp; Composites"/>
    <s v="CAS-235323-N9M4X8"/>
    <s v="Francisco Astiasaran"/>
    <s v="Complete"/>
    <s v="Resolved"/>
    <s v="2-Routine"/>
    <n v="20"/>
    <s v="25KC005"/>
    <s v="Repair-EA"/>
    <s v="EM"/>
    <s v="PW4000"/>
    <s v="AMO"/>
    <s v="50%"/>
    <d v="2024-11-25T20:05:56"/>
    <d v="2025-01-29T05:00:00"/>
    <d v="2025-03-07T05:00:00"/>
    <x v="253"/>
    <d v="2025-03-10T15:07:46"/>
    <s v="Revise rep-24 to allow for using detail 55D064 (Nomex wedge) on older designs"/>
    <m/>
    <m/>
    <m/>
    <m/>
    <s v=""/>
    <s v=""/>
    <n v="0"/>
    <n v="104.32921296296263"/>
    <n v="104.32921296296263"/>
    <n v="0"/>
    <n v="0"/>
    <n v="0"/>
    <n v="0"/>
    <n v="0"/>
    <n v="0"/>
    <n v="0"/>
    <n v="0"/>
    <n v="0"/>
    <n v="104.32921296296263"/>
    <n v="104.32921296296263"/>
    <n v="39.958333333328483"/>
    <n v="0"/>
  </r>
  <r>
    <s v="Cases &amp; Composites"/>
    <s v="CAS-233056-Q1C1R7"/>
    <s v="Ferdin Mustafa"/>
    <s v="Complete"/>
    <s v="Resolved"/>
    <s v="2-Routine"/>
    <n v="20"/>
    <s v="25KC062"/>
    <s v="Repair-EA"/>
    <s v="OTC"/>
    <s v="PW4000"/>
    <s v="AMO"/>
    <s v="50%"/>
    <d v="2024-11-05T10:33:57"/>
    <d v="2025-03-05T05:00:00"/>
    <d v="2025-05-30T04:00:00"/>
    <x v="244"/>
    <d v="2025-06-02T02:31:23"/>
    <s v="May2025"/>
    <d v="2025-01-24T05:00:00"/>
    <d v="2025-01-24T05:00:00"/>
    <d v="2025-01-24T05:00:00"/>
    <d v="2025-03-05T05:00:00"/>
    <n v="0"/>
    <n v="40"/>
    <n v="40"/>
    <n v="204.72642361110775"/>
    <n v="164.72642361110775"/>
    <n v="0"/>
    <n v="26"/>
    <n v="0"/>
    <n v="0"/>
    <n v="0"/>
    <n v="0"/>
    <n v="0"/>
    <n v="0"/>
    <n v="26"/>
    <n v="178.72642361110775"/>
    <n v="138.72642361110775"/>
    <n v="84.958333333328483"/>
    <n v="0"/>
  </r>
  <r>
    <s v="Cases &amp; Composites"/>
    <s v="CAS-238784-G6K5X7"/>
    <s v="Francisco Astiasaran"/>
    <s v="Complete"/>
    <s v="Resolved"/>
    <s v="2-Routine"/>
    <n v="20"/>
    <s v="25CC013"/>
    <s v="Repair-EA"/>
    <s v="OTC"/>
    <s v="PW1000G"/>
    <s v="24K"/>
    <s v="75%"/>
    <d v="2025-01-03T18:55:51"/>
    <d v="2025-02-07T05:00:00"/>
    <d v="2025-02-07T05:00:00"/>
    <x v="240"/>
    <d v="2025-02-10T14:30:39"/>
    <m/>
    <m/>
    <m/>
    <m/>
    <m/>
    <s v=""/>
    <s v=""/>
    <n v="0"/>
    <n v="34.419548611112987"/>
    <n v="34.419548611112987"/>
    <n v="0"/>
    <n v="0"/>
    <n v="0"/>
    <n v="0"/>
    <n v="0"/>
    <n v="0"/>
    <n v="0"/>
    <n v="0"/>
    <n v="0"/>
    <n v="34.419548611112987"/>
    <n v="34.419548611112987"/>
    <n v="0"/>
    <n v="1"/>
  </r>
  <r>
    <s v="Cases &amp; Composites"/>
    <s v="CAS-236948-F1Z4V5"/>
    <s v="Tyler Abusbah"/>
    <s v="Complete"/>
    <s v="Active"/>
    <s v="2-Routine"/>
    <n v="20"/>
    <s v="25KC056"/>
    <s v="Repair-EA"/>
    <s v="OTC"/>
    <s v="PW4000"/>
    <s v="AMO"/>
    <s v="50%"/>
    <d v="2024-12-12T14:03:01"/>
    <d v="2025-04-28T04:00:00"/>
    <d v="2025-05-12T04:00:00"/>
    <x v="254"/>
    <d v="2025-04-07T16:26:04"/>
    <s v="Apr2025"/>
    <d v="2025-03-14T04:00:00"/>
    <d v="2025-03-14T04:00:00"/>
    <d v="2025-03-14T04:00:00"/>
    <d v="2025-03-31T04:00:00"/>
    <n v="0"/>
    <n v="17"/>
    <n v="17"/>
    <n v="115.58123842592613"/>
    <n v="98.581238425926131"/>
    <n v="14"/>
    <n v="0"/>
    <n v="0"/>
    <n v="0"/>
    <n v="0"/>
    <n v="0"/>
    <n v="0"/>
    <n v="0"/>
    <n v="14"/>
    <n v="101.58123842592613"/>
    <n v="84.581238425926131"/>
    <n v="-21"/>
    <n v="1"/>
  </r>
  <r>
    <s v="Cases &amp; Composites"/>
    <s v="CAS-241093-F9C6H5"/>
    <s v="Francisco Astiasaran"/>
    <s v="Complete"/>
    <s v="Resolved"/>
    <s v="2-Routine"/>
    <n v="20"/>
    <s v="15CCH20N"/>
    <s v="Repair-EA"/>
    <s v="EM"/>
    <s v="PW1000G"/>
    <s v="30K"/>
    <s v="75%"/>
    <d v="2025-01-24T20:11:26"/>
    <d v="2025-02-14T05:00:00"/>
    <d v="2025-02-14T05:00:00"/>
    <x v="255"/>
    <d v="2025-02-20T15:14:00"/>
    <m/>
    <m/>
    <m/>
    <m/>
    <m/>
    <s v=""/>
    <s v=""/>
    <n v="0"/>
    <n v="25.367060185184528"/>
    <n v="25.367060185184528"/>
    <n v="0"/>
    <n v="0"/>
    <n v="0"/>
    <n v="0"/>
    <n v="0"/>
    <n v="0"/>
    <n v="0"/>
    <n v="0"/>
    <n v="0"/>
    <n v="25.367060185184528"/>
    <n v="25.367060185184528"/>
    <n v="5"/>
    <n v="0"/>
  </r>
  <r>
    <s v="Cases &amp; Composites"/>
    <s v="CAS-237062-Z0G8J6"/>
    <s v="Alexander Page"/>
    <s v="Complete"/>
    <s v="Resolved"/>
    <s v="2-Routine"/>
    <n v="20"/>
    <s v="25KC147"/>
    <s v="Repair-EA"/>
    <s v="OTC"/>
    <s v="PW4000"/>
    <s v="AMO"/>
    <s v="75%"/>
    <d v="2024-12-12T15:02:35"/>
    <d v="2025-05-23T04:00:00"/>
    <d v="2025-06-13T04:00:00"/>
    <x v="256"/>
    <d v="2025-06-04T18:41:59"/>
    <s v="Jun2025"/>
    <d v="2025-03-27T04:00:00"/>
    <d v="2025-03-27T04:00:00"/>
    <d v="2025-03-28T04:00:00"/>
    <d v="2025-04-22T04:00:00"/>
    <n v="0"/>
    <n v="25"/>
    <n v="25"/>
    <n v="173.5398726851854"/>
    <n v="148.5398726851854"/>
    <n v="0"/>
    <n v="0"/>
    <n v="0"/>
    <n v="0"/>
    <n v="0"/>
    <n v="0"/>
    <n v="0"/>
    <n v="0"/>
    <n v="0"/>
    <n v="173.5398726851854"/>
    <n v="148.5398726851854"/>
    <n v="12"/>
    <n v="0"/>
  </r>
  <r>
    <s v="Cases &amp; Composites"/>
    <s v="CAS-218476-L6P7M5"/>
    <s v="Jia Chen"/>
    <s v="Complete"/>
    <s v="Resolved"/>
    <s v="2-Routine"/>
    <n v="21"/>
    <s v="24KC406"/>
    <s v="Repair-EA"/>
    <s v="OTC"/>
    <s v="PW4000"/>
    <s v="AMO"/>
    <s v="75%"/>
    <d v="2024-06-18T19:20:23"/>
    <d v="2024-10-29T04:00:00"/>
    <d v="2024-11-07T05:00:00"/>
    <x v="212"/>
    <d v="2024-11-04T18:37:54"/>
    <s v="Nov"/>
    <d v="2024-07-25T04:00:00"/>
    <d v="2024-08-14T04:00:00"/>
    <d v="2024-08-14T04:00:00"/>
    <d v="2024-08-14T04:00:00"/>
    <n v="20"/>
    <n v="0"/>
    <n v="20"/>
    <n v="138.40251157407329"/>
    <n v="118.40251157407329"/>
    <n v="7"/>
    <n v="0"/>
    <n v="0"/>
    <n v="0"/>
    <n v="0"/>
    <n v="0"/>
    <n v="0"/>
    <n v="0"/>
    <n v="7"/>
    <n v="131.40251157407329"/>
    <n v="111.40251157407329"/>
    <n v="6.0416666666715173"/>
    <n v="0"/>
  </r>
  <r>
    <s v="Cases &amp; Composites"/>
    <s v="CAS-217588-R9X6X1"/>
    <s v="Jia Chen"/>
    <s v="Complete"/>
    <s v="Resolved"/>
    <s v="2-Routine"/>
    <n v="21"/>
    <s v="23KC614A"/>
    <s v="Repair-EA"/>
    <s v="OTC"/>
    <s v="PW4000"/>
    <s v="AMO"/>
    <s v="75%"/>
    <d v="2024-06-10T15:51:00"/>
    <d v="2024-10-10T04:00:00"/>
    <d v="2024-10-17T04:00:00"/>
    <x v="257"/>
    <d v="2024-10-15T16:58:06"/>
    <s v="Oct"/>
    <d v="2024-09-09T04:00:00"/>
    <d v="2024-09-12T04:00:00"/>
    <d v="2024-09-12T04:00:00"/>
    <d v="2024-09-23T04:00:00"/>
    <n v="3"/>
    <n v="11"/>
    <n v="14"/>
    <n v="126.50624999999854"/>
    <n v="112.50624999999854"/>
    <n v="39"/>
    <n v="0"/>
    <n v="0"/>
    <n v="0"/>
    <n v="0"/>
    <n v="0"/>
    <n v="0"/>
    <n v="0"/>
    <n v="39"/>
    <n v="87.506249999998545"/>
    <n v="73.506249999998545"/>
    <n v="5"/>
    <n v="0"/>
  </r>
  <r>
    <s v="Cases &amp; Composites"/>
    <n v="108235"/>
    <s v="Robert Thompson"/>
    <s v="Complete"/>
    <s v="Closed"/>
    <s v="2-Routine"/>
    <n v="21"/>
    <s v="24FC342"/>
    <s v="Repair-EA"/>
    <s v="OTC"/>
    <s v="PW2000"/>
    <s v="AMO"/>
    <m/>
    <d v="2024-09-10T04:00:00"/>
    <d v="2024-11-05T05:00:00"/>
    <d v="2024-11-05T05:00:00"/>
    <x v="258"/>
    <d v="2024-11-12T14:03:29"/>
    <m/>
    <m/>
    <m/>
    <m/>
    <m/>
    <s v=""/>
    <s v=""/>
    <n v="0"/>
    <n v="62.041666666671517"/>
    <n v="62.041666666671517"/>
    <n v="0"/>
    <n v="0"/>
    <n v="0"/>
    <n v="0"/>
    <n v="0"/>
    <n v="0"/>
    <n v="0"/>
    <n v="0"/>
    <n v="0"/>
    <n v="62.041666666671517"/>
    <n v="62.041666666671517"/>
    <n v="6"/>
    <n v="0"/>
  </r>
  <r>
    <s v="Cases &amp; Composites"/>
    <s v="CAS-242105-L9H8G4"/>
    <s v="Francisco Astiasaran"/>
    <s v="Complete"/>
    <s v="Resolved"/>
    <s v="2-Routine"/>
    <n v="21"/>
    <s v="22KC329E"/>
    <s v="Repair-EA"/>
    <s v="EM"/>
    <s v="PW4000"/>
    <s v="AMO"/>
    <s v="50%"/>
    <d v="2025-02-05T11:58:42"/>
    <d v="2025-03-28T04:00:00"/>
    <d v="2025-06-20T04:00:00"/>
    <x v="150"/>
    <d v="2025-06-19T14:47:36"/>
    <s v="Jun2025"/>
    <m/>
    <m/>
    <m/>
    <m/>
    <s v=""/>
    <s v=""/>
    <n v="0"/>
    <n v="133.66756944444205"/>
    <n v="133.66756944444205"/>
    <n v="0"/>
    <n v="0"/>
    <n v="0"/>
    <n v="0"/>
    <n v="0"/>
    <n v="0"/>
    <n v="0"/>
    <n v="0"/>
    <n v="0"/>
    <n v="133.66756944444205"/>
    <n v="133.66756944444205"/>
    <n v="83"/>
    <n v="0"/>
  </r>
  <r>
    <s v="Cases &amp; Composites"/>
    <s v="CAS-241830-D6H4S7"/>
    <s v="Tyler Abusbah"/>
    <s v="Complete"/>
    <s v="Resolved"/>
    <s v="2-Routine"/>
    <n v="21"/>
    <s v="14CCQ28A"/>
    <s v="Repair-EA"/>
    <s v="MR"/>
    <s v="PW1000G"/>
    <s v="24K"/>
    <s v="75%"/>
    <d v="2025-02-03T13:38:21"/>
    <d v="2025-03-19T04:00:00"/>
    <d v="2025-06-03T04:00:00"/>
    <x v="259"/>
    <d v="2025-05-27T13:40:24"/>
    <m/>
    <d v="2025-02-27T05:00:00"/>
    <d v="2025-02-27T05:00:00"/>
    <d v="2025-02-27T05:00:00"/>
    <d v="2025-03-03T05:00:00"/>
    <n v="0"/>
    <n v="4"/>
    <n v="4"/>
    <n v="108.59836805555096"/>
    <n v="104.59836805555096"/>
    <n v="0"/>
    <n v="0"/>
    <n v="0"/>
    <n v="0"/>
    <n v="0"/>
    <n v="0"/>
    <n v="0"/>
    <n v="0"/>
    <n v="0"/>
    <n v="108.59836805555096"/>
    <n v="104.59836805555096"/>
    <n v="65"/>
    <n v="0"/>
  </r>
  <r>
    <s v="Cases &amp; Composites"/>
    <s v="CAS-243955-X4Q8Y4"/>
    <s v="Tyler Abusbah"/>
    <s v="Complete"/>
    <s v="Resolved"/>
    <s v="2-Routine"/>
    <n v="21"/>
    <s v="25CC875"/>
    <s v="Repair-EA"/>
    <s v="OTC"/>
    <s v="PW1000G"/>
    <s v="30K"/>
    <s v="75%"/>
    <d v="2025-02-21T15:41:44"/>
    <d v="2025-06-11T04:00:00"/>
    <d v="2025-07-11T04:00:00"/>
    <x v="150"/>
    <d v="2025-06-19T18:42:24"/>
    <s v="Jun2025 - NO. 4 BEARING CASE ASSEMBLY, TIC INNER - PISTON SEAL GROOVE SECTION REPLACEMENT (MR22CCD52D) LIMIT EXTENSION"/>
    <d v="2025-05-22T04:00:00"/>
    <d v="2025-05-23T04:00:00"/>
    <d v="2025-05-27T04:00:00"/>
    <d v="2025-06-10T04:00:00"/>
    <n v="1"/>
    <n v="14"/>
    <n v="15"/>
    <n v="117.51268518518191"/>
    <n v="102.51268518518191"/>
    <n v="29.132429606477672"/>
    <n v="0"/>
    <n v="0"/>
    <n v="0"/>
    <n v="0"/>
    <n v="0"/>
    <n v="0"/>
    <n v="0"/>
    <n v="29.132429606477672"/>
    <n v="88.380255578704237"/>
    <n v="73.380255578704237"/>
    <n v="8"/>
    <n v="0"/>
  </r>
  <r>
    <s v="Cases &amp; Composites"/>
    <s v="CAS-250804-X1Q6W5"/>
    <s v="Francisco Astiasaran"/>
    <s v="Complete"/>
    <s v="Resolved"/>
    <s v="2-Routine"/>
    <n v="21"/>
    <s v="25CCE98"/>
    <s v="Repair-EA"/>
    <s v="OTC"/>
    <s v="PW1000G"/>
    <s v="30K"/>
    <s v="75%"/>
    <d v="2025-04-29T17:25:41"/>
    <d v="2025-08-01T04:00:00"/>
    <d v="2025-07-31T04:00:00"/>
    <x v="260"/>
    <d v="2025-07-31T12:11:09"/>
    <s v="Jul2025"/>
    <d v="2025-06-18T04:00:00"/>
    <d v="2025-06-20T04:00:00"/>
    <m/>
    <d v="2025-06-20T04:00:00"/>
    <n v="2"/>
    <s v=""/>
    <n v="2"/>
    <n v="91.440497685180162"/>
    <n v="89.440497685180162"/>
    <n v="0"/>
    <n v="6.7693425231482252"/>
    <n v="0"/>
    <n v="0"/>
    <n v="0"/>
    <n v="0"/>
    <n v="0"/>
    <n v="0"/>
    <n v="6.7693425231482252"/>
    <n v="84.671155162031937"/>
    <n v="82.671155162031937"/>
    <n v="-2"/>
    <n v="1"/>
  </r>
  <r>
    <s v="Cases &amp; Composites"/>
    <s v="CAS-211841-Y5G5F0"/>
    <s v="Francisco Astiasaran"/>
    <s v="Complete"/>
    <s v="Resolved"/>
    <s v="2-Routine"/>
    <n v="22"/>
    <s v="23KC414A"/>
    <s v="Repair-EA"/>
    <s v="Discretionary"/>
    <s v="PW4000"/>
    <s v="AMO"/>
    <m/>
    <d v="2024-04-09T15:00:11"/>
    <d v="2024-07-12T04:00:00"/>
    <d v="2025-03-21T04:00:00"/>
    <x v="261"/>
    <d v="2025-03-17T13:30:39"/>
    <s v="Mar2025"/>
    <d v="2024-10-17T04:00:00"/>
    <d v="2025-02-26T05:00:00"/>
    <d v="2025-02-26T05:00:00"/>
    <d v="2025-02-28T05:00:00"/>
    <n v="132.04166666667152"/>
    <n v="2"/>
    <n v="134.04166666667152"/>
    <n v="337.54153935184877"/>
    <n v="203.49987268517725"/>
    <n v="0"/>
    <n v="0"/>
    <n v="0"/>
    <n v="0"/>
    <n v="0"/>
    <n v="70"/>
    <n v="0"/>
    <n v="154"/>
    <n v="224"/>
    <n v="113.54153935184877"/>
    <n v="-20.500127314822748"/>
    <n v="244"/>
    <n v="0"/>
  </r>
  <r>
    <s v="Cases &amp; Composites"/>
    <s v="CAS-223623-Z5Q6J2"/>
    <s v="Brian K Holland"/>
    <s v="Complete"/>
    <s v="Resolved"/>
    <s v="2-Routine"/>
    <n v="22"/>
    <s v="24KC573"/>
    <s v="Repair-EA"/>
    <s v="OTC"/>
    <s v="PW4000"/>
    <s v="AMO"/>
    <m/>
    <d v="2024-08-07T19:50:04"/>
    <d v="2024-11-08T05:00:00"/>
    <d v="2024-11-08T05:00:00"/>
    <x v="262"/>
    <d v="2024-11-12T14:45:25"/>
    <m/>
    <m/>
    <m/>
    <m/>
    <m/>
    <s v=""/>
    <s v=""/>
    <n v="0"/>
    <n v="92.381898148152686"/>
    <n v="92.381898148152686"/>
    <n v="0"/>
    <n v="0"/>
    <n v="0"/>
    <n v="0"/>
    <n v="0"/>
    <n v="0"/>
    <n v="0"/>
    <n v="0"/>
    <n v="0"/>
    <n v="92.381898148152686"/>
    <n v="92.381898148152686"/>
    <n v="0"/>
    <n v="1"/>
  </r>
  <r>
    <s v="Cases &amp; Composites"/>
    <n v="107426"/>
    <s v="Jia Chen"/>
    <s v="Complete"/>
    <s v="Closed"/>
    <s v="2-Routine"/>
    <n v="22"/>
    <s v="24FC336"/>
    <s v="Repair-EA"/>
    <s v="OTC"/>
    <s v="PW2000"/>
    <s v="AMO"/>
    <s v="75%"/>
    <d v="2024-08-05T04:00:00"/>
    <d v="2025-02-26T05:00:00"/>
    <d v="2025-02-26T05:00:00"/>
    <x v="181"/>
    <d v="2025-01-15T21:07:55"/>
    <s v="Jan"/>
    <d v="2024-12-11T05:00:00"/>
    <d v="2024-12-16T05:00:00"/>
    <d v="2024-12-16T05:00:00"/>
    <d v="2025-01-03T05:00:00"/>
    <n v="5"/>
    <n v="18"/>
    <n v="23"/>
    <n v="163.04166666667152"/>
    <n v="140.04166666667152"/>
    <n v="9"/>
    <n v="0"/>
    <n v="0"/>
    <n v="0"/>
    <n v="0"/>
    <n v="0"/>
    <n v="0"/>
    <n v="0"/>
    <n v="9"/>
    <n v="154.04166666667152"/>
    <n v="131.04166666667152"/>
    <n v="-42"/>
    <n v="1"/>
  </r>
  <r>
    <s v="Cases &amp; Composites"/>
    <s v="CAS-236766-H3Z3H0"/>
    <s v="Alexander Page"/>
    <s v="Complete"/>
    <s v="Resolved"/>
    <s v="2-Routine"/>
    <n v="22"/>
    <s v="25KC093"/>
    <s v="Repair-EA"/>
    <s v="OTC"/>
    <s v="PW4000"/>
    <s v="AMO"/>
    <s v="75%"/>
    <d v="2024-12-10T19:17:40"/>
    <d v="2025-05-22T04:00:00"/>
    <d v="2025-04-30T04:00:00"/>
    <x v="254"/>
    <d v="2025-04-08T12:59:16"/>
    <s v="OUTER DIFFUSER CASE ASSEMBLY - BORESCOPE BOSS FACE - SKIM MACHINE REPAIR, EA17KC562 DEVIATION apr2025"/>
    <d v="2025-03-07T05:00:00"/>
    <d v="2025-03-07T05:00:00"/>
    <d v="2025-03-07T05:00:00"/>
    <d v="2025-03-27T04:00:00"/>
    <n v="0"/>
    <n v="19.958333333328483"/>
    <n v="19.958333333328483"/>
    <n v="117.3627314814803"/>
    <n v="97.404398148151813"/>
    <n v="12"/>
    <n v="0"/>
    <n v="0"/>
    <n v="0"/>
    <n v="0"/>
    <n v="0"/>
    <n v="0"/>
    <n v="0"/>
    <n v="12"/>
    <n v="105.3627314814803"/>
    <n v="85.404398148151813"/>
    <n v="-45"/>
    <n v="1"/>
  </r>
  <r>
    <s v="Cases &amp; Composites"/>
    <s v="CAS-241717-P5L9H1"/>
    <s v="Alexander Page"/>
    <s v="Complete"/>
    <s v="Resolved"/>
    <s v="2-Routine"/>
    <n v="22"/>
    <s v="25KC130"/>
    <s v="Repair-EA"/>
    <s v="OTC"/>
    <s v="PW4000"/>
    <s v="AMO"/>
    <s v="50%"/>
    <d v="2025-01-31T20:01:02"/>
    <d v="2025-07-01T04:00:00"/>
    <d v="2025-06-20T04:00:00"/>
    <x v="48"/>
    <d v="2025-06-09T19:45:30"/>
    <s v="Jun2025 DIFFUSER CASE ASSEMBLY - AFT FLANGE INNER CASE WALL - BLEND REPAIR june2026"/>
    <d v="2025-05-19T04:00:00"/>
    <d v="2025-05-19T04:00:00"/>
    <d v="2025-05-19T04:00:00"/>
    <d v="2025-05-19T04:00:00"/>
    <n v="0"/>
    <n v="0"/>
    <n v="0"/>
    <n v="128.33261574073549"/>
    <n v="128.33261574073549"/>
    <n v="10"/>
    <n v="5"/>
    <n v="0"/>
    <n v="0"/>
    <n v="0"/>
    <n v="0"/>
    <n v="0"/>
    <n v="0"/>
    <n v="15"/>
    <n v="113.33261574073549"/>
    <n v="113.33261574073549"/>
    <n v="-22"/>
    <n v="1"/>
  </r>
  <r>
    <s v="Cases &amp; Composites"/>
    <s v="CAS-249956-F1G7N2"/>
    <s v="Francisco Astiasaran"/>
    <s v="Complete"/>
    <s v="Resolved"/>
    <s v="2-Routine"/>
    <n v="22"/>
    <s v="25CC937"/>
    <s v="Repair-EA"/>
    <s v="OTC"/>
    <s v="PW1000G"/>
    <s v="24K CIPT"/>
    <s v="75%"/>
    <d v="2025-04-21T12:35:02"/>
    <d v="2025-04-30T04:00:00"/>
    <d v="2025-04-30T04:00:00"/>
    <x v="201"/>
    <d v="2025-04-30T11:56:17"/>
    <m/>
    <m/>
    <m/>
    <m/>
    <m/>
    <s v=""/>
    <s v=""/>
    <n v="0"/>
    <n v="8.6423379629632109"/>
    <n v="8.6423379629632109"/>
    <n v="0"/>
    <n v="0"/>
    <n v="0"/>
    <n v="0"/>
    <n v="0"/>
    <n v="0"/>
    <n v="0"/>
    <n v="0"/>
    <n v="0"/>
    <n v="8.6423379629632109"/>
    <n v="8.6423379629632109"/>
    <n v="0"/>
    <n v="1"/>
  </r>
  <r>
    <s v="Cases &amp; Composites"/>
    <s v="CAS-250691-C2P6V8"/>
    <s v="Francisco Astiasaran"/>
    <s v="Complete"/>
    <s v="Resolved"/>
    <s v="2-Routine"/>
    <n v="22"/>
    <s v="25CCA13"/>
    <s v="Repair-EA"/>
    <s v="OTC"/>
    <s v="PW1000G"/>
    <s v="24K CIPT"/>
    <s v="75%"/>
    <d v="2025-04-28T20:11:38"/>
    <d v="2025-05-15T04:00:00"/>
    <d v="2025-05-15T04:00:00"/>
    <x v="263"/>
    <d v="2025-05-14T12:10:26"/>
    <s v="May2025"/>
    <m/>
    <m/>
    <m/>
    <m/>
    <s v=""/>
    <s v=""/>
    <n v="0"/>
    <n v="14.325254629628034"/>
    <n v="14.325254629628034"/>
    <n v="0"/>
    <n v="0"/>
    <n v="0"/>
    <n v="0"/>
    <n v="0"/>
    <n v="0"/>
    <n v="0"/>
    <n v="0"/>
    <n v="0"/>
    <n v="14.325254629628034"/>
    <n v="14.325254629628034"/>
    <n v="-2"/>
    <n v="1"/>
  </r>
  <r>
    <s v="Cases &amp; Composites"/>
    <s v="CAS-224334-J6Z0T5"/>
    <s v="Jia Chen"/>
    <s v="Complete"/>
    <s v="Resolved"/>
    <s v="2-Routine"/>
    <n v="23"/>
    <s v="24KC597"/>
    <s v="Repair-EA"/>
    <s v="OTC"/>
    <s v="PW4000"/>
    <s v="AMO"/>
    <s v="75%"/>
    <d v="2024-08-14T20:02:17"/>
    <d v="2025-01-16T05:00:00"/>
    <d v="2025-02-20T05:00:00"/>
    <x v="222"/>
    <d v="2025-02-03T19:56:55"/>
    <m/>
    <d v="2024-11-19T05:00:00"/>
    <d v="2024-12-06T05:00:00"/>
    <d v="2024-12-06T05:00:00"/>
    <d v="2024-12-11T05:00:00"/>
    <n v="17"/>
    <n v="5"/>
    <n v="22"/>
    <n v="169.37341435185226"/>
    <n v="147.37341435185226"/>
    <n v="0"/>
    <n v="0"/>
    <n v="0"/>
    <n v="0"/>
    <n v="0"/>
    <n v="0"/>
    <n v="0"/>
    <n v="0"/>
    <n v="0"/>
    <n v="169.37341435185226"/>
    <n v="147.37341435185226"/>
    <n v="15"/>
    <n v="0"/>
  </r>
  <r>
    <s v="Cases &amp; Composites"/>
    <s v="CAS-236764-S7Z9R0"/>
    <s v="Tyler Abusbah"/>
    <s v="Complete"/>
    <s v="Resolved"/>
    <s v="2-Routine"/>
    <n v="23"/>
    <s v="25KC116"/>
    <s v="Repair-EA"/>
    <s v="OTC"/>
    <s v="PW4000"/>
    <s v="AMO"/>
    <s v="75%"/>
    <d v="2024-12-10T19:12:00"/>
    <d v="2025-05-28T04:00:00"/>
    <d v="2025-05-28T04:00:00"/>
    <x v="201"/>
    <d v="2025-04-30T14:36:20"/>
    <s v="Apr2025"/>
    <d v="2025-03-25T04:00:00"/>
    <d v="2025-03-25T04:00:00"/>
    <d v="2025-03-25T04:00:00"/>
    <d v="2025-04-24T04:00:00"/>
    <n v="0"/>
    <n v="30"/>
    <n v="30"/>
    <n v="140.36666666666133"/>
    <n v="110.36666666666133"/>
    <n v="39"/>
    <n v="0"/>
    <n v="0"/>
    <n v="0"/>
    <n v="0"/>
    <n v="0"/>
    <n v="0"/>
    <n v="0"/>
    <n v="39"/>
    <n v="101.36666666666133"/>
    <n v="71.366666666661331"/>
    <n v="-28"/>
    <n v="1"/>
  </r>
  <r>
    <s v="Cases &amp; Composites"/>
    <s v="CAS-253030-L4D5M7"/>
    <s v="Ferdin Mustafa"/>
    <s v="Complete"/>
    <s v="Resolved"/>
    <s v="2-Routine"/>
    <n v="23"/>
    <s v="16CC311C"/>
    <s v="Repair-EA"/>
    <s v="MR"/>
    <s v="PW1000G"/>
    <s v="30K"/>
    <s v="75%"/>
    <d v="2025-05-21T11:07:48"/>
    <d v="2026-06-30T04:00:00"/>
    <d v="2025-06-30T04:00:00"/>
    <x v="150"/>
    <d v="2025-06-26T19:34:10"/>
    <s v="Jun2025"/>
    <m/>
    <m/>
    <m/>
    <m/>
    <s v=""/>
    <s v=""/>
    <n v="0"/>
    <n v="28.702916666661622"/>
    <n v="28.702916666661622"/>
    <n v="0"/>
    <n v="0"/>
    <n v="0"/>
    <n v="0"/>
    <n v="0"/>
    <n v="0"/>
    <n v="0"/>
    <n v="0"/>
    <n v="0"/>
    <n v="28.702916666661622"/>
    <n v="28.702916666661622"/>
    <n v="-376"/>
    <n v="1"/>
  </r>
  <r>
    <s v="Cases &amp; Composites"/>
    <s v="CAS-253850-X8Z7H2"/>
    <s v="Francisco Astiasaran"/>
    <s v="Complete"/>
    <s v="Resolved"/>
    <s v="2-Routine"/>
    <n v="23"/>
    <s v="25CCE88"/>
    <s v="Repair-EA"/>
    <s v="OTC"/>
    <s v="PW1000G"/>
    <s v="AMO"/>
    <s v="50%"/>
    <d v="2025-05-29T16:32:55"/>
    <d v="2025-08-15T04:00:00"/>
    <d v="2025-07-30T04:00:00"/>
    <x v="264"/>
    <d v="2025-07-28T21:20:30"/>
    <s v="Jul2025"/>
    <d v="2025-07-07T04:00:00"/>
    <d v="2025-07-07T04:00:00"/>
    <m/>
    <d v="2025-07-07T04:00:00"/>
    <n v="0"/>
    <s v=""/>
    <n v="0"/>
    <n v="59.477141203700739"/>
    <n v="59.477141203700739"/>
    <n v="0"/>
    <n v="0"/>
    <n v="0"/>
    <n v="0"/>
    <n v="0"/>
    <n v="0"/>
    <n v="0"/>
    <n v="0"/>
    <n v="0"/>
    <n v="59.477141203700739"/>
    <n v="59.477141203700739"/>
    <n v="-18"/>
    <n v="1"/>
  </r>
  <r>
    <s v="Cases &amp; Composites"/>
    <s v="CAS-225693-J9K1Q8"/>
    <s v="Jia Chen"/>
    <s v="Complete"/>
    <s v="Resolved"/>
    <s v="2-Routine"/>
    <n v="24"/>
    <s v="24CCT16"/>
    <s v="Repair-EA"/>
    <s v="OTC"/>
    <s v="PW1000G"/>
    <s v="24K"/>
    <s v="50%"/>
    <d v="2024-08-28T14:07:34"/>
    <d v="2025-04-09T04:00:00"/>
    <d v="2025-04-18T04:00:00"/>
    <x v="51"/>
    <d v="2025-03-31T17:19:11"/>
    <m/>
    <d v="2024-11-06T05:00:00"/>
    <d v="2024-11-07T05:00:00"/>
    <d v="2024-11-07T05:00:00"/>
    <d v="2025-03-21T04:00:00"/>
    <n v="1"/>
    <n v="133.95833333332848"/>
    <n v="134.95833333332848"/>
    <n v="214.57807870370016"/>
    <n v="79.619745370371675"/>
    <n v="13.062614375005069"/>
    <n v="0"/>
    <n v="0"/>
    <n v="0"/>
    <n v="0"/>
    <n v="0"/>
    <n v="0"/>
    <n v="0"/>
    <n v="13.062614375005069"/>
    <n v="201.51546432869509"/>
    <n v="66.557130995366606"/>
    <n v="-9"/>
    <n v="1"/>
  </r>
  <r>
    <s v="Cases &amp; Composites"/>
    <s v="CAS-228914-H6F9X3"/>
    <s v="Jia Chen"/>
    <s v="Complete"/>
    <s v="Resolved"/>
    <s v="2-Routine"/>
    <n v="24"/>
    <s v="24KC667"/>
    <s v="Repair-EA"/>
    <s v="OTC"/>
    <s v="PW4000"/>
    <s v="AMO"/>
    <s v="75%"/>
    <d v="2024-09-26T14:54:28"/>
    <d v="2025-03-12T04:00:00"/>
    <d v="2025-02-20T05:00:00"/>
    <x v="222"/>
    <d v="2025-02-03T16:20:49"/>
    <m/>
    <d v="2024-12-16T05:00:00"/>
    <d v="2025-01-10T05:00:00"/>
    <d v="2025-01-10T05:00:00"/>
    <d v="2025-01-10T05:00:00"/>
    <n v="25"/>
    <n v="0"/>
    <n v="25"/>
    <n v="126.58717592593166"/>
    <n v="101.58717592593166"/>
    <n v="6"/>
    <n v="0"/>
    <n v="0"/>
    <n v="0"/>
    <n v="0"/>
    <n v="0"/>
    <n v="0"/>
    <n v="0"/>
    <n v="6"/>
    <n v="120.58717592593166"/>
    <n v="95.58717592593166"/>
    <n v="-39.958333333328483"/>
    <n v="1"/>
  </r>
  <r>
    <s v="Cases &amp; Composites"/>
    <n v="109675"/>
    <s v="Francisco Astiasaran"/>
    <s v="Complete"/>
    <s v="Closed"/>
    <s v="2-Routine"/>
    <n v="24"/>
    <s v="24FC366"/>
    <s v="Repair-EA"/>
    <s v="OTC"/>
    <s v="PW2000"/>
    <s v="AMO"/>
    <s v="75%"/>
    <d v="2024-11-18T05:00:00"/>
    <d v="2024-11-25T05:00:00"/>
    <d v="2024-11-25T05:00:00"/>
    <x v="185"/>
    <d v="2024-11-22T18:03:51"/>
    <m/>
    <m/>
    <m/>
    <m/>
    <m/>
    <s v=""/>
    <s v=""/>
    <n v="0"/>
    <n v="4"/>
    <n v="4"/>
    <n v="0"/>
    <n v="0"/>
    <n v="0"/>
    <n v="0"/>
    <n v="0"/>
    <n v="0"/>
    <n v="0"/>
    <n v="0"/>
    <n v="0"/>
    <n v="4"/>
    <n v="4"/>
    <n v="-3"/>
    <n v="1"/>
  </r>
  <r>
    <s v="Cases &amp; Composites"/>
    <n v="109694"/>
    <s v="Francisco Astiasaran"/>
    <s v="Complete"/>
    <s v="Closed"/>
    <s v="2-Routine"/>
    <n v="24"/>
    <s v="23FC206A"/>
    <s v="Repair-EA"/>
    <s v="OTC"/>
    <s v="PW2000"/>
    <s v="AMO"/>
    <s v="75%"/>
    <d v="2024-11-19T05:00:00"/>
    <d v="2024-11-29T05:00:00"/>
    <d v="2024-11-29T05:00:00"/>
    <x v="265"/>
    <d v="2024-11-25T15:48:08"/>
    <m/>
    <m/>
    <m/>
    <m/>
    <m/>
    <s v=""/>
    <s v=""/>
    <n v="0"/>
    <n v="6"/>
    <n v="6"/>
    <n v="0"/>
    <n v="0"/>
    <n v="0"/>
    <n v="0"/>
    <n v="0"/>
    <n v="0"/>
    <n v="0"/>
    <n v="0"/>
    <n v="0"/>
    <n v="6"/>
    <n v="6"/>
    <n v="-4"/>
    <n v="1"/>
  </r>
  <r>
    <s v="Cases &amp; Composites"/>
    <s v="CAS-198657-Z0N8W7"/>
    <s v="Jia Chen"/>
    <s v="Complete"/>
    <s v="Active"/>
    <s v="2-Routine"/>
    <n v="25"/>
    <s v="23KC626"/>
    <s v="Repair-EA"/>
    <s v="OTC"/>
    <s v="PW4000"/>
    <s v="AMO"/>
    <m/>
    <d v="2023-11-17T21:51:10"/>
    <d v="2023-12-22T05:00:00"/>
    <d v="2024-10-15T04:00:00"/>
    <x v="226"/>
    <d v="2024-10-10T16:28:53"/>
    <s v="Oct"/>
    <d v="2024-01-16T05:00:00"/>
    <d v="2024-01-26T05:00:00"/>
    <d v="2024-01-26T05:00:00"/>
    <d v="2024-03-27T04:00:00"/>
    <n v="10"/>
    <n v="60.958333333328483"/>
    <n v="70.958333333328483"/>
    <n v="327.25613425925985"/>
    <n v="256.29780092593137"/>
    <n v="0"/>
    <n v="0"/>
    <n v="0"/>
    <n v="0"/>
    <n v="75"/>
    <n v="0"/>
    <n v="0"/>
    <n v="0"/>
    <n v="75"/>
    <n v="252.25613425925985"/>
    <n v="181.29780092593137"/>
    <n v="292.95833333332848"/>
    <n v="0"/>
  </r>
  <r>
    <s v="Cases &amp; Composites"/>
    <s v="CAS-228253-F6F4Q8"/>
    <s v="Francisco Astiasaran"/>
    <s v="Complete"/>
    <s v="Resolved"/>
    <s v="2-Routine"/>
    <n v="25"/>
    <s v="25KC179"/>
    <s v="Repair-EA"/>
    <s v="OTC"/>
    <s v="PW4000"/>
    <s v="AMO"/>
    <s v="75%"/>
    <d v="2024-09-20T11:25:12"/>
    <d v="2025-02-21T05:00:00"/>
    <d v="2025-03-28T04:00:00"/>
    <x v="51"/>
    <d v="2025-03-31T16:02:08"/>
    <s v="Mar2025"/>
    <d v="2024-11-06T05:00:00"/>
    <d v="2025-02-27T05:00:00"/>
    <d v="2025-03-11T04:00:00"/>
    <d v="2025-03-17T04:00:00"/>
    <n v="113"/>
    <n v="6"/>
    <n v="119"/>
    <n v="191.69083333333401"/>
    <n v="72.690833333334012"/>
    <n v="0"/>
    <n v="0"/>
    <n v="0"/>
    <n v="4"/>
    <n v="0"/>
    <n v="0"/>
    <n v="0"/>
    <n v="0"/>
    <n v="4"/>
    <n v="187.69083333333401"/>
    <n v="68.690833333334012"/>
    <n v="37.958333333328483"/>
    <n v="0"/>
  </r>
  <r>
    <s v="Cases &amp; Composites"/>
    <s v="CAS-231811-K6G5V8"/>
    <s v="Alexander Page"/>
    <s v="Complete"/>
    <s v="Resolved"/>
    <s v="2-Routine"/>
    <n v="25"/>
    <s v="25KC031"/>
    <s v="Repair-EA"/>
    <s v="OTC"/>
    <s v="PW4000"/>
    <s v="AMO"/>
    <s v="75%"/>
    <d v="2024-10-23T14:48:52"/>
    <d v="2025-03-19T04:00:00"/>
    <d v="2025-05-30T04:00:00"/>
    <x v="266"/>
    <d v="2025-04-21T18:49:41"/>
    <s v="STAGE 8 HPC CASE - ANTI ROTATION SHOULDER WELD REPAIR - REPAIR-19 LIMIT EXTENSION apr2025"/>
    <d v="2025-02-06T05:00:00"/>
    <d v="2025-02-07T05:00:00"/>
    <d v="2025-02-07T05:00:00"/>
    <d v="2025-02-12T05:00:00"/>
    <n v="1"/>
    <n v="5"/>
    <n v="6"/>
    <n v="179.54939814814861"/>
    <n v="173.54939814814861"/>
    <n v="28"/>
    <n v="2"/>
    <n v="0"/>
    <n v="0"/>
    <n v="0"/>
    <n v="0"/>
    <n v="0"/>
    <n v="0"/>
    <n v="30"/>
    <n v="149.54939814814861"/>
    <n v="143.54939814814861"/>
    <n v="33"/>
    <n v="0"/>
  </r>
  <r>
    <s v="Cases &amp; Composites"/>
    <s v="CAS-239834-N1J5X0"/>
    <s v="Francisco Astiasaran"/>
    <s v="Complete"/>
    <s v="Resolved"/>
    <s v="2-Routine"/>
    <n v="25"/>
    <s v="25KC018"/>
    <s v="Repair-EA"/>
    <s v="EM"/>
    <s v="PW4000"/>
    <s v="AMO"/>
    <m/>
    <d v="2025-01-14T13:09:26"/>
    <d v="2025-01-24T05:00:00"/>
    <d v="2025-01-24T05:00:00"/>
    <x v="10"/>
    <d v="2025-01-24T15:46:03"/>
    <m/>
    <m/>
    <m/>
    <m/>
    <m/>
    <s v=""/>
    <s v=""/>
    <n v="0"/>
    <n v="9.6601157407421852"/>
    <n v="9.6601157407421852"/>
    <n v="0"/>
    <n v="0"/>
    <n v="0"/>
    <n v="0"/>
    <n v="0"/>
    <n v="0"/>
    <n v="0"/>
    <n v="0"/>
    <n v="0"/>
    <n v="9.6601157407421852"/>
    <n v="9.6601157407421852"/>
    <n v="0"/>
    <n v="1"/>
  </r>
  <r>
    <s v="Cases &amp; Composites"/>
    <s v="CAS-243406-F0R2J6"/>
    <s v="Tyler Abusbah"/>
    <s v="Complete"/>
    <s v="Resolved"/>
    <s v="2-Routine"/>
    <n v="25"/>
    <s v="25KC188"/>
    <s v="Repair-EA"/>
    <s v="OTC"/>
    <s v="PW4000"/>
    <s v="AMO"/>
    <s v="75%"/>
    <d v="2025-02-17T21:56:57"/>
    <d v="2025-08-21T04:00:00"/>
    <d v="2025-05-27T04:00:00"/>
    <x v="16"/>
    <d v="2025-05-27T20:53:02"/>
    <s v="May2025"/>
    <d v="2025-04-15T04:00:00"/>
    <d v="2025-04-25T04:00:00"/>
    <d v="2025-04-25T04:00:00"/>
    <d v="2025-05-23T04:00:00"/>
    <n v="10"/>
    <n v="28"/>
    <n v="38"/>
    <n v="98.252118055555911"/>
    <n v="60.252118055555911"/>
    <n v="14"/>
    <n v="0"/>
    <n v="0"/>
    <n v="0"/>
    <n v="0"/>
    <n v="0"/>
    <n v="0"/>
    <n v="0"/>
    <n v="14"/>
    <n v="84.252118055555911"/>
    <n v="46.252118055555911"/>
    <n v="-86"/>
    <n v="1"/>
  </r>
  <r>
    <s v="Cases &amp; Composites"/>
    <s v="CAS-248531-Q7B9M9"/>
    <s v="Francisco Astiasaran"/>
    <s v="Complete"/>
    <s v="Resolved"/>
    <s v="2-Routine"/>
    <n v="25"/>
    <s v="25CC841"/>
    <s v="Repair-EA"/>
    <s v="OTC"/>
    <s v="PW1000G"/>
    <s v="24K CIPT"/>
    <s v="75%"/>
    <d v="2025-04-07T14:58:21"/>
    <d v="2025-04-28T04:00:00"/>
    <d v="2025-04-18T04:00:00"/>
    <x v="267"/>
    <d v="2025-04-25T11:50:16"/>
    <s v="Apr2025"/>
    <m/>
    <m/>
    <m/>
    <m/>
    <s v=""/>
    <s v=""/>
    <n v="0"/>
    <n v="16.542812499996217"/>
    <n v="16.542812499996217"/>
    <n v="0"/>
    <n v="0"/>
    <n v="0"/>
    <n v="0"/>
    <n v="0"/>
    <n v="0"/>
    <n v="0"/>
    <n v="0"/>
    <n v="0"/>
    <n v="16.542812499996217"/>
    <n v="16.542812499996217"/>
    <n v="-4"/>
    <n v="1"/>
  </r>
  <r>
    <s v="Cases &amp; Composites"/>
    <s v="CAS-226399-L7M2N9"/>
    <s v="Tyler Abusbah"/>
    <s v="Complete"/>
    <s v="Active"/>
    <s v="2-Routine"/>
    <n v="26"/>
    <s v="24KC620"/>
    <s v="Repair-EA"/>
    <s v="OTC"/>
    <s v="PW4000"/>
    <s v="AMO"/>
    <s v="75%"/>
    <d v="2024-09-04T15:10:14"/>
    <d v="2025-04-01T04:00:00"/>
    <d v="2025-05-19T04:00:00"/>
    <x v="220"/>
    <d v="2025-03-26T13:58:04"/>
    <s v="May"/>
    <d v="2025-01-24T05:00:00"/>
    <d v="2025-01-27T05:00:00"/>
    <d v="2025-01-27T05:00:00"/>
    <d v="2025-01-27T05:00:00"/>
    <n v="3"/>
    <n v="0"/>
    <n v="3"/>
    <n v="200.53456018518045"/>
    <n v="197.53456018518045"/>
    <n v="0"/>
    <n v="0"/>
    <n v="0"/>
    <n v="0"/>
    <n v="0"/>
    <n v="0"/>
    <n v="0"/>
    <n v="0"/>
    <n v="0"/>
    <n v="200.53456018518045"/>
    <n v="197.53456018518045"/>
    <n v="-8"/>
    <n v="1"/>
  </r>
  <r>
    <s v="Cases &amp; Composites"/>
    <s v="CAS-242013-X7X9J4"/>
    <s v="Tyler Abusbah"/>
    <s v="Complete"/>
    <s v="Resolved"/>
    <s v="2-Routine"/>
    <n v="26"/>
    <s v="25KC182"/>
    <s v="Repair-EA"/>
    <s v="OTC"/>
    <s v="PW4000"/>
    <s v="AMO"/>
    <s v="75%"/>
    <d v="2025-02-04T20:50:30"/>
    <d v="2025-08-07T04:00:00"/>
    <d v="2025-06-13T04:00:00"/>
    <x v="53"/>
    <d v="2025-04-29T18:00:23"/>
    <s v="Apr2025"/>
    <d v="2025-04-17T04:00:00"/>
    <d v="2025-04-17T04:00:00"/>
    <d v="2025-04-17T04:00:00"/>
    <d v="2025-04-25T04:00:00"/>
    <n v="0"/>
    <n v="8"/>
    <n v="8"/>
    <n v="83.29826388888614"/>
    <n v="75.29826388888614"/>
    <n v="15"/>
    <n v="0"/>
    <n v="0"/>
    <n v="0"/>
    <n v="0"/>
    <n v="0"/>
    <n v="0"/>
    <n v="0"/>
    <n v="15"/>
    <n v="68.29826388888614"/>
    <n v="60.29826388888614"/>
    <n v="-100"/>
    <n v="1"/>
  </r>
  <r>
    <s v="Cases &amp; Composites"/>
    <s v="CAS-245813-G6F5F3"/>
    <s v="Francisco Astiasaran"/>
    <s v="Complete"/>
    <s v="Resolved"/>
    <s v="2-Routine"/>
    <n v="26"/>
    <s v="25KC195"/>
    <s v="Repair-EA"/>
    <s v="EM"/>
    <s v="PW4000"/>
    <s v="AMO"/>
    <s v="75%"/>
    <d v="2025-03-11T13:12:28"/>
    <d v="2025-04-04T04:00:00"/>
    <d v="2025-04-04T04:00:00"/>
    <x v="217"/>
    <d v="2025-04-02T10:49:19"/>
    <m/>
    <m/>
    <m/>
    <m/>
    <m/>
    <s v=""/>
    <s v=""/>
    <n v="0"/>
    <n v="20.616342592591536"/>
    <n v="20.616342592591536"/>
    <n v="0"/>
    <n v="0"/>
    <n v="0"/>
    <n v="0"/>
    <n v="0"/>
    <n v="0"/>
    <n v="0"/>
    <n v="0"/>
    <n v="0"/>
    <n v="20.616342592591536"/>
    <n v="20.616342592591536"/>
    <n v="-3"/>
    <n v="1"/>
  </r>
  <r>
    <s v="Cases &amp; Composites"/>
    <s v="MSG-250618-BC655C"/>
    <s v="Francisco Astiasaran"/>
    <s v="Complete"/>
    <s v="Complete"/>
    <s v="2-Routine"/>
    <n v="26"/>
    <s v="25CCA53A"/>
    <s v="Repair-EA"/>
    <s v="OTC"/>
    <s v="PW1000G"/>
    <s v="AMO"/>
    <s v="75%"/>
    <d v="2025-06-17T04:00:00"/>
    <d v="2025-07-09T04:00:00"/>
    <d v="2025-07-09T04:00:00"/>
    <x v="13"/>
    <d v="2025-07-07T14:34:13"/>
    <s v="Jul2025 Revise 25CCA53 to use PN 5328673-01"/>
    <m/>
    <m/>
    <m/>
    <m/>
    <s v=""/>
    <s v=""/>
    <n v="0"/>
    <n v="14"/>
    <n v="14"/>
    <n v="0"/>
    <n v="0"/>
    <n v="0"/>
    <n v="0"/>
    <n v="0"/>
    <n v="0"/>
    <n v="0"/>
    <n v="0"/>
    <n v="0"/>
    <n v="14"/>
    <n v="14"/>
    <n v="-8"/>
    <n v="1"/>
  </r>
  <r>
    <s v="Cases &amp; Composites"/>
    <s v="CAS-230281-L6Z8H8"/>
    <s v="Jia Chen"/>
    <s v="Complete"/>
    <s v="Resolved"/>
    <s v="2-Routine"/>
    <n v="27"/>
    <s v="24KC708"/>
    <s v="Repair-EA"/>
    <s v="OTC"/>
    <s v="PW4000"/>
    <s v="AMO"/>
    <s v="75%"/>
    <d v="2024-10-09T17:53:14"/>
    <d v="2025-04-11T04:00:00"/>
    <d v="2025-04-11T04:00:00"/>
    <x v="50"/>
    <d v="2025-03-21T13:43:53"/>
    <m/>
    <d v="2025-01-20T05:00:00"/>
    <d v="2025-01-22T05:00:00"/>
    <d v="2025-01-22T05:00:00"/>
    <d v="2025-02-28T05:00:00"/>
    <n v="2"/>
    <n v="37"/>
    <n v="39"/>
    <n v="161.42136574073811"/>
    <n v="122.42136574073811"/>
    <n v="0"/>
    <n v="0"/>
    <n v="0"/>
    <n v="0"/>
    <n v="0"/>
    <n v="0"/>
    <n v="0"/>
    <n v="0"/>
    <n v="0"/>
    <n v="161.42136574073811"/>
    <n v="122.42136574073811"/>
    <n v="-22"/>
    <n v="1"/>
  </r>
  <r>
    <s v="Cases &amp; Composites"/>
    <s v="CAS-233136-Z0S2N5"/>
    <s v="Alexander Page"/>
    <s v="Complete"/>
    <s v="Resolved"/>
    <s v="2-Routine"/>
    <n v="27"/>
    <s v="25KC026"/>
    <s v="Repair-EA"/>
    <s v="OTC"/>
    <s v="PW4000"/>
    <s v="AMO"/>
    <s v="50%"/>
    <d v="2024-11-05T21:24:50"/>
    <d v="2025-04-17T04:00:00"/>
    <d v="2025-04-30T04:00:00"/>
    <x v="22"/>
    <d v="2025-04-08T14:54:56"/>
    <s v="apr2025"/>
    <d v="2025-02-06T05:00:00"/>
    <d v="2025-02-12T05:00:00"/>
    <d v="2025-02-12T05:00:00"/>
    <d v="2025-03-31T04:00:00"/>
    <n v="6"/>
    <n v="46.958333333328483"/>
    <n v="52.958333333328483"/>
    <n v="153.27442129629344"/>
    <n v="100.31608796296496"/>
    <n v="20"/>
    <n v="0"/>
    <n v="0"/>
    <n v="0"/>
    <n v="0"/>
    <n v="0"/>
    <n v="0"/>
    <n v="0"/>
    <n v="20"/>
    <n v="133.27442129629344"/>
    <n v="80.316087962964957"/>
    <n v="-9"/>
    <n v="1"/>
  </r>
  <r>
    <s v="Cases &amp; Composites"/>
    <s v="CAS-239259-K3N5X1"/>
    <s v="Francisco Astiasaran"/>
    <s v="Complete"/>
    <s v="Resolved"/>
    <s v="2-Routine"/>
    <n v="27"/>
    <s v="25KC034"/>
    <s v="Repair-EA"/>
    <s v="OTC"/>
    <s v="PW4000"/>
    <s v="AMO"/>
    <s v="75%"/>
    <d v="2025-01-08T20:19:08"/>
    <d v="2025-01-22T05:00:00"/>
    <d v="2025-01-22T05:00:00"/>
    <x v="268"/>
    <d v="2025-01-20T20:35:49"/>
    <s v="COPQ"/>
    <m/>
    <m/>
    <m/>
    <m/>
    <s v=""/>
    <s v=""/>
    <n v="0"/>
    <n v="11.361712962963793"/>
    <n v="11.361712962963793"/>
    <n v="0"/>
    <n v="0"/>
    <n v="0"/>
    <n v="0"/>
    <n v="0"/>
    <n v="0"/>
    <n v="0"/>
    <n v="0"/>
    <n v="0"/>
    <n v="11.361712962963793"/>
    <n v="11.361712962963793"/>
    <n v="-2"/>
    <n v="1"/>
  </r>
  <r>
    <s v="Cases &amp; Composites"/>
    <s v="CAS-225133-C1Q8B4"/>
    <s v="Francisco Astiasaran"/>
    <s v="Complete"/>
    <s v="Resolved"/>
    <s v="2-Routine"/>
    <n v="28"/>
    <s v="14CC211E"/>
    <s v="Repair-EA"/>
    <s v="EM"/>
    <s v="PW1000G"/>
    <s v="24K"/>
    <s v="75%"/>
    <d v="2024-08-22T17:42:39"/>
    <d v="2025-02-14T05:00:00"/>
    <d v="2025-02-14T05:00:00"/>
    <x v="114"/>
    <d v="2025-02-12T18:39:15"/>
    <m/>
    <m/>
    <m/>
    <m/>
    <m/>
    <s v=""/>
    <s v=""/>
    <n v="0"/>
    <n v="173.47038194444758"/>
    <n v="173.47038194444758"/>
    <n v="0"/>
    <n v="0"/>
    <n v="0"/>
    <n v="0"/>
    <n v="0"/>
    <n v="0"/>
    <n v="0"/>
    <n v="0"/>
    <n v="0"/>
    <n v="173.47038194444758"/>
    <n v="173.47038194444758"/>
    <n v="-2"/>
    <n v="1"/>
  </r>
  <r>
    <s v="Cases &amp; Composites"/>
    <s v="CAS-231526-D7H6X3"/>
    <s v="Francisco Astiasaran"/>
    <s v="Complete"/>
    <s v="Resolved"/>
    <s v="2-Routine"/>
    <n v="28"/>
    <s v="24KC675"/>
    <s v="Repair-EA"/>
    <s v="EM"/>
    <s v="PW4000"/>
    <s v="AMO"/>
    <m/>
    <d v="2024-10-21T16:57:10"/>
    <d v="2024-11-29T05:00:00"/>
    <d v="2025-06-25T04:00:00"/>
    <x v="207"/>
    <d v="2025-06-17T12:20:46"/>
    <s v="Jun2025"/>
    <d v="2025-06-02T04:00:00"/>
    <d v="2025-06-04T04:00:00"/>
    <d v="2025-06-05T04:00:00"/>
    <d v="2025-06-05T04:00:00"/>
    <n v="2"/>
    <n v="0"/>
    <n v="2"/>
    <n v="238.46030092592264"/>
    <n v="236.46030092592264"/>
    <n v="0"/>
    <n v="0"/>
    <n v="0"/>
    <n v="0"/>
    <n v="8"/>
    <n v="0"/>
    <n v="0"/>
    <n v="0"/>
    <n v="8"/>
    <n v="230.46030092592264"/>
    <n v="228.46030092592264"/>
    <n v="199.95833333332848"/>
    <n v="0"/>
  </r>
  <r>
    <s v="Cases &amp; Composites"/>
    <s v="CAS-246791-Y4T7G9"/>
    <s v="Francisco Astiasaran"/>
    <s v="Complete"/>
    <s v="Resolved"/>
    <s v="2-Routine"/>
    <n v="28"/>
    <s v="25CC721"/>
    <s v="Repair-EA"/>
    <s v="OTC"/>
    <s v="PW1000G"/>
    <s v="30K"/>
    <s v="75%"/>
    <d v="2025-03-20T14:53:13"/>
    <d v="2025-04-30T04:00:00"/>
    <d v="2025-04-30T04:00:00"/>
    <x v="242"/>
    <d v="2025-05-02T11:10:58"/>
    <s v="May2025 FanR-Blade"/>
    <d v="2025-04-04T04:00:00"/>
    <d v="2025-04-04T04:00:00"/>
    <d v="2025-04-07T04:00:00"/>
    <d v="2025-04-08T04:00:00"/>
    <n v="0"/>
    <n v="1"/>
    <n v="1"/>
    <n v="41.54637731481489"/>
    <n v="40.54637731481489"/>
    <n v="0"/>
    <n v="0"/>
    <n v="0"/>
    <n v="0"/>
    <n v="0"/>
    <n v="0"/>
    <n v="0"/>
    <n v="0"/>
    <n v="0"/>
    <n v="41.54637731481489"/>
    <n v="40.54637731481489"/>
    <n v="1"/>
    <n v="0"/>
  </r>
  <r>
    <s v="Cases &amp; Composites"/>
    <s v="CAS-231692-S7W4C9"/>
    <s v="Francisco Astiasaran"/>
    <s v="Complete"/>
    <s v="Resolved"/>
    <s v="2-Routine"/>
    <n v="29"/>
    <s v="24KC683"/>
    <s v="Repair-EA"/>
    <s v="EM"/>
    <s v="PW4000"/>
    <s v="AMO"/>
    <m/>
    <d v="2024-10-22T17:51:15"/>
    <d v="2025-02-20T05:00:00"/>
    <d v="2025-06-25T04:00:00"/>
    <x v="269"/>
    <d v="2025-06-16T18:51:33"/>
    <s v="Jun2025"/>
    <d v="2024-11-07T05:00:00"/>
    <d v="2025-06-04T04:00:00"/>
    <d v="2025-06-05T04:00:00"/>
    <d v="2025-06-05T04:00:00"/>
    <n v="208.95833333332848"/>
    <n v="0"/>
    <n v="208.95833333332848"/>
    <n v="236.42274305555475"/>
    <n v="27.464409722226264"/>
    <n v="0"/>
    <n v="0"/>
    <n v="0"/>
    <n v="0"/>
    <n v="0"/>
    <n v="0"/>
    <n v="0"/>
    <n v="0"/>
    <n v="0"/>
    <n v="236.42274305555475"/>
    <n v="27.464409722226264"/>
    <n v="115.95833333332848"/>
    <n v="0"/>
  </r>
  <r>
    <s v="Cases &amp; Composites"/>
    <s v="CAS-236068-H0M9H5"/>
    <s v="Francisco Astiasaran"/>
    <s v="Complete"/>
    <s v="Resolved"/>
    <s v="2-Routine"/>
    <n v="29"/>
    <s v="14CC326F"/>
    <s v="Repair-EA"/>
    <s v="EM"/>
    <s v="PW1000G"/>
    <s v="24K"/>
    <s v="75%"/>
    <d v="2024-12-03T17:10:52"/>
    <d v="2025-02-10T05:00:00"/>
    <d v="2025-02-10T05:00:00"/>
    <x v="270"/>
    <d v="2025-02-18T13:25:54"/>
    <m/>
    <m/>
    <m/>
    <m/>
    <m/>
    <s v=""/>
    <s v=""/>
    <n v="0"/>
    <n v="72.492453703707724"/>
    <n v="72.492453703707724"/>
    <n v="0"/>
    <n v="0"/>
    <n v="0"/>
    <n v="0"/>
    <n v="0"/>
    <n v="0"/>
    <n v="0"/>
    <n v="0"/>
    <n v="0"/>
    <n v="72.492453703707724"/>
    <n v="72.492453703707724"/>
    <n v="4"/>
    <n v="0"/>
  </r>
  <r>
    <s v="Cases &amp; Composites"/>
    <s v="CAS-194913-R6J8V2"/>
    <s v="Francisco Astiasaran"/>
    <s v="Complete"/>
    <s v="Resolved"/>
    <s v="2-Routine"/>
    <n v="30"/>
    <s v="20CC682B"/>
    <s v="Repair-EA"/>
    <s v="EM"/>
    <s v="PW1000G"/>
    <s v="24K"/>
    <m/>
    <d v="2023-10-12T17:13:02"/>
    <d v="2025-05-02T04:00:00"/>
    <d v="2025-05-02T04:00:00"/>
    <x v="23"/>
    <d v="2025-05-02T14:39:19"/>
    <s v="May2025 GTFA-2"/>
    <d v="2023-10-23T04:00:00"/>
    <d v="2024-06-03T04:00:00"/>
    <d v="2025-04-15T04:00:00"/>
    <d v="2025-04-17T04:00:00"/>
    <n v="224"/>
    <n v="2"/>
    <n v="226"/>
    <n v="567.4492824074041"/>
    <n v="341.4492824074041"/>
    <n v="0"/>
    <n v="0"/>
    <n v="0"/>
    <n v="0"/>
    <n v="0"/>
    <n v="174.51256434027891"/>
    <n v="0"/>
    <n v="0"/>
    <n v="174.51256434027891"/>
    <n v="392.93671806712518"/>
    <n v="166.93671806712518"/>
    <n v="0"/>
    <n v="1"/>
  </r>
  <r>
    <s v="Cases &amp; Composites"/>
    <s v="CAS-250258-S3Q1J5"/>
    <s v="Francisco Astiasaran"/>
    <s v="Complete"/>
    <s v="Resolved"/>
    <s v="2-Routine"/>
    <n v="30"/>
    <s v="25CCA23"/>
    <s v="Repair-EA"/>
    <s v="OTC"/>
    <s v="PW1000G"/>
    <s v="AMO"/>
    <s v="75%"/>
    <d v="2025-04-23T17:57:02"/>
    <d v="2025-05-14T04:00:00"/>
    <d v="2025-05-14T04:00:00"/>
    <x v="263"/>
    <d v="2025-05-14T12:58:22"/>
    <s v="May2025"/>
    <m/>
    <m/>
    <m/>
    <m/>
    <s v=""/>
    <s v=""/>
    <n v="0"/>
    <n v="19.418726851850806"/>
    <n v="19.418726851850806"/>
    <n v="0"/>
    <n v="0"/>
    <n v="0"/>
    <n v="0"/>
    <n v="0"/>
    <n v="0"/>
    <n v="0"/>
    <n v="0"/>
    <n v="0"/>
    <n v="19.418726851850806"/>
    <n v="19.418726851850806"/>
    <n v="-1"/>
    <n v="1"/>
  </r>
  <r>
    <s v="Cases &amp; Composites"/>
    <s v="CAS-253656-B2S1X2"/>
    <s v="Francisco Astiasaran"/>
    <s v="Complete"/>
    <s v="Resolved"/>
    <s v="2-Routine"/>
    <n v="30"/>
    <s v="25CCC52"/>
    <s v="Repair-EA"/>
    <s v="OTC"/>
    <s v="PW1000G"/>
    <s v="24K CIPT"/>
    <s v="75%"/>
    <d v="2025-05-27T13:06:53"/>
    <d v="2025-06-27T04:00:00"/>
    <d v="2025-06-20T04:00:00"/>
    <x v="205"/>
    <d v="2025-06-23T14:05:38"/>
    <s v="Jun2025. AF2.0"/>
    <m/>
    <m/>
    <m/>
    <m/>
    <s v=""/>
    <s v=""/>
    <n v="0"/>
    <n v="23.620219907403225"/>
    <n v="23.620219907403225"/>
    <n v="0"/>
    <n v="0"/>
    <n v="0"/>
    <n v="0"/>
    <n v="0"/>
    <n v="0"/>
    <n v="0"/>
    <n v="0"/>
    <n v="0"/>
    <n v="23.620219907403225"/>
    <n v="23.620219907403225"/>
    <n v="-7"/>
    <n v="1"/>
  </r>
  <r>
    <s v="Cases &amp; Composites"/>
    <s v="CAS-257300-L1Z8X4"/>
    <s v="Francisco Astiasaran"/>
    <s v="Complete"/>
    <s v="Resolved"/>
    <s v="2-Routine"/>
    <n v="30"/>
    <s v="25CCF37"/>
    <s v="Repair-EA"/>
    <s v="OTC"/>
    <s v="PW1000G"/>
    <s v="24K CIPT"/>
    <s v="75%"/>
    <d v="2025-06-30T16:23:00"/>
    <d v="2025-07-09T04:00:00"/>
    <d v="2025-07-09T04:00:00"/>
    <x v="231"/>
    <d v="2025-07-24T17:13:58"/>
    <s v="AF2.0"/>
    <m/>
    <m/>
    <m/>
    <m/>
    <s v=""/>
    <s v=""/>
    <n v="0"/>
    <n v="23.484027777776646"/>
    <n v="23.484027777776646"/>
    <n v="0"/>
    <n v="0"/>
    <n v="0"/>
    <n v="0"/>
    <n v="0"/>
    <n v="0"/>
    <n v="0"/>
    <n v="0"/>
    <n v="0"/>
    <n v="23.484027777776646"/>
    <n v="23.484027777776646"/>
    <n v="15"/>
    <n v="0"/>
  </r>
  <r>
    <s v="Cases &amp; Composites"/>
    <s v="CAS-236588-C1G8F3"/>
    <s v="Francisco Astiasaran"/>
    <s v="Complete"/>
    <s v="Resolved"/>
    <s v="2-Routine"/>
    <n v="31"/>
    <s v="22CCB40D"/>
    <s v="Repair-EA"/>
    <s v="Discretionary"/>
    <s v="PW1000G"/>
    <s v="24K"/>
    <m/>
    <d v="2024-12-09T14:16:57"/>
    <d v="2025-01-30T05:00:00"/>
    <d v="2025-02-12T05:00:00"/>
    <x v="46"/>
    <d v="2025-02-21T17:50:38"/>
    <m/>
    <d v="2024-12-10T05:00:00"/>
    <d v="2024-12-18T05:00:00"/>
    <d v="2024-12-18T05:00:00"/>
    <d v="2024-12-18T05:00:00"/>
    <n v="8"/>
    <n v="0"/>
    <n v="8"/>
    <n v="73.613229166672681"/>
    <n v="65.613229166672681"/>
    <n v="0"/>
    <n v="0"/>
    <n v="0"/>
    <n v="0"/>
    <n v="0"/>
    <n v="0"/>
    <n v="6.0158615162072238"/>
    <n v="21.772723564812622"/>
    <n v="27.788585081019846"/>
    <n v="45.824644085652835"/>
    <n v="37.824644085652835"/>
    <n v="22"/>
    <n v="0"/>
  </r>
  <r>
    <s v="Cases &amp; Composites"/>
    <s v="CAS-236065-V0M2F8"/>
    <s v="Tyler Abusbah"/>
    <s v="Complete"/>
    <s v="Resolved"/>
    <s v="2-Routine"/>
    <n v="31"/>
    <s v="25CC317"/>
    <s v="Repair-EA"/>
    <s v="OTC"/>
    <s v="PW1000G"/>
    <s v="30K"/>
    <s v="50%"/>
    <d v="2024-12-03T17:00:51"/>
    <d v="2025-06-04T04:00:00"/>
    <d v="2025-05-30T04:00:00"/>
    <x v="263"/>
    <d v="2025-05-14T13:24:30"/>
    <s v="TIC Inner May2025"/>
    <d v="2025-04-07T04:00:00"/>
    <d v="2025-04-07T04:00:00"/>
    <d v="2025-04-08T04:00:00"/>
    <d v="2025-04-30T04:00:00"/>
    <n v="0"/>
    <n v="22"/>
    <n v="22"/>
    <n v="160.45774305555096"/>
    <n v="138.45774305555096"/>
    <n v="42.037375694439106"/>
    <n v="0"/>
    <n v="0"/>
    <n v="0"/>
    <n v="0"/>
    <n v="6.2307712615729542"/>
    <n v="0"/>
    <n v="0"/>
    <n v="48.26814695601206"/>
    <n v="112.1895960995389"/>
    <n v="90.189596099538903"/>
    <n v="-22"/>
    <n v="1"/>
  </r>
  <r>
    <s v="Cases &amp; Composites"/>
    <s v="CAS-232704-N8L6G7"/>
    <s v="Francisco Astiasaran"/>
    <s v="Complete"/>
    <s v="Resolved"/>
    <s v="2-Routine"/>
    <n v="32"/>
    <s v="14CC211F"/>
    <s v="Repair-EA"/>
    <s v="EM"/>
    <s v="PW1000G"/>
    <s v="24K"/>
    <s v="75%"/>
    <d v="2024-10-31T18:04:02"/>
    <d v="2025-03-18T04:00:00"/>
    <d v="2025-04-21T04:00:00"/>
    <x v="271"/>
    <d v="2025-04-29T13:04:01"/>
    <s v="Apr2025"/>
    <m/>
    <m/>
    <m/>
    <m/>
    <s v=""/>
    <s v=""/>
    <n v="0"/>
    <n v="178.4138657407384"/>
    <n v="178.4138657407384"/>
    <n v="0"/>
    <n v="0"/>
    <n v="0"/>
    <n v="0"/>
    <n v="0"/>
    <n v="0"/>
    <n v="0"/>
    <n v="0"/>
    <n v="0"/>
    <n v="178.4138657407384"/>
    <n v="178.4138657407384"/>
    <n v="41"/>
    <n v="0"/>
  </r>
  <r>
    <s v="Cases &amp; Composites"/>
    <s v="CAS-248241-P8Y5N4"/>
    <s v="Francisco Astiasaran"/>
    <s v="Complete"/>
    <s v="Resolved"/>
    <s v="2-Routine"/>
    <n v="37"/>
    <s v="19CC141A"/>
    <s v="Repair-EA"/>
    <s v="EM"/>
    <s v="PW1000G"/>
    <s v="24K"/>
    <s v="75%"/>
    <d v="2025-04-03T18:19:57"/>
    <d v="2025-06-05T04:00:00"/>
    <d v="2025-08-06T04:00:00"/>
    <x v="272"/>
    <d v="2025-07-30T12:58:16"/>
    <s v="Jul2025"/>
    <d v="2025-07-28T04:00:00"/>
    <d v="2025-07-28T04:00:00"/>
    <d v="2025-07-28T04:00:00"/>
    <d v="2025-07-29T04:00:00"/>
    <n v="0"/>
    <n v="1"/>
    <n v="1"/>
    <n v="116.4028124999968"/>
    <n v="115.4028124999968"/>
    <n v="0"/>
    <n v="0"/>
    <n v="0"/>
    <n v="0"/>
    <n v="0"/>
    <n v="0"/>
    <n v="0"/>
    <n v="0"/>
    <n v="0"/>
    <n v="116.4028124999968"/>
    <n v="115.4028124999968"/>
    <n v="54"/>
    <n v="0"/>
  </r>
  <r>
    <s v="Cases &amp; Composites"/>
    <s v="CAS-255564-G5X7B8"/>
    <s v="Francisco Astiasaran"/>
    <s v="Complete"/>
    <s v="Resolved"/>
    <s v="2-Routine"/>
    <n v="37"/>
    <s v="25CCE20"/>
    <s v="Repair-EA"/>
    <s v="OTC"/>
    <s v="PW1000G"/>
    <s v="24K CIPT"/>
    <s v="75%"/>
    <d v="2025-06-13T17:35:31"/>
    <d v="2025-07-04T04:00:00"/>
    <d v="2025-07-04T04:00:00"/>
    <x v="7"/>
    <d v="2025-06-30T14:41:47"/>
    <s v="Jun2025 AF2.0"/>
    <m/>
    <m/>
    <m/>
    <m/>
    <s v=""/>
    <s v=""/>
    <n v="0"/>
    <n v="13.433668981480878"/>
    <n v="13.433668981480878"/>
    <n v="0"/>
    <n v="0"/>
    <n v="0"/>
    <n v="0"/>
    <n v="0"/>
    <n v="0"/>
    <n v="0"/>
    <n v="0"/>
    <n v="0"/>
    <n v="13.433668981480878"/>
    <n v="13.433668981480878"/>
    <n v="-7"/>
    <n v="1"/>
  </r>
  <r>
    <s v="Cases &amp; Composites"/>
    <s v="CAS-253193-W3N7Z5"/>
    <s v="Francisco Astiasaran"/>
    <s v="Complete"/>
    <s v="Resolved"/>
    <s v="2-Routine"/>
    <n v="38"/>
    <s v="25CCC88"/>
    <s v="Repair-EA"/>
    <s v="OTC"/>
    <s v="PW1000G"/>
    <s v="30K CIPT"/>
    <s v="75%"/>
    <d v="2025-05-22T13:45:47"/>
    <d v="2025-07-16T04:00:00"/>
    <d v="2025-07-16T04:00:00"/>
    <x v="231"/>
    <d v="2025-07-24T11:30:47"/>
    <s v="AF2.0"/>
    <d v="2025-06-27T04:00:00"/>
    <d v="2025-06-27T04:00:00"/>
    <d v="2025-06-27T04:00:00"/>
    <d v="2025-06-27T04:00:00"/>
    <n v="0"/>
    <n v="0"/>
    <n v="0"/>
    <n v="62.593206018515048"/>
    <n v="62.593206018515048"/>
    <n v="0"/>
    <n v="0"/>
    <n v="0"/>
    <n v="0"/>
    <n v="0"/>
    <n v="0"/>
    <n v="0"/>
    <n v="0"/>
    <n v="0"/>
    <n v="62.593206018515048"/>
    <n v="62.593206018515048"/>
    <n v="8"/>
    <n v="0"/>
  </r>
  <r>
    <s v="Cases &amp; Composites"/>
    <s v="CAS-248219-Q2B4T6"/>
    <s v="Francisco Astiasaran"/>
    <s v="Complete"/>
    <s v="Resolved"/>
    <s v="2-Routine"/>
    <n v="40"/>
    <s v="25CC813"/>
    <s v="Repair-EA"/>
    <s v="OTC"/>
    <s v="PW1000G"/>
    <s v="24K CIPT"/>
    <s v="75%"/>
    <d v="2025-04-03T12:44:05"/>
    <d v="2025-04-21T04:00:00"/>
    <d v="2025-04-21T04:00:00"/>
    <x v="271"/>
    <d v="2025-04-28T18:53:23"/>
    <s v="Apr2025"/>
    <m/>
    <m/>
    <m/>
    <m/>
    <s v=""/>
    <s v=""/>
    <n v="0"/>
    <n v="24.636053240741603"/>
    <n v="24.636053240741603"/>
    <n v="0"/>
    <n v="0"/>
    <n v="0"/>
    <n v="0"/>
    <n v="0"/>
    <n v="0"/>
    <n v="0"/>
    <n v="0"/>
    <n v="0"/>
    <n v="24.636053240741603"/>
    <n v="24.636053240741603"/>
    <n v="7"/>
    <n v="0"/>
  </r>
  <r>
    <s v="Cases &amp; Composites"/>
    <s v="CAS-137967-M4X7D1"/>
    <s v="Orlando Melendez Colon"/>
    <s v="Complete"/>
    <s v="Resolved"/>
    <s v="2-Routine"/>
    <m/>
    <s v="23VG044"/>
    <s v="Repair-EA"/>
    <s v="OTC"/>
    <s v="V2500"/>
    <s v="V2500"/>
    <m/>
    <d v="2022-02-09T16:54:51"/>
    <d v="2023-06-15T04:00:00"/>
    <d v="2024-10-31T04:00:00"/>
    <x v="37"/>
    <d v="2024-11-01T01:57:25"/>
    <s v="Oct"/>
    <d v="2022-02-17T05:00:00"/>
    <d v="2023-04-21T04:00:00"/>
    <d v="2023-04-21T04:00:00"/>
    <d v="2023-06-09T04:00:00"/>
    <n v="427.95833333332848"/>
    <n v="49"/>
    <n v="476.95833333332848"/>
    <n v="993.46190972221666"/>
    <n v="516.50357638888818"/>
    <n v="0"/>
    <n v="0"/>
    <n v="0"/>
    <n v="0"/>
    <n v="0"/>
    <n v="0"/>
    <n v="0"/>
    <n v="0"/>
    <n v="0"/>
    <n v="993.46190972221666"/>
    <n v="516.50357638888818"/>
    <n v="503"/>
    <n v="0"/>
  </r>
  <r>
    <s v="Cases &amp; Composites"/>
    <s v="CAS-167770-F5F8X8"/>
    <s v="Francisco Astiasaran"/>
    <s v="Complete"/>
    <s v="Resolved"/>
    <s v="2-Routine"/>
    <m/>
    <s v="13CC675G"/>
    <s v="Repair-EA"/>
    <s v="EM"/>
    <s v="PW1000G"/>
    <s v="24K"/>
    <m/>
    <d v="2023-01-09T00:53:47"/>
    <d v="2025-02-24T05:00:00"/>
    <d v="2025-02-24T05:00:00"/>
    <x v="199"/>
    <d v="2025-02-21T18:34:06"/>
    <m/>
    <m/>
    <m/>
    <m/>
    <m/>
    <s v=""/>
    <s v=""/>
    <n v="0"/>
    <n v="773.17098379629897"/>
    <n v="773.17098379629897"/>
    <n v="0"/>
    <n v="0"/>
    <n v="0"/>
    <n v="0"/>
    <n v="0"/>
    <n v="0"/>
    <n v="0"/>
    <n v="0"/>
    <n v="0"/>
    <n v="773.17098379629897"/>
    <n v="773.17098379629897"/>
    <n v="-4"/>
    <n v="1"/>
  </r>
  <r>
    <s v="Cases &amp; Composites"/>
    <s v="CAS-170367-Z9L4L5"/>
    <s v="Robert Thompson"/>
    <s v="Complete"/>
    <s v="Resolved"/>
    <s v="2-Routine"/>
    <m/>
    <s v="23CC455"/>
    <s v="Repair-EA"/>
    <s v="OTC"/>
    <s v="PW1000G"/>
    <s v="30K"/>
    <m/>
    <d v="2023-02-02T19:06:39"/>
    <d v="2023-03-31T04:00:00"/>
    <d v="2024-02-09T05:00:00"/>
    <x v="128"/>
    <d v="2024-02-07T19:36:58"/>
    <s v="Inlet Cone Assembly"/>
    <m/>
    <m/>
    <m/>
    <m/>
    <s v=""/>
    <s v=""/>
    <n v="0"/>
    <n v="369.41204861111328"/>
    <n v="369.41204861111328"/>
    <n v="0"/>
    <n v="0"/>
    <n v="0"/>
    <n v="0"/>
    <n v="0"/>
    <n v="0"/>
    <n v="0"/>
    <n v="0"/>
    <n v="0"/>
    <n v="369.41204861111328"/>
    <n v="369.41204861111328"/>
    <n v="313.04166666667152"/>
    <n v="0"/>
  </r>
  <r>
    <s v="Cases &amp; Composites"/>
    <s v="CAS-172546-N4G9G2"/>
    <s v="Pedro Iturrino"/>
    <s v="Complete"/>
    <s v="Resolved"/>
    <s v="2-Routine"/>
    <m/>
    <s v="23KC199"/>
    <s v="Repair-EA"/>
    <s v="OTC"/>
    <s v="PW4000"/>
    <s v="AMO"/>
    <m/>
    <d v="2023-02-23T14:33:51"/>
    <d v="2023-05-23T04:00:00"/>
    <d v="2024-01-19T05:00:00"/>
    <x v="115"/>
    <d v="2024-01-08T13:25:45"/>
    <m/>
    <d v="2023-07-31T04:00:00"/>
    <d v="2023-12-18T05:00:00"/>
    <d v="2023-12-18T05:00:00"/>
    <d v="2023-12-18T05:00:00"/>
    <n v="140.04166666667152"/>
    <n v="0"/>
    <n v="140.04166666667152"/>
    <n v="315.60149305556115"/>
    <n v="175.55982638888963"/>
    <n v="0"/>
    <n v="0"/>
    <n v="0"/>
    <n v="0"/>
    <n v="0"/>
    <n v="26"/>
    <n v="0"/>
    <n v="0"/>
    <n v="26"/>
    <n v="289.60149305556115"/>
    <n v="149.55982638888963"/>
    <n v="227.04166666667152"/>
    <n v="0"/>
  </r>
  <r>
    <s v="Cases &amp; Composites"/>
    <s v="CAS-174457-H7N9M6"/>
    <s v="Orlando Melendez Colon"/>
    <s v="Complete"/>
    <s v="Resolved"/>
    <s v="2-Routine"/>
    <m/>
    <s v="23VG105"/>
    <s v="Repair-EA"/>
    <s v="EM"/>
    <s v="V2500"/>
    <m/>
    <s v="75%"/>
    <d v="2023-03-14T17:12:43"/>
    <d v="2024-12-13T05:00:00"/>
    <d v="2025-01-24T05:00:00"/>
    <x v="71"/>
    <d v="2025-01-14T18:04:23"/>
    <m/>
    <m/>
    <m/>
    <m/>
    <m/>
    <s v=""/>
    <s v=""/>
    <n v="0"/>
    <n v="665.4911689814835"/>
    <n v="665.4911689814835"/>
    <n v="0"/>
    <n v="0"/>
    <n v="0"/>
    <n v="0"/>
    <n v="375"/>
    <n v="0"/>
    <n v="0"/>
    <n v="0"/>
    <n v="375"/>
    <n v="290.4911689814835"/>
    <n v="290.4911689814835"/>
    <n v="26"/>
    <n v="0"/>
  </r>
  <r>
    <s v="Cases &amp; Composites"/>
    <s v="CAS-157208-Z3N2C1"/>
    <s v="Orlando Melendez Colon"/>
    <s v="Complete"/>
    <s v="Resolved"/>
    <s v="2-Routine"/>
    <m/>
    <s v="23VG214"/>
    <s v="Repair-EA"/>
    <s v="OTC"/>
    <s v="V2500"/>
    <s v="V2500"/>
    <m/>
    <d v="2022-08-31T09:29:46"/>
    <d v="2023-10-13T04:00:00"/>
    <d v="2025-02-28T05:00:00"/>
    <x v="47"/>
    <d v="2025-02-19T02:52:27"/>
    <m/>
    <d v="2023-07-26T04:00:00"/>
    <d v="2023-09-13T04:00:00"/>
    <d v="2023-09-13T04:00:00"/>
    <d v="2024-09-19T04:00:00"/>
    <n v="49"/>
    <n v="372"/>
    <n v="421"/>
    <n v="901.81266203703854"/>
    <n v="480.81266203703854"/>
    <n v="0"/>
    <n v="0"/>
    <n v="0"/>
    <n v="0"/>
    <n v="0"/>
    <n v="0"/>
    <n v="0"/>
    <n v="0"/>
    <n v="0"/>
    <n v="901.81266203703854"/>
    <n v="480.81266203703854"/>
    <n v="494.04166666667152"/>
    <n v="0"/>
  </r>
  <r>
    <s v="Cases &amp; Composites"/>
    <s v="CAS-182452-B7Y6S8"/>
    <s v="Orlando Melendez Colon"/>
    <s v="Complete"/>
    <s v="Resolved"/>
    <s v="2-Routine"/>
    <m/>
    <s v="23VG212"/>
    <s v="Repair-EA"/>
    <s v="OTC"/>
    <s v="V2500"/>
    <s v="V2500"/>
    <m/>
    <d v="2023-06-08T18:23:31"/>
    <d v="2023-08-18T04:00:00"/>
    <d v="2024-07-26T04:00:00"/>
    <x v="107"/>
    <d v="2024-07-20T02:43:50"/>
    <s v="July"/>
    <d v="2023-07-11T04:00:00"/>
    <d v="2023-12-14T05:00:00"/>
    <d v="2023-12-14T05:00:00"/>
    <d v="2024-04-19T04:00:00"/>
    <n v="156.04166666667152"/>
    <n v="126.95833333332848"/>
    <n v="283"/>
    <n v="403.40033564814803"/>
    <n v="120.40033564814803"/>
    <n v="0"/>
    <n v="0"/>
    <n v="0"/>
    <n v="0"/>
    <n v="0"/>
    <n v="104"/>
    <n v="0"/>
    <n v="0"/>
    <n v="104"/>
    <n v="299.40033564814803"/>
    <n v="16.40033564814803"/>
    <n v="333"/>
    <n v="0"/>
  </r>
  <r>
    <s v="Cases &amp; Composites"/>
    <s v="CAS-188088-V4W3L7"/>
    <s v="Orlando Melendez Colon"/>
    <s v="Complete"/>
    <s v="Resolved"/>
    <s v="2-Routine"/>
    <m/>
    <s v="24VG087"/>
    <s v="Repair-EA"/>
    <s v="OTC"/>
    <s v="V2500"/>
    <s v="V2500"/>
    <s v="75%"/>
    <d v="2023-08-04T12:15:37"/>
    <d v="2025-02-28T05:00:00"/>
    <d v="2025-02-28T05:00:00"/>
    <x v="199"/>
    <d v="2025-02-25T13:14:44"/>
    <m/>
    <d v="2025-02-12T05:00:00"/>
    <d v="2025-02-12T05:00:00"/>
    <d v="2025-02-12T05:00:00"/>
    <d v="2025-02-12T05:00:00"/>
    <n v="0"/>
    <n v="0"/>
    <n v="0"/>
    <n v="565.69748842592526"/>
    <n v="565.69748842592526"/>
    <n v="0"/>
    <n v="0"/>
    <n v="0"/>
    <n v="0"/>
    <n v="0"/>
    <n v="0"/>
    <n v="0"/>
    <n v="0"/>
    <n v="0"/>
    <n v="565.69748842592526"/>
    <n v="565.69748842592526"/>
    <n v="-8"/>
    <n v="1"/>
  </r>
  <r>
    <s v="Cases &amp; Composites"/>
    <s v="CAS-191008-B3K4J5"/>
    <s v="Orlando Melendez Colon"/>
    <s v="Complete"/>
    <s v="Resolved"/>
    <s v="2-Routine"/>
    <m/>
    <s v="23VG318"/>
    <s v="Repair-EA"/>
    <s v="OTC"/>
    <s v="V2500"/>
    <s v="V2500"/>
    <m/>
    <d v="2023-09-04T13:04:38"/>
    <d v="2023-11-30T05:00:00"/>
    <d v="2024-04-26T04:00:00"/>
    <x v="66"/>
    <d v="2024-04-25T02:55:25"/>
    <s v="Apr"/>
    <d v="2023-09-14T04:00:00"/>
    <d v="2023-09-19T04:00:00"/>
    <d v="2023-09-19T04:00:00"/>
    <d v="2023-11-17T05:00:00"/>
    <n v="5"/>
    <n v="59.041666666671517"/>
    <n v="64.041666666671517"/>
    <n v="231.62178240740468"/>
    <n v="167.58011574073316"/>
    <n v="0"/>
    <n v="0"/>
    <n v="0"/>
    <n v="0"/>
    <n v="0"/>
    <n v="0"/>
    <n v="0"/>
    <n v="0"/>
    <n v="0"/>
    <n v="231.62178240740468"/>
    <n v="167.58011574073316"/>
    <n v="144.95833333332848"/>
    <n v="0"/>
  </r>
  <r>
    <s v="Cases &amp; Composites"/>
    <s v="CAS-194518-X9Q7C0"/>
    <s v="Pedro Iturrino"/>
    <s v="Complete"/>
    <s v="Resolved"/>
    <s v="2-Routine"/>
    <m/>
    <s v="23KC557"/>
    <s v="Repair-EA"/>
    <s v="OTC"/>
    <s v="PW4000"/>
    <s v="AMO"/>
    <m/>
    <d v="2023-10-09T20:27:45"/>
    <d v="2024-02-23T05:00:00"/>
    <d v="2024-03-14T04:00:00"/>
    <x v="273"/>
    <d v="2024-03-11T14:10:42"/>
    <s v="MAR2"/>
    <d v="2023-10-23T04:00:00"/>
    <d v="2023-12-20T05:00:00"/>
    <d v="2023-12-20T05:00:00"/>
    <d v="2024-01-31T05:00:00"/>
    <n v="58.041666666671517"/>
    <n v="42"/>
    <n v="100.04166666667152"/>
    <n v="150.3557291666657"/>
    <n v="50.314062499994179"/>
    <n v="0"/>
    <n v="0"/>
    <n v="0"/>
    <n v="0"/>
    <n v="0"/>
    <n v="0"/>
    <n v="0"/>
    <n v="0"/>
    <n v="0"/>
    <n v="150.3557291666657"/>
    <n v="50.314062499994179"/>
    <n v="14"/>
    <n v="0"/>
  </r>
  <r>
    <s v="Cases &amp; Composites"/>
    <s v="CAS-194343-N2X4Z7"/>
    <s v="Orlando Melendez Colon"/>
    <s v="Complete"/>
    <s v="Resolved"/>
    <s v="2-Routine"/>
    <m/>
    <s v="23VC504"/>
    <s v="Repair-EA"/>
    <s v="EM"/>
    <s v="V2500"/>
    <s v="V2500"/>
    <m/>
    <d v="2023-10-06T20:35:53"/>
    <d v="2024-03-29T04:00:00"/>
    <d v="2024-03-29T04:00:00"/>
    <x v="274"/>
    <d v="2024-03-11T11:51:44"/>
    <s v="mar"/>
    <d v="2024-01-15T05:00:00"/>
    <d v="2024-01-16T05:00:00"/>
    <d v="2024-01-16T05:00:00"/>
    <d v="2024-01-16T05:00:00"/>
    <n v="1"/>
    <n v="0"/>
    <n v="1"/>
    <n v="144.35008101852145"/>
    <n v="143.35008101852145"/>
    <n v="0"/>
    <n v="0"/>
    <n v="0"/>
    <n v="0"/>
    <n v="0"/>
    <n v="0"/>
    <n v="0"/>
    <n v="0"/>
    <n v="0"/>
    <n v="144.35008101852145"/>
    <n v="143.35008101852145"/>
    <n v="-29.958333333328483"/>
    <n v="1"/>
  </r>
  <r>
    <s v="Cases &amp; Composites"/>
    <s v="CAS-197411-M9B7N6"/>
    <s v="Jia Chen"/>
    <s v="Complete"/>
    <s v="Resolved"/>
    <s v="2-Routine"/>
    <m/>
    <s v="23VC522"/>
    <s v="Repair-EA"/>
    <s v="OTC"/>
    <s v="V2500"/>
    <s v="AMO"/>
    <m/>
    <d v="2023-11-06T16:19:34"/>
    <d v="2024-01-26T05:00:00"/>
    <d v="2024-02-20T05:00:00"/>
    <x v="34"/>
    <d v="2024-02-19T22:41:24"/>
    <s v="FEB1"/>
    <d v="2023-12-19T05:00:00"/>
    <d v="2023-12-22T05:00:00"/>
    <d v="2023-12-22T05:00:00"/>
    <d v="2024-01-19T05:00:00"/>
    <n v="3"/>
    <n v="28"/>
    <n v="31"/>
    <n v="93.528078703704523"/>
    <n v="62.528078703704523"/>
    <n v="0"/>
    <n v="0"/>
    <n v="0"/>
    <n v="0"/>
    <n v="0"/>
    <n v="0"/>
    <n v="0"/>
    <n v="0"/>
    <n v="0"/>
    <n v="93.528078703704523"/>
    <n v="62.528078703704523"/>
    <n v="13"/>
    <n v="0"/>
  </r>
  <r>
    <s v="Cases &amp; Composites"/>
    <s v="CAS-197939-X4R5Q9"/>
    <s v="Orlando Melendez Colon"/>
    <s v="Complete"/>
    <s v="Resolved"/>
    <s v="2-Routine"/>
    <m/>
    <s v="23VC549"/>
    <s v="Repair-EA"/>
    <s v="OTC"/>
    <s v="V2500"/>
    <s v="V2500"/>
    <m/>
    <d v="2023-11-10T15:53:51"/>
    <d v="2024-03-20T04:00:00"/>
    <d v="2024-05-03T04:00:00"/>
    <x v="123"/>
    <d v="2024-05-04T03:42:18"/>
    <s v="May"/>
    <d v="2024-01-15T05:00:00"/>
    <d v="2024-01-23T05:00:00"/>
    <d v="2024-01-23T05:00:00"/>
    <d v="2024-02-02T05:00:00"/>
    <n v="8"/>
    <n v="10"/>
    <n v="18"/>
    <n v="173.50427083332761"/>
    <n v="155.50427083332761"/>
    <n v="0"/>
    <n v="0"/>
    <n v="0"/>
    <n v="0"/>
    <n v="0"/>
    <n v="0"/>
    <n v="0"/>
    <n v="0"/>
    <n v="0"/>
    <n v="173.50427083332761"/>
    <n v="155.50427083332761"/>
    <n v="43"/>
    <n v="0"/>
  </r>
  <r>
    <s v="Cases &amp; Composites"/>
    <s v="CAS-195179-X7R6C6"/>
    <s v="Orlando Melendez Colon"/>
    <s v="Complete"/>
    <s v="Resolved"/>
    <s v="2-Routine"/>
    <m/>
    <s v="23VG360"/>
    <s v="Repair-EA"/>
    <s v="OTC"/>
    <s v="V2500"/>
    <s v="V2500"/>
    <m/>
    <d v="2023-10-16T12:30:14"/>
    <d v="2024-04-15T04:00:00"/>
    <d v="2024-04-30T04:00:00"/>
    <x v="108"/>
    <d v="2024-04-19T20:25:42"/>
    <s v="Apr"/>
    <d v="2023-12-14T05:00:00"/>
    <d v="2024-01-19T05:00:00"/>
    <d v="2024-01-19T05:00:00"/>
    <d v="2024-04-12T04:00:00"/>
    <n v="36"/>
    <n v="83.958333333328483"/>
    <n v="119.95833333332848"/>
    <n v="183.64567129629722"/>
    <n v="63.687337962968741"/>
    <n v="0"/>
    <n v="0"/>
    <n v="0"/>
    <n v="0"/>
    <n v="0"/>
    <n v="8"/>
    <n v="0"/>
    <n v="0"/>
    <n v="8"/>
    <n v="175.64567129629722"/>
    <n v="55.687337962968741"/>
    <n v="2"/>
    <n v="0"/>
  </r>
  <r>
    <s v="Cases &amp; Composites"/>
    <s v="CAS-202537-Y6G2L4"/>
    <s v="Robert Thompson"/>
    <s v="Complete"/>
    <s v="Resolved"/>
    <s v="2-Routine"/>
    <m/>
    <s v="23CCY61"/>
    <s v="Repair-EA"/>
    <s v="OTC"/>
    <s v="PW1000G"/>
    <s v="30K CIPT"/>
    <m/>
    <d v="2024-01-02T15:46:24"/>
    <d v="2024-01-12T05:00:00"/>
    <d v="2024-01-12T05:00:00"/>
    <x v="275"/>
    <d v="2024-01-10T19:24:39"/>
    <m/>
    <d v="2024-01-02T05:00:00"/>
    <d v="2024-01-02T05:00:00"/>
    <d v="2024-01-02T05:00:00"/>
    <d v="2024-01-02T05:00:00"/>
    <n v="0"/>
    <n v="0"/>
    <n v="0"/>
    <n v="7.5511111111118225"/>
    <n v="7.5511111111118225"/>
    <n v="0"/>
    <n v="0"/>
    <n v="0"/>
    <n v="0"/>
    <n v="0"/>
    <n v="0"/>
    <n v="0"/>
    <n v="0"/>
    <n v="0"/>
    <n v="7.5511111111118225"/>
    <n v="7.5511111111118225"/>
    <n v="-2"/>
    <n v="1"/>
  </r>
  <r>
    <s v="Cases &amp; Composites"/>
    <s v="CAS-203158-R3M0V9"/>
    <s v="Orlando Melendez Colon"/>
    <s v="Complete"/>
    <s v="Resolved"/>
    <s v="2-Routine"/>
    <m/>
    <s v="24VG013"/>
    <s v="Repair-EA"/>
    <s v="OTC"/>
    <s v="V2500"/>
    <s v="V2500"/>
    <m/>
    <d v="2024-01-09T10:13:19"/>
    <d v="2024-02-23T05:00:00"/>
    <d v="2024-02-23T05:00:00"/>
    <x v="276"/>
    <d v="2024-02-07T19:45:03"/>
    <s v="feb"/>
    <m/>
    <m/>
    <m/>
    <m/>
    <s v=""/>
    <s v=""/>
    <n v="0"/>
    <n v="27.782418981485534"/>
    <n v="27.782418981485534"/>
    <n v="0"/>
    <n v="0"/>
    <n v="0"/>
    <n v="0"/>
    <n v="0"/>
    <n v="0"/>
    <n v="0"/>
    <n v="0"/>
    <n v="0"/>
    <n v="27.782418981485534"/>
    <n v="27.782418981485534"/>
    <n v="-17"/>
    <n v="1"/>
  </r>
  <r>
    <s v="Cases &amp; Composites"/>
    <n v="103703"/>
    <s v="Ferdin Mustafa"/>
    <s v="Complete"/>
    <s v="Closed"/>
    <s v="2-Routine"/>
    <m/>
    <s v="24FC029"/>
    <s v="Repair-EA"/>
    <s v="OTC"/>
    <s v="PW2000"/>
    <s v="F117"/>
    <m/>
    <d v="2024-01-26T05:00:00"/>
    <d v="2024-03-01T05:00:00"/>
    <d v="2024-03-01T05:00:00"/>
    <x v="277"/>
    <d v="2024-02-22T20:15:48"/>
    <m/>
    <d v="2024-01-29T05:00:00"/>
    <d v="2024-01-30T05:00:00"/>
    <d v="2024-01-30T05:00:00"/>
    <d v="2024-02-15T05:00:00"/>
    <n v="1"/>
    <n v="16"/>
    <n v="17"/>
    <n v="25"/>
    <n v="8"/>
    <n v="0"/>
    <n v="0"/>
    <n v="0"/>
    <n v="0"/>
    <n v="0"/>
    <n v="0"/>
    <n v="0"/>
    <n v="0"/>
    <n v="0"/>
    <n v="25"/>
    <n v="8"/>
    <n v="-10"/>
    <n v="1"/>
  </r>
  <r>
    <s v="Cases &amp; Composites"/>
    <s v="CAS-205118-V6X5V2"/>
    <s v="Jia Chen"/>
    <s v="Complete"/>
    <s v="Resolved"/>
    <s v="2-Routine"/>
    <m/>
    <s v="24VG128"/>
    <s v="Repair-EA"/>
    <s v="OTC"/>
    <s v="V2500"/>
    <s v="AMO"/>
    <m/>
    <d v="2024-01-29T16:21:37"/>
    <d v="2024-08-14T04:00:00"/>
    <d v="2024-10-15T04:00:00"/>
    <x v="278"/>
    <d v="2024-10-14T17:36:25"/>
    <s v="Oct"/>
    <d v="2024-06-20T04:00:00"/>
    <d v="2024-06-20T04:00:00"/>
    <d v="2024-06-20T04:00:00"/>
    <d v="2024-07-31T04:00:00"/>
    <n v="0"/>
    <n v="41"/>
    <n v="41"/>
    <n v="255.4849884259238"/>
    <n v="214.4849884259238"/>
    <n v="0"/>
    <n v="0"/>
    <n v="0"/>
    <n v="0"/>
    <n v="0"/>
    <n v="0"/>
    <n v="0"/>
    <n v="0"/>
    <n v="0"/>
    <n v="255.4849884259238"/>
    <n v="214.4849884259238"/>
    <n v="58"/>
    <n v="0"/>
  </r>
  <r>
    <s v="Cases &amp; Composites"/>
    <s v="CAS-205525-C5B7F5"/>
    <s v="Jia Chen"/>
    <s v="Complete"/>
    <s v="Resolved"/>
    <s v="2-Routine"/>
    <m/>
    <s v="24KC073"/>
    <s v="Repair-EA"/>
    <s v="OTC"/>
    <s v="PW4000"/>
    <s v="AMO"/>
    <m/>
    <d v="2024-02-01T16:34:45"/>
    <d v="2024-10-09T04:00:00"/>
    <d v="2024-10-28T04:00:00"/>
    <x v="179"/>
    <d v="2024-10-22T16:26:48"/>
    <m/>
    <d v="2024-02-08T05:00:00"/>
    <d v="2024-05-08T04:00:00"/>
    <d v="2024-05-08T04:00:00"/>
    <d v="2024-07-23T04:00:00"/>
    <n v="89.958333333328483"/>
    <n v="76"/>
    <n v="165.95833333332848"/>
    <n v="263.47586805555329"/>
    <n v="97.517534722224809"/>
    <n v="0"/>
    <n v="0"/>
    <n v="0"/>
    <n v="0"/>
    <n v="0"/>
    <n v="13"/>
    <n v="0"/>
    <n v="0"/>
    <n v="13"/>
    <n v="250.47586805555329"/>
    <n v="84.517534722224809"/>
    <n v="13"/>
    <n v="0"/>
  </r>
  <r>
    <s v="Cases &amp; Composites"/>
    <s v="CAS-205427-C1Y4X2"/>
    <s v="Robert Thompson"/>
    <s v="Complete"/>
    <s v="Resolved"/>
    <s v="2-Routine"/>
    <m/>
    <s v="24CC020"/>
    <s v="Repair-EA"/>
    <s v="OTC"/>
    <s v="PW1000G"/>
    <s v="30K CIPT"/>
    <m/>
    <d v="2024-01-31T20:58:37"/>
    <d v="2024-03-27T04:00:00"/>
    <d v="2024-03-27T04:00:00"/>
    <x v="154"/>
    <d v="2024-03-27T21:14:48"/>
    <s v="FanR-Blade"/>
    <d v="2024-02-06T05:00:00"/>
    <d v="2024-03-20T04:00:00"/>
    <d v="2024-03-20T04:00:00"/>
    <d v="2024-03-20T04:00:00"/>
    <n v="42.958333333328483"/>
    <n v="0"/>
    <n v="42.958333333328483"/>
    <n v="55.292627314811398"/>
    <n v="12.334293981482915"/>
    <n v="0"/>
    <n v="0"/>
    <n v="0"/>
    <n v="0"/>
    <n v="0"/>
    <n v="27.723012615744665"/>
    <n v="0"/>
    <n v="0"/>
    <n v="27.723012615744665"/>
    <n v="27.569614699066733"/>
    <n v="-15.38871863426175"/>
    <n v="0"/>
    <n v="1"/>
  </r>
  <r>
    <s v="Cases &amp; Composites"/>
    <s v="MSG-240207-5C9FBC"/>
    <s v="Robert Thompson"/>
    <s v="Complete"/>
    <s v="Complete"/>
    <s v="2-Routine"/>
    <m/>
    <s v="24AC014"/>
    <s v="Repair-EA"/>
    <s v="EM"/>
    <s v="GP7000"/>
    <s v="GP7000"/>
    <m/>
    <d v="2024-02-07T05:00:00"/>
    <d v="2024-03-22T04:00:00"/>
    <d v="2024-05-09T04:00:00"/>
    <x v="119"/>
    <d v="2024-05-08T12:52:32"/>
    <s v="MayInlet Cone Rear Segment Assembly"/>
    <d v="2024-04-03T04:00:00"/>
    <d v="2024-04-05T04:00:00"/>
    <d v="2024-04-05T04:00:00"/>
    <d v="2024-04-08T04:00:00"/>
    <n v="2"/>
    <n v="3"/>
    <n v="5"/>
    <n v="83.958333333328483"/>
    <n v="78.958333333328483"/>
    <n v="0"/>
    <n v="0"/>
    <n v="0"/>
    <n v="0"/>
    <n v="0"/>
    <n v="0"/>
    <n v="0"/>
    <n v="0"/>
    <n v="0"/>
    <n v="83.958333333328483"/>
    <n v="78.958333333328483"/>
    <n v="40"/>
    <n v="0"/>
  </r>
  <r>
    <s v="Cases &amp; Composites"/>
    <s v="MSG-240122-C2A1EB"/>
    <s v="Robert Thompson"/>
    <s v="Complete"/>
    <s v="Complete"/>
    <s v="2-Routine"/>
    <m/>
    <s v="22KC506B"/>
    <s v="Repair-EA"/>
    <s v="EM"/>
    <s v="PW4000"/>
    <s v="OCE"/>
    <m/>
    <d v="2024-01-22T05:00:00"/>
    <d v="2024-03-29T04:00:00"/>
    <d v="2024-06-19T04:00:00"/>
    <x v="279"/>
    <d v="2024-06-21T17:50:28"/>
    <s v="Vane-Base Replacement (112&quot;);  PMO priority ACMT support"/>
    <d v="2024-03-13T04:00:00"/>
    <d v="2024-05-10T04:00:00"/>
    <d v="2024-05-10T04:00:00"/>
    <d v="2024-05-31T04:00:00"/>
    <n v="58"/>
    <n v="21"/>
    <n v="79"/>
    <n v="147.95833333332848"/>
    <n v="68.958333333328483"/>
    <n v="0"/>
    <n v="0"/>
    <n v="0"/>
    <n v="0"/>
    <n v="0"/>
    <n v="0"/>
    <n v="0"/>
    <n v="0"/>
    <n v="0"/>
    <n v="147.95833333332848"/>
    <n v="68.958333333328483"/>
    <n v="81"/>
    <n v="0"/>
  </r>
  <r>
    <s v="Cases &amp; Composites"/>
    <s v="CAS-206430-X7F9T8"/>
    <s v="Dean Catlett"/>
    <s v="Complete"/>
    <s v="Resolved"/>
    <s v="2-Routine"/>
    <m/>
    <s v="24AC001"/>
    <s v="Repair-EA"/>
    <s v="OTC"/>
    <s v="GP7000"/>
    <s v="GP7000"/>
    <s v="75%"/>
    <d v="2024-02-12T15:10:39"/>
    <d v="2024-04-17T04:00:00"/>
    <d v="2024-12-13T05:00:00"/>
    <x v="228"/>
    <d v="2024-12-02T15:44:26"/>
    <s v="Salesforce Case # 01929301November 2024 Commitment"/>
    <d v="2024-10-21T04:00:00"/>
    <d v="2024-10-21T04:00:00"/>
    <d v="2024-10-21T04:00:00"/>
    <d v="2024-11-05T05:00:00"/>
    <n v="0"/>
    <n v="15.041666666671517"/>
    <n v="15.041666666671517"/>
    <n v="287.57593750000524"/>
    <n v="272.53427083333372"/>
    <n v="0"/>
    <n v="0"/>
    <n v="0"/>
    <n v="0"/>
    <n v="161"/>
    <n v="0"/>
    <n v="0"/>
    <n v="0"/>
    <n v="161"/>
    <n v="126.57593750000524"/>
    <n v="111.53427083333372"/>
    <n v="223.04166666667152"/>
    <n v="0"/>
  </r>
  <r>
    <s v="Cases &amp; Composites"/>
    <s v="MSG-240222-03CA51"/>
    <s v="Robert Thompson"/>
    <s v="Complete"/>
    <s v="Complete"/>
    <s v="2-Routine"/>
    <m/>
    <s v="24CC685"/>
    <s v="Repair-EA"/>
    <s v="EM"/>
    <s v="PW1000G"/>
    <s v="PIP"/>
    <m/>
    <d v="2024-02-22T05:00:00"/>
    <d v="2024-06-07T04:00:00"/>
    <d v="2024-05-27T04:00:00"/>
    <x v="36"/>
    <d v="2024-05-24T17:16:55"/>
    <m/>
    <d v="2024-03-20T04:00:00"/>
    <d v="2024-04-15T04:00:00"/>
    <d v="2024-04-15T04:00:00"/>
    <d v="2024-04-22T04:00:00"/>
    <n v="26"/>
    <n v="7"/>
    <n v="33"/>
    <n v="91.958333333328483"/>
    <n v="58.958333333328483"/>
    <n v="0"/>
    <n v="0"/>
    <n v="0"/>
    <n v="0"/>
    <n v="0"/>
    <n v="0"/>
    <n v="0"/>
    <n v="0"/>
    <n v="0"/>
    <n v="91.958333333328483"/>
    <n v="58.958333333328483"/>
    <n v="-14"/>
    <n v="1"/>
  </r>
  <r>
    <s v="Cases &amp; Composites"/>
    <s v="CAS-208752-K5M9S5"/>
    <s v="Robert Thompson"/>
    <s v="Complete"/>
    <s v="Resolved"/>
    <s v="2-Routine"/>
    <m/>
    <s v="24CC621"/>
    <s v="Repair-EA"/>
    <s v="OTC"/>
    <s v="PW1000G"/>
    <s v="30K CIPT"/>
    <m/>
    <d v="2024-03-06T20:13:42"/>
    <d v="2024-03-27T04:00:00"/>
    <d v="2024-03-27T04:00:00"/>
    <x v="280"/>
    <d v="2024-03-28T19:04:30"/>
    <m/>
    <d v="2024-03-13T04:00:00"/>
    <d v="2024-03-15T04:00:00"/>
    <d v="2024-03-15T04:00:00"/>
    <d v="2024-03-15T04:00:00"/>
    <n v="2"/>
    <n v="0"/>
    <n v="2"/>
    <n v="21.323819444442051"/>
    <n v="19.323819444442051"/>
    <n v="0"/>
    <n v="0"/>
    <n v="0"/>
    <n v="0"/>
    <n v="0"/>
    <n v="0"/>
    <n v="0"/>
    <n v="0"/>
    <n v="0"/>
    <n v="21.323819444442051"/>
    <n v="19.323819444442051"/>
    <n v="1"/>
    <n v="0"/>
  </r>
  <r>
    <s v="Cases &amp; Composites"/>
    <s v="CAS-196187-G4J4P3"/>
    <s v="Bruce Zoyaar"/>
    <s v="Complete"/>
    <s v="Resolved"/>
    <s v="2-Routine"/>
    <m/>
    <s v="24KC317"/>
    <s v="Repair-EA"/>
    <s v="OTC"/>
    <s v="PW4000"/>
    <s v="AMO"/>
    <m/>
    <d v="2023-10-25T09:04:36"/>
    <d v="2024-10-23T04:00:00"/>
    <d v="2024-11-05T05:00:00"/>
    <x v="281"/>
    <d v="2024-10-17T01:49:54"/>
    <s v="October"/>
    <d v="2024-05-23T04:00:00"/>
    <d v="2024-10-01T04:00:00"/>
    <d v="2024-10-01T04:00:00"/>
    <d v="2024-10-04T04:00:00"/>
    <n v="131"/>
    <n v="3"/>
    <n v="134"/>
    <n v="356.78847222222248"/>
    <n v="222.78847222222248"/>
    <n v="0"/>
    <n v="0"/>
    <n v="16"/>
    <n v="68"/>
    <n v="0"/>
    <n v="0"/>
    <n v="0"/>
    <n v="0"/>
    <n v="84"/>
    <n v="272.78847222222248"/>
    <n v="138.78847222222248"/>
    <n v="-7"/>
    <n v="1"/>
  </r>
  <r>
    <s v="Cases &amp; Composites"/>
    <s v="CAS-210139-Z4V3C0"/>
    <s v="Robert Thompson"/>
    <s v="Complete"/>
    <s v="Resolved"/>
    <s v="2-Routine"/>
    <m/>
    <s v="24CCO36"/>
    <s v="Repair-EA"/>
    <s v="OTC"/>
    <s v="PW1000G"/>
    <s v="30K CIPT"/>
    <m/>
    <d v="2024-03-21T11:56:02"/>
    <d v="2024-10-18T04:00:00"/>
    <d v="2024-10-18T04:00:00"/>
    <x v="246"/>
    <d v="2024-10-21T12:56:42"/>
    <s v="FanR-Blade"/>
    <d v="2024-10-01T04:00:00"/>
    <d v="2024-10-07T04:00:00"/>
    <d v="2024-10-07T04:00:00"/>
    <d v="2024-10-07T04:00:00"/>
    <n v="6"/>
    <n v="0"/>
    <n v="6"/>
    <n v="211.66942129629024"/>
    <n v="205.66942129629024"/>
    <n v="0"/>
    <n v="0"/>
    <n v="0"/>
    <n v="0"/>
    <n v="0"/>
    <n v="0"/>
    <n v="0"/>
    <n v="0"/>
    <n v="0"/>
    <n v="211.66942129629024"/>
    <n v="205.66942129629024"/>
    <n v="1"/>
    <n v="0"/>
  </r>
  <r>
    <s v="Cases &amp; Composites"/>
    <s v="CAS-211088-Q8M1L7"/>
    <s v="Dean Catlett"/>
    <s v="Complete"/>
    <s v="Resolved"/>
    <s v="2-Routine"/>
    <m/>
    <s v="24KC193"/>
    <s v="Repair-EA"/>
    <s v="EM"/>
    <s v="PW4000"/>
    <m/>
    <m/>
    <d v="2024-04-02T04:59:58"/>
    <d v="2024-09-17T04:00:00"/>
    <d v="2024-06-28T04:00:00"/>
    <x v="282"/>
    <d v="2024-07-01T18:05:42"/>
    <s v="June 2024 Commitment"/>
    <d v="2024-04-24T04:00:00"/>
    <d v="2024-04-26T04:00:00"/>
    <d v="2024-04-26T04:00:00"/>
    <d v="2024-05-14T04:00:00"/>
    <n v="2"/>
    <n v="18"/>
    <n v="20"/>
    <n v="82.958356481482042"/>
    <n v="62.958356481482042"/>
    <n v="0"/>
    <n v="0"/>
    <n v="0"/>
    <n v="0"/>
    <n v="0"/>
    <n v="0"/>
    <n v="0"/>
    <n v="0"/>
    <n v="0"/>
    <n v="82.958356481482042"/>
    <n v="62.958356481482042"/>
    <n v="-85"/>
    <n v="1"/>
  </r>
  <r>
    <s v="Cases &amp; Composites"/>
    <s v="CAS-210916-G4W6F7"/>
    <s v="Tyler Abusbah"/>
    <s v="Complete"/>
    <s v="Resolved"/>
    <s v="2-Routine"/>
    <m/>
    <s v="24CC330A"/>
    <s v="Repair-EA"/>
    <s v="OTC"/>
    <s v="PW1000G"/>
    <s v="AMO"/>
    <m/>
    <d v="2024-03-29T14:41:57"/>
    <d v="2024-06-17T04:00:00"/>
    <d v="2024-06-17T04:00:00"/>
    <x v="133"/>
    <d v="2024-05-23T17:18:00"/>
    <s v="TIC Inner. May"/>
    <d v="2024-04-25T04:00:00"/>
    <d v="2024-05-01T04:00:00"/>
    <d v="2024-05-01T04:00:00"/>
    <d v="2024-05-01T04:00:00"/>
    <n v="6"/>
    <n v="0"/>
    <n v="6"/>
    <n v="52.554201388884394"/>
    <n v="46.554201388884394"/>
    <n v="0"/>
    <n v="0"/>
    <n v="0"/>
    <n v="0"/>
    <n v="0"/>
    <n v="0"/>
    <n v="0"/>
    <n v="0"/>
    <n v="0"/>
    <n v="52.554201388884394"/>
    <n v="46.554201388884394"/>
    <n v="-27"/>
    <n v="1"/>
  </r>
  <r>
    <s v="Cases &amp; Composites"/>
    <s v="CAS-212348-P3N0P1"/>
    <s v="Jia Chen"/>
    <s v="Complete"/>
    <s v="Resolved"/>
    <s v="2-Routine"/>
    <m/>
    <s v="24KC237"/>
    <s v="Repair-EA"/>
    <s v="OTC"/>
    <s v="PW4000"/>
    <s v="AMO"/>
    <m/>
    <d v="2024-04-16T18:35:15"/>
    <d v="2025-03-18T04:00:00"/>
    <d v="2025-03-18T04:00:00"/>
    <x v="192"/>
    <d v="2025-02-27T20:00:18"/>
    <m/>
    <d v="2024-05-03T04:00:00"/>
    <d v="2025-01-22T05:00:00"/>
    <d v="2025-01-22T05:00:00"/>
    <d v="2025-02-24T05:00:00"/>
    <n v="264.04166666667152"/>
    <n v="33"/>
    <n v="297.04166666667152"/>
    <n v="316.4338541666657"/>
    <n v="19.392187499994179"/>
    <n v="0"/>
    <n v="0"/>
    <n v="0"/>
    <n v="13"/>
    <n v="0"/>
    <n v="15"/>
    <n v="0"/>
    <n v="0"/>
    <n v="28"/>
    <n v="288.4338541666657"/>
    <n v="-8.6078125000058208"/>
    <n v="-18.958333333328483"/>
    <n v="1"/>
  </r>
  <r>
    <s v="Cases &amp; Composites"/>
    <n v="105355"/>
    <s v="Ferdin Mustafa"/>
    <s v="Complete"/>
    <s v="Closed"/>
    <s v="2-Routine"/>
    <m/>
    <s v="24FC129"/>
    <s v="Repair-EA"/>
    <s v="OTC"/>
    <s v="PW2000"/>
    <s v="F117"/>
    <m/>
    <d v="2024-04-17T04:00:00"/>
    <d v="2024-07-19T04:00:00"/>
    <d v="2024-07-19T04:00:00"/>
    <x v="283"/>
    <d v="2024-05-22T13:29:28"/>
    <m/>
    <d v="2024-04-24T04:00:00"/>
    <d v="2024-05-02T04:00:00"/>
    <d v="2024-05-02T04:00:00"/>
    <d v="2024-05-17T04:00:00"/>
    <n v="8"/>
    <n v="15"/>
    <n v="23"/>
    <n v="30"/>
    <n v="7"/>
    <n v="0"/>
    <n v="0"/>
    <n v="0"/>
    <n v="0"/>
    <n v="0"/>
    <n v="0"/>
    <n v="0"/>
    <n v="0"/>
    <n v="0"/>
    <n v="30"/>
    <n v="7"/>
    <n v="-63"/>
    <n v="1"/>
  </r>
  <r>
    <s v="Cases &amp; Composites"/>
    <s v="CAS-206648-K3P6L0"/>
    <s v="Tyler Abusbah"/>
    <s v="Complete"/>
    <s v="Resolved"/>
    <s v="2-Routine"/>
    <m/>
    <s v="24KC559"/>
    <s v="Repair-EA"/>
    <s v="OTC"/>
    <s v="PW4000"/>
    <s v="AMO"/>
    <m/>
    <d v="2024-03-15T01:38:46"/>
    <d v="2025-02-06T05:00:00"/>
    <d v="2025-02-14T05:00:00"/>
    <x v="240"/>
    <d v="2025-02-10T03:04:56"/>
    <s v="Feb"/>
    <d v="2024-10-07T04:00:00"/>
    <d v="2025-01-16T05:00:00"/>
    <d v="2025-01-16T05:00:00"/>
    <d v="2025-01-16T05:00:00"/>
    <n v="101.04166666667152"/>
    <n v="0"/>
    <n v="101.04166666667152"/>
    <n v="329.13974537037575"/>
    <n v="228.09807870370423"/>
    <n v="0"/>
    <n v="0"/>
    <n v="4"/>
    <n v="200"/>
    <n v="0"/>
    <n v="0"/>
    <n v="0"/>
    <n v="0"/>
    <n v="204"/>
    <n v="125.13974537037575"/>
    <n v="24.098078703704232"/>
    <n v="1"/>
    <n v="0"/>
  </r>
  <r>
    <s v="Cases &amp; Composites"/>
    <s v="CAS-213706-T5T4R9"/>
    <s v="Orlando Melendez Colon"/>
    <s v="Complete"/>
    <s v="Resolved"/>
    <s v="2-Routine"/>
    <m/>
    <s v="23VG359A"/>
    <s v="Repair-EA"/>
    <s v="OTC"/>
    <s v="V2500"/>
    <s v="V2500"/>
    <m/>
    <d v="2024-04-29T18:50:03"/>
    <d v="2024-06-28T04:00:00"/>
    <d v="2024-06-28T04:00:00"/>
    <x v="284"/>
    <d v="2024-07-02T14:52:37"/>
    <s v="July"/>
    <m/>
    <m/>
    <m/>
    <m/>
    <s v=""/>
    <s v=""/>
    <n v="0"/>
    <n v="59.38190972222219"/>
    <n v="59.38190972222219"/>
    <n v="0"/>
    <n v="0"/>
    <n v="0"/>
    <n v="0"/>
    <n v="0"/>
    <n v="0"/>
    <n v="0"/>
    <n v="0"/>
    <n v="0"/>
    <n v="59.38190972222219"/>
    <n v="59.38190972222219"/>
    <n v="0"/>
    <n v="1"/>
  </r>
  <r>
    <s v="Cases &amp; Composites"/>
    <s v="CAS-213175-W3L4X6"/>
    <s v="Robert Thompson"/>
    <s v="Complete"/>
    <s v="Resolved"/>
    <s v="2-Routine"/>
    <m/>
    <s v="11KC579A"/>
    <s v="Repair-EA"/>
    <s v="Discretionary"/>
    <s v="PW4000"/>
    <s v="AMO"/>
    <m/>
    <d v="2024-04-23T14:58:49"/>
    <d v="2024-08-23T04:00:00"/>
    <d v="2024-08-23T04:00:00"/>
    <x v="86"/>
    <d v="2024-08-19T17:37:30"/>
    <s v="August"/>
    <m/>
    <m/>
    <m/>
    <m/>
    <s v=""/>
    <s v=""/>
    <n v="0"/>
    <n v="114.54248842592642"/>
    <n v="114.54248842592642"/>
    <n v="0"/>
    <n v="0"/>
    <n v="0"/>
    <n v="0"/>
    <n v="0"/>
    <n v="0"/>
    <n v="0"/>
    <n v="0"/>
    <n v="0"/>
    <n v="114.54248842592642"/>
    <n v="114.54248842592642"/>
    <n v="-7"/>
    <n v="1"/>
  </r>
  <r>
    <s v="Cases &amp; Composites"/>
    <s v="CAS-213179-Q4T1V7"/>
    <s v="Robert Thompson"/>
    <s v="Complete"/>
    <s v="Resolved"/>
    <s v="2-Routine"/>
    <m/>
    <s v="20KC204A"/>
    <s v="Repair-EA"/>
    <s v="Discretionary"/>
    <s v="PW4000"/>
    <s v="AMO"/>
    <s v="75%"/>
    <d v="2024-04-23T15:10:47"/>
    <d v="2024-07-29T04:00:00"/>
    <d v="2024-09-06T04:00:00"/>
    <x v="285"/>
    <d v="2024-08-30T15:57:14"/>
    <s v="August"/>
    <m/>
    <m/>
    <m/>
    <m/>
    <s v=""/>
    <s v=""/>
    <n v="0"/>
    <n v="128.53417824074131"/>
    <n v="128.53417824074131"/>
    <n v="0"/>
    <n v="0"/>
    <n v="0"/>
    <n v="0"/>
    <n v="0"/>
    <n v="0"/>
    <n v="0"/>
    <n v="0"/>
    <n v="0"/>
    <n v="128.53417824074131"/>
    <n v="128.53417824074131"/>
    <n v="32"/>
    <n v="0"/>
  </r>
  <r>
    <s v="Cases &amp; Composites"/>
    <s v="CAS-205656-P5F6V8"/>
    <s v="Orlando Melendez Colon"/>
    <s v="Complete"/>
    <s v="Resolved"/>
    <s v="2-Routine"/>
    <m/>
    <s v="24VCA32"/>
    <s v="Repair-EA"/>
    <s v="OTC"/>
    <s v="V2500"/>
    <s v="V2500"/>
    <s v="75%"/>
    <d v="2024-02-02T18:18:38"/>
    <d v="2024-09-13T04:00:00"/>
    <d v="2024-07-30T04:00:00"/>
    <x v="286"/>
    <d v="2024-07-30T01:35:05"/>
    <m/>
    <d v="2024-07-16T04:00:00"/>
    <d v="2024-07-16T04:00:00"/>
    <d v="2024-07-16T04:00:00"/>
    <d v="2024-07-19T04:00:00"/>
    <n v="0"/>
    <n v="3"/>
    <n v="3"/>
    <n v="177.40372685185139"/>
    <n v="174.40372685185139"/>
    <n v="0"/>
    <n v="48"/>
    <n v="0"/>
    <n v="0"/>
    <n v="0"/>
    <n v="0"/>
    <n v="0"/>
    <n v="0"/>
    <n v="48"/>
    <n v="129.40372685185139"/>
    <n v="126.40372685185139"/>
    <n v="-46"/>
    <n v="1"/>
  </r>
  <r>
    <s v="Cases &amp; Composites"/>
    <s v="CAS-213828-D5B6R2"/>
    <s v="Tyler Abusbah"/>
    <s v="Complete"/>
    <s v="Resolved"/>
    <s v="2-Routine"/>
    <m/>
    <s v="24FC182"/>
    <s v="Repair-EA"/>
    <s v="OTC"/>
    <s v="PW2000"/>
    <s v="AMO"/>
    <s v="75%"/>
    <d v="2024-04-30T20:18:15"/>
    <d v="2024-08-14T04:00:00"/>
    <d v="2024-10-25T04:00:00"/>
    <x v="281"/>
    <d v="2024-10-16T19:27:57"/>
    <s v="Oct"/>
    <d v="2024-06-07T04:00:00"/>
    <d v="2024-08-13T04:00:00"/>
    <d v="2024-08-13T04:00:00"/>
    <d v="2024-08-27T04:00:00"/>
    <n v="67"/>
    <n v="14"/>
    <n v="81"/>
    <n v="168.32065972222335"/>
    <n v="87.320659722223354"/>
    <n v="6"/>
    <n v="0"/>
    <n v="0"/>
    <n v="0"/>
    <n v="0"/>
    <n v="7"/>
    <n v="0"/>
    <n v="0"/>
    <n v="13"/>
    <n v="155.32065972222335"/>
    <n v="74.320659722223354"/>
    <n v="63"/>
    <n v="0"/>
  </r>
  <r>
    <s v="Cases &amp; Composites"/>
    <s v="CAS-217665-G5Z6Z2"/>
    <s v="Robert Thompson"/>
    <s v="Complete"/>
    <s v="Resolved"/>
    <s v="2-Routine"/>
    <m/>
    <s v="15CCH20M"/>
    <s v="Repair-EA"/>
    <s v="EM"/>
    <s v="PW1000G"/>
    <s v="30K"/>
    <s v="75%"/>
    <d v="2024-06-11T08:48:10"/>
    <d v="2024-08-30T04:00:00"/>
    <d v="2024-08-16T04:00:00"/>
    <x v="82"/>
    <d v="2024-08-16T10:42:05"/>
    <s v="FanR-Blade"/>
    <m/>
    <m/>
    <m/>
    <m/>
    <s v=""/>
    <s v=""/>
    <n v="0"/>
    <n v="64.799884259256942"/>
    <n v="64.799884259256942"/>
    <n v="0"/>
    <n v="0"/>
    <n v="0"/>
    <n v="0"/>
    <n v="0"/>
    <n v="0"/>
    <n v="0"/>
    <n v="0"/>
    <n v="0"/>
    <n v="64.799884259256942"/>
    <n v="64.799884259256942"/>
    <n v="-15"/>
    <n v="1"/>
  </r>
  <r>
    <s v="Cases &amp; Composites"/>
    <s v="CAS-215383-S8J9W4"/>
    <s v="Alexander Page"/>
    <s v="Complete"/>
    <s v="Resolved"/>
    <s v="2-Routine"/>
    <m/>
    <s v="24CCF89"/>
    <s v="Repair-EA"/>
    <s v="OTC"/>
    <s v="PW1000G"/>
    <s v="24K"/>
    <s v="75%"/>
    <d v="2024-05-17T20:16:16"/>
    <d v="2025-04-30T04:00:00"/>
    <d v="2025-05-02T04:00:00"/>
    <x v="271"/>
    <d v="2025-04-28T18:37:49"/>
    <s v="apr2025"/>
    <d v="2024-08-19T04:00:00"/>
    <d v="2024-08-19T04:00:00"/>
    <d v="2024-08-19T04:00:00"/>
    <d v="2025-03-11T04:00:00"/>
    <n v="0"/>
    <n v="204"/>
    <n v="204"/>
    <n v="345.32203703703271"/>
    <n v="141.32203703703271"/>
    <n v="23.893911574072263"/>
    <n v="0"/>
    <n v="0"/>
    <n v="14.798241006945318"/>
    <n v="0"/>
    <n v="0"/>
    <n v="0"/>
    <n v="0"/>
    <n v="38.692152581017581"/>
    <n v="306.62988445601513"/>
    <n v="102.62988445601513"/>
    <n v="-2"/>
    <n v="1"/>
  </r>
  <r>
    <s v="Cases &amp; Composites"/>
    <s v="CAS-218295-H2J1Z7"/>
    <s v="Robert Thompson"/>
    <s v="Complete"/>
    <s v="Resolved"/>
    <s v="2-Routine"/>
    <m/>
    <s v="24CCF52"/>
    <s v="Repair-EA"/>
    <s v="OTC"/>
    <s v="PW1000G"/>
    <s v="30K"/>
    <s v="75%"/>
    <d v="2024-06-17T14:36:25"/>
    <d v="2024-07-31T04:00:00"/>
    <d v="2024-07-31T04:00:00"/>
    <x v="287"/>
    <d v="2024-07-19T12:53:30"/>
    <s v="July"/>
    <d v="2024-06-28T04:00:00"/>
    <d v="2024-06-28T04:00:00"/>
    <d v="2024-06-28T04:00:00"/>
    <d v="2024-06-28T04:00:00"/>
    <n v="0"/>
    <n v="0"/>
    <n v="0"/>
    <n v="31.558043981480296"/>
    <n v="31.558043981480296"/>
    <n v="0"/>
    <n v="0"/>
    <n v="0"/>
    <n v="0"/>
    <n v="0"/>
    <n v="0"/>
    <n v="0"/>
    <n v="0"/>
    <n v="0"/>
    <n v="31.558043981480296"/>
    <n v="31.558043981480296"/>
    <n v="-12"/>
    <n v="1"/>
  </r>
  <r>
    <s v="Cases &amp; Composites"/>
    <s v="CAS-216982-N4T7D5"/>
    <s v="Tyler Abusbah"/>
    <s v="Complete"/>
    <s v="Resolved"/>
    <s v="2-Routine"/>
    <m/>
    <s v="24CCG57"/>
    <s v="Repair-EA"/>
    <s v="OTC"/>
    <s v="PW1000G"/>
    <s v="30K"/>
    <s v="75%"/>
    <d v="2024-06-04T15:27:57"/>
    <d v="2024-09-06T04:00:00"/>
    <d v="2024-07-25T04:00:00"/>
    <x v="155"/>
    <d v="2024-07-12T15:16:44"/>
    <s v="TIC Inner"/>
    <m/>
    <m/>
    <m/>
    <m/>
    <s v=""/>
    <s v=""/>
    <n v="0"/>
    <n v="37.522256944444962"/>
    <n v="37.522256944444962"/>
    <n v="0"/>
    <n v="0"/>
    <n v="0"/>
    <n v="0"/>
    <n v="0"/>
    <n v="0"/>
    <n v="0"/>
    <n v="0"/>
    <n v="0"/>
    <n v="37.522256944444962"/>
    <n v="37.522256944444962"/>
    <n v="-56"/>
    <n v="1"/>
  </r>
  <r>
    <s v="Cases &amp; Composites"/>
    <s v="MSG-240702-26FD9E"/>
    <s v="Robert Thompson"/>
    <s v="Complete"/>
    <s v="Complete"/>
    <s v="2-Routine"/>
    <m/>
    <s v="24CCB06A"/>
    <s v="Repair-EA"/>
    <s v="OTC"/>
    <s v="PW1000G"/>
    <s v="30K"/>
    <s v="75%"/>
    <d v="2024-07-02T04:00:00"/>
    <d v="2024-07-31T04:00:00"/>
    <d v="2024-07-31T04:00:00"/>
    <x v="287"/>
    <d v="2024-07-22T10:52:16"/>
    <s v="Update location of blend area"/>
    <d v="2024-07-02T04:00:00"/>
    <d v="2024-07-09T04:00:00"/>
    <d v="2024-07-09T04:00:00"/>
    <d v="2024-07-09T04:00:00"/>
    <n v="7"/>
    <n v="0"/>
    <n v="7"/>
    <n v="17"/>
    <n v="10"/>
    <n v="0"/>
    <n v="0"/>
    <n v="0"/>
    <n v="0"/>
    <n v="0"/>
    <n v="0"/>
    <n v="0"/>
    <n v="0"/>
    <n v="0"/>
    <n v="17"/>
    <n v="10"/>
    <n v="-12"/>
    <n v="1"/>
  </r>
  <r>
    <s v="Cases &amp; Composites"/>
    <s v="CAS-219868-T9J7F0"/>
    <s v="Robert Thompson"/>
    <s v="Complete"/>
    <s v="Resolved"/>
    <s v="2-Routine"/>
    <m/>
    <s v="24CCG67"/>
    <s v="Repair-EA"/>
    <s v="MR"/>
    <s v="PW1000G"/>
    <s v="30K CIPT"/>
    <m/>
    <d v="2024-07-02T18:11:32"/>
    <d v="2024-07-23T04:00:00"/>
    <d v="2024-07-23T04:00:00"/>
    <x v="166"/>
    <d v="2024-07-24T12:19:07"/>
    <s v="DDM: 24185J1ESF"/>
    <d v="2024-07-03T04:00:00"/>
    <d v="2024-07-08T04:00:00"/>
    <d v="2024-07-08T04:00:00"/>
    <d v="2024-07-08T04:00:00"/>
    <n v="5"/>
    <n v="0"/>
    <n v="5"/>
    <n v="21.408657407402643"/>
    <n v="16.408657407402643"/>
    <n v="0"/>
    <n v="0"/>
    <n v="0"/>
    <n v="0"/>
    <n v="0"/>
    <n v="0"/>
    <n v="0"/>
    <n v="0"/>
    <n v="0"/>
    <n v="21.408657407402643"/>
    <n v="16.408657407402643"/>
    <n v="1"/>
    <n v="0"/>
  </r>
  <r>
    <s v="Cases &amp; Composites"/>
    <s v="CAS-218565-M1Y7V5"/>
    <s v="Robert Thompson"/>
    <s v="Complete"/>
    <s v="Resolved"/>
    <s v="2-Routine"/>
    <m/>
    <s v="17CC494D"/>
    <s v="Repair-EA"/>
    <s v="EM"/>
    <s v="PW1000G"/>
    <s v="AMO"/>
    <s v="75%"/>
    <d v="2024-06-19T13:36:52"/>
    <d v="2025-03-05T05:00:00"/>
    <d v="2024-08-30T04:00:00"/>
    <x v="93"/>
    <d v="2024-08-21T16:35:27"/>
    <m/>
    <m/>
    <m/>
    <m/>
    <m/>
    <s v=""/>
    <s v=""/>
    <n v="0"/>
    <n v="62.599398148144246"/>
    <n v="62.599398148144246"/>
    <n v="0"/>
    <n v="0"/>
    <n v="0"/>
    <n v="0"/>
    <n v="0"/>
    <n v="0"/>
    <n v="0"/>
    <n v="0"/>
    <n v="0"/>
    <n v="62.599398148144246"/>
    <n v="62.599398148144246"/>
    <n v="-196.04166666667152"/>
    <n v="1"/>
  </r>
  <r>
    <s v="Cases &amp; Composites"/>
    <s v="CAS-211369-S2T0P2"/>
    <s v="Alexander Page"/>
    <s v="Complete"/>
    <s v="Resolved"/>
    <s v="2-Routine"/>
    <m/>
    <s v="24CCK42"/>
    <s v="Repair-EA"/>
    <s v="OTC"/>
    <s v="PW1000G"/>
    <s v="24K"/>
    <s v="50%"/>
    <d v="2024-04-04T12:30:04"/>
    <d v="2025-04-04T04:00:00"/>
    <d v="2025-07-11T04:00:00"/>
    <x v="20"/>
    <d v="2025-07-07T14:56:12"/>
    <s v="JUL2025"/>
    <d v="2024-08-19T04:00:00"/>
    <d v="2024-08-20T04:00:00"/>
    <d v="2024-08-20T04:00:00"/>
    <d v="2025-03-21T04:00:00"/>
    <n v="1"/>
    <n v="213"/>
    <n v="214"/>
    <n v="453.64578703703592"/>
    <n v="239.64578703703592"/>
    <n v="52.820924004634435"/>
    <n v="13.968890011579788"/>
    <n v="0"/>
    <n v="0"/>
    <n v="0"/>
    <n v="0"/>
    <n v="0"/>
    <n v="0"/>
    <n v="66.789814016214223"/>
    <n v="386.85597302082169"/>
    <n v="172.85597302082169"/>
    <n v="89"/>
    <n v="0"/>
  </r>
  <r>
    <s v="Cases &amp; Composites"/>
    <s v="CAS-216563-Z1N9T6"/>
    <s v="Ferdin Mustafa"/>
    <s v="Complete"/>
    <s v="Resolved"/>
    <s v="2-Routine"/>
    <m/>
    <s v="24AC058"/>
    <s v="Repair-EA"/>
    <s v="OTC"/>
    <s v="GP7000"/>
    <s v="GP7000"/>
    <s v="75%"/>
    <d v="2024-05-30T15:34:24"/>
    <d v="2024-11-28T05:00:00"/>
    <d v="2024-11-28T05:00:00"/>
    <x v="262"/>
    <d v="2024-11-12T15:17:26"/>
    <m/>
    <d v="2024-08-12T04:00:00"/>
    <d v="2024-08-29T04:00:00"/>
    <d v="2024-08-29T04:00:00"/>
    <d v="2024-10-10T04:00:00"/>
    <n v="17"/>
    <n v="42"/>
    <n v="59"/>
    <n v="161.55944444445049"/>
    <n v="102.55944444445049"/>
    <n v="15"/>
    <n v="4"/>
    <n v="0"/>
    <n v="6"/>
    <n v="0"/>
    <n v="14"/>
    <n v="0"/>
    <n v="0"/>
    <n v="39"/>
    <n v="122.55944444445049"/>
    <n v="63.559444444450492"/>
    <n v="-20"/>
    <n v="1"/>
  </r>
  <r>
    <s v="Cases &amp; Composites"/>
    <s v="CAS-202842-Y9F8T8"/>
    <s v="Alexander Page"/>
    <s v="Complete"/>
    <s v="Resolved"/>
    <s v="2-Routine"/>
    <m/>
    <s v="11CC453A"/>
    <s v="Repair-EA"/>
    <s v="EM"/>
    <s v="PW1000G"/>
    <s v="24K"/>
    <s v="75%"/>
    <d v="2024-01-04T21:01:46"/>
    <d v="2025-03-21T04:00:00"/>
    <d v="2025-03-07T05:00:00"/>
    <x v="288"/>
    <d v="2025-03-04T17:38:33"/>
    <s v="mar"/>
    <m/>
    <m/>
    <m/>
    <m/>
    <s v=""/>
    <s v=""/>
    <n v="0"/>
    <n v="423.33210648148088"/>
    <n v="423.33210648148088"/>
    <n v="0"/>
    <n v="137.19163204861252"/>
    <n v="0"/>
    <n v="0"/>
    <n v="0"/>
    <n v="0"/>
    <n v="0"/>
    <n v="0"/>
    <n v="137.19163204861252"/>
    <n v="286.14047443286836"/>
    <n v="286.14047443286836"/>
    <n v="-17.958333333328483"/>
    <n v="1"/>
  </r>
  <r>
    <s v="Cases &amp; Composites"/>
    <s v="CAS-222341-F9M2W1"/>
    <s v="Robert Thompson"/>
    <s v="Complete"/>
    <s v="Resolved"/>
    <s v="2-Routine"/>
    <m/>
    <s v="24CCK45"/>
    <s v="Repair-EA"/>
    <s v="OTC"/>
    <s v="PW1000G"/>
    <s v="30K CIPT"/>
    <s v="75%"/>
    <d v="2024-07-25T20:06:24"/>
    <d v="2024-08-23T04:00:00"/>
    <d v="2024-08-23T04:00:00"/>
    <x v="289"/>
    <d v="2024-08-08T14:28:24"/>
    <m/>
    <d v="2024-07-30T04:00:00"/>
    <d v="2024-08-02T04:00:00"/>
    <d v="2024-08-02T04:00:00"/>
    <d v="2024-08-02T04:00:00"/>
    <n v="3"/>
    <n v="0"/>
    <n v="3"/>
    <n v="13.328888888885558"/>
    <n v="10.328888888885558"/>
    <n v="0"/>
    <n v="0"/>
    <n v="0"/>
    <n v="0"/>
    <n v="0"/>
    <n v="0"/>
    <n v="0"/>
    <n v="0"/>
    <n v="0"/>
    <n v="13.328888888885558"/>
    <n v="10.328888888885558"/>
    <n v="-15"/>
    <n v="1"/>
  </r>
  <r>
    <s v="Cases &amp; Composites"/>
    <s v="CAS-215778-R7F8V0"/>
    <s v="Tyler Abusbah"/>
    <s v="Complete"/>
    <s v="Resolved"/>
    <s v="2-Routine"/>
    <m/>
    <s v="24FC298"/>
    <s v="Repair-EA"/>
    <s v="OTC"/>
    <s v="PW2000"/>
    <s v="AMO"/>
    <s v="75%"/>
    <d v="2024-05-22T20:57:25"/>
    <d v="2025-02-21T05:00:00"/>
    <d v="2025-03-03T05:00:00"/>
    <x v="235"/>
    <d v="2025-02-28T21:39:02"/>
    <s v="Feb"/>
    <d v="2025-01-03T05:00:00"/>
    <d v="2025-01-03T05:00:00"/>
    <d v="2025-01-03T05:00:00"/>
    <d v="2025-01-24T05:00:00"/>
    <n v="0"/>
    <n v="21"/>
    <n v="21"/>
    <n v="281.3351273148146"/>
    <n v="260.3351273148146"/>
    <n v="37"/>
    <n v="0"/>
    <n v="6"/>
    <n v="0"/>
    <n v="0"/>
    <n v="0"/>
    <n v="0"/>
    <n v="0"/>
    <n v="43"/>
    <n v="238.3351273148146"/>
    <n v="217.3351273148146"/>
    <n v="7"/>
    <n v="0"/>
  </r>
  <r>
    <s v="Cases &amp; Composites"/>
    <s v="CAS-208685-V1N5Y8"/>
    <s v="Orlando Melendez Colon"/>
    <s v="Complete"/>
    <s v="Resolved"/>
    <s v="2-Routine"/>
    <m/>
    <s v="24VG191"/>
    <s v="Repair-EA"/>
    <s v="EM"/>
    <s v="V2500"/>
    <s v="V2500"/>
    <s v="75%"/>
    <d v="2024-03-06T10:20:18"/>
    <d v="2024-11-15T05:00:00"/>
    <d v="2024-11-22T05:00:00"/>
    <x v="211"/>
    <d v="2024-11-21T18:40:48"/>
    <s v="Nov"/>
    <d v="2024-08-16T04:00:00"/>
    <d v="2024-09-04T04:00:00"/>
    <d v="2024-09-04T04:00:00"/>
    <d v="2024-10-09T04:00:00"/>
    <n v="19"/>
    <n v="35"/>
    <n v="54"/>
    <n v="259.77756944444991"/>
    <n v="205.77756944444991"/>
    <n v="0"/>
    <n v="0"/>
    <n v="0"/>
    <n v="0"/>
    <n v="0"/>
    <n v="0"/>
    <n v="0"/>
    <n v="0"/>
    <n v="0"/>
    <n v="259.77756944444991"/>
    <n v="205.77756944444991"/>
    <n v="6"/>
    <n v="0"/>
  </r>
  <r>
    <s v="Cases &amp; Composites"/>
    <s v="CAS-218822-F2T8Z6"/>
    <s v="Alexander Page"/>
    <s v="Complete"/>
    <s v="Resolved"/>
    <s v="2-Routine"/>
    <m/>
    <s v="24CCL93"/>
    <s v="Repair-EA"/>
    <s v="OTC"/>
    <s v="PW1000G"/>
    <s v="24K"/>
    <s v="25%"/>
    <d v="2024-06-21T16:15:57"/>
    <d v="2025-04-04T04:00:00"/>
    <d v="2025-05-30T04:00:00"/>
    <x v="206"/>
    <d v="2025-05-19T14:46:27"/>
    <s v="may2025"/>
    <d v="2024-10-24T04:00:00"/>
    <d v="2024-10-31T04:00:00"/>
    <d v="2024-10-31T04:00:00"/>
    <d v="2025-03-21T04:00:00"/>
    <n v="7"/>
    <n v="141"/>
    <n v="148"/>
    <n v="331.48892361111211"/>
    <n v="183.48892361111211"/>
    <n v="20.797822337961406"/>
    <n v="18.778806898153562"/>
    <n v="0"/>
    <n v="0"/>
    <n v="0"/>
    <n v="0"/>
    <n v="0"/>
    <n v="0"/>
    <n v="39.576629236114968"/>
    <n v="291.91229437499715"/>
    <n v="143.91229437499715"/>
    <n v="45"/>
    <n v="0"/>
  </r>
  <r>
    <s v="Cases &amp; Composites"/>
    <n v="106773"/>
    <s v="Jia Chen"/>
    <s v="Complete"/>
    <s v="Closed"/>
    <s v="2-Routine"/>
    <m/>
    <s v="24FC270"/>
    <s v="Repair-EA"/>
    <s v="OTC"/>
    <s v="PW2000"/>
    <s v="AMO"/>
    <s v="75%"/>
    <d v="2024-06-28T04:00:00"/>
    <d v="2024-12-16T05:00:00"/>
    <d v="2024-11-13T05:00:00"/>
    <x v="290"/>
    <d v="2024-10-18T19:58:08"/>
    <m/>
    <d v="2024-09-04T04:00:00"/>
    <d v="2024-10-02T04:00:00"/>
    <d v="2024-10-02T04:00:00"/>
    <d v="2024-10-03T04:00:00"/>
    <n v="28"/>
    <n v="1"/>
    <n v="29"/>
    <n v="112"/>
    <n v="83"/>
    <n v="3"/>
    <n v="0"/>
    <n v="0"/>
    <n v="0"/>
    <n v="0"/>
    <n v="0"/>
    <n v="0"/>
    <n v="0"/>
    <n v="3"/>
    <n v="109"/>
    <n v="80"/>
    <n v="-59.041666666671517"/>
    <n v="1"/>
  </r>
  <r>
    <s v="Cases &amp; Composites"/>
    <s v="CAS-223728-M3Q8C7"/>
    <s v="Ferdin Mustafa"/>
    <s v="Complete"/>
    <s v="Resolved"/>
    <s v="2-Routine"/>
    <m/>
    <s v="24AC068"/>
    <s v="Repair-EA"/>
    <s v="OTC"/>
    <s v="GP7000"/>
    <s v="GP7000"/>
    <s v="75%"/>
    <d v="2024-08-08T13:27:14"/>
    <d v="2024-11-21T05:00:00"/>
    <d v="2024-10-25T04:00:00"/>
    <x v="198"/>
    <d v="2024-10-30T17:34:36"/>
    <m/>
    <d v="2024-09-04T04:00:00"/>
    <d v="2024-09-12T04:00:00"/>
    <d v="2024-09-12T04:00:00"/>
    <d v="2024-10-07T04:00:00"/>
    <n v="8"/>
    <n v="25"/>
    <n v="33"/>
    <n v="77.606087962958554"/>
    <n v="44.606087962958554"/>
    <n v="0"/>
    <n v="0"/>
    <n v="0"/>
    <n v="0"/>
    <n v="0"/>
    <n v="6"/>
    <n v="0"/>
    <n v="0"/>
    <n v="6"/>
    <n v="71.606087962958554"/>
    <n v="38.606087962958554"/>
    <n v="-27.041666666671517"/>
    <n v="1"/>
  </r>
  <r>
    <s v="Cases &amp; Composites"/>
    <n v="107430"/>
    <s v="Brian K Holland"/>
    <s v="Complete"/>
    <s v="Closed"/>
    <s v="2-Routine"/>
    <m/>
    <s v="24FC276"/>
    <s v="Repair-EA"/>
    <s v="OTC"/>
    <s v="PW2000"/>
    <s v="AMO"/>
    <m/>
    <d v="2024-08-05T04:00:00"/>
    <d v="2024-12-13T05:00:00"/>
    <d v="2024-10-31T04:00:00"/>
    <x v="290"/>
    <d v="2024-10-21T13:22:18"/>
    <m/>
    <d v="2024-08-16T04:00:00"/>
    <d v="2024-09-11T04:00:00"/>
    <d v="2024-09-11T04:00:00"/>
    <d v="2024-10-14T04:00:00"/>
    <n v="26"/>
    <n v="33"/>
    <n v="59"/>
    <n v="74"/>
    <n v="15"/>
    <n v="0"/>
    <n v="0"/>
    <n v="0"/>
    <n v="0"/>
    <n v="0"/>
    <n v="0"/>
    <n v="0"/>
    <n v="0"/>
    <n v="0"/>
    <n v="74"/>
    <n v="15"/>
    <n v="-56.041666666671517"/>
    <n v="1"/>
  </r>
  <r>
    <s v="Cases &amp; Composites"/>
    <s v="CAS-224149-W0R7V3"/>
    <s v="Robert Thompson"/>
    <s v="Complete"/>
    <s v="Resolved"/>
    <s v="2-Routine"/>
    <m/>
    <s v="24CCM37"/>
    <s v="Repair-EA"/>
    <s v="OTC"/>
    <s v="PW1000G"/>
    <s v="30K CIPT"/>
    <m/>
    <d v="2024-08-13T12:54:51"/>
    <d v="2024-08-23T04:00:00"/>
    <d v="2024-08-27T04:00:00"/>
    <x v="9"/>
    <d v="2024-08-26T16:15:26"/>
    <m/>
    <d v="2024-08-15T04:00:00"/>
    <d v="2024-08-15T04:00:00"/>
    <d v="2024-08-15T04:00:00"/>
    <d v="2024-08-15T04:00:00"/>
    <n v="0"/>
    <n v="0"/>
    <n v="0"/>
    <n v="9.6285763888881775"/>
    <n v="9.6285763888881775"/>
    <n v="0"/>
    <n v="0"/>
    <n v="0"/>
    <n v="0"/>
    <n v="0.33458208332740469"/>
    <n v="0"/>
    <n v="0"/>
    <n v="0"/>
    <n v="0.33458208332740469"/>
    <n v="9.2939943055607728"/>
    <n v="9.2939943055607728"/>
    <n v="0"/>
    <n v="1"/>
  </r>
  <r>
    <s v="Cases &amp; Composites"/>
    <s v="CAS-221557-V3M5Y1"/>
    <s v="Alexander Page"/>
    <s v="Complete"/>
    <s v="Resolved"/>
    <s v="2-Routine"/>
    <m/>
    <s v="24VC331"/>
    <s v="Repair-EA"/>
    <s v="OTC"/>
    <s v="V2500"/>
    <s v="V2500"/>
    <s v="75%"/>
    <d v="2024-07-18T11:42:58"/>
    <d v="2024-10-31T04:00:00"/>
    <d v="2024-10-31T04:00:00"/>
    <x v="179"/>
    <d v="2024-10-23T13:46:33"/>
    <s v="Oct"/>
    <d v="2024-10-01T04:00:00"/>
    <d v="2024-10-01T04:00:00"/>
    <d v="2024-10-01T04:00:00"/>
    <d v="2024-10-10T04:00:00"/>
    <n v="0"/>
    <n v="9"/>
    <n v="9"/>
    <n v="95.678495370368182"/>
    <n v="86.678495370368182"/>
    <n v="0"/>
    <n v="3"/>
    <n v="0"/>
    <n v="0"/>
    <n v="0"/>
    <n v="0"/>
    <n v="0"/>
    <n v="0"/>
    <n v="3"/>
    <n v="92.678495370368182"/>
    <n v="83.678495370368182"/>
    <n v="-9"/>
    <n v="1"/>
  </r>
  <r>
    <s v="Cases &amp; Composites"/>
    <s v="CAS-212372-V5R7V0"/>
    <s v="Orlando Melendez Colon"/>
    <s v="Complete"/>
    <s v="Resolved"/>
    <s v="2-Routine"/>
    <m/>
    <s v="24VG205"/>
    <s v="Repair-EA"/>
    <s v="EM"/>
    <s v="V2500"/>
    <s v="V2500"/>
    <s v="75%"/>
    <d v="2024-04-15T15:01:30"/>
    <d v="2025-08-11T04:00:00"/>
    <d v="2024-11-15T05:00:00"/>
    <x v="247"/>
    <d v="2024-11-15T17:00:42"/>
    <s v="Nov"/>
    <d v="2024-08-26T04:00:00"/>
    <d v="2024-08-27T04:00:00"/>
    <d v="2024-08-27T04:00:00"/>
    <d v="2024-08-27T04:00:00"/>
    <n v="1"/>
    <n v="0"/>
    <n v="1"/>
    <n v="210.5822916666657"/>
    <n v="209.5822916666657"/>
    <n v="0"/>
    <n v="0"/>
    <n v="0"/>
    <n v="0"/>
    <n v="0"/>
    <n v="0"/>
    <n v="0"/>
    <n v="0"/>
    <n v="0"/>
    <n v="210.5822916666657"/>
    <n v="209.5822916666657"/>
    <n v="-271.95833333332848"/>
    <n v="1"/>
  </r>
  <r>
    <s v="Cases &amp; Composites"/>
    <s v="CAS-218035-M5C2S5"/>
    <s v="Jia Chen"/>
    <s v="Complete"/>
    <s v="Resolved"/>
    <s v="2-Routine"/>
    <m/>
    <s v="24KC601"/>
    <s v="Repair-EA"/>
    <s v="OTC"/>
    <s v="PW4000"/>
    <s v="AMO"/>
    <s v="75%"/>
    <d v="2024-06-13T20:24:40"/>
    <d v="2025-02-27T05:00:00"/>
    <d v="2025-02-27T05:00:00"/>
    <x v="248"/>
    <d v="2025-02-03T19:12:03"/>
    <m/>
    <d v="2024-11-14T05:00:00"/>
    <d v="2024-12-06T05:00:00"/>
    <d v="2024-12-06T05:00:00"/>
    <d v="2025-01-22T05:00:00"/>
    <n v="22"/>
    <n v="47"/>
    <n v="69"/>
    <n v="234.35787037037517"/>
    <n v="165.35787037037517"/>
    <n v="40"/>
    <n v="0"/>
    <n v="0"/>
    <n v="0"/>
    <n v="0"/>
    <n v="0"/>
    <n v="0"/>
    <n v="0"/>
    <n v="40"/>
    <n v="194.35787037037517"/>
    <n v="125.35787037037517"/>
    <n v="-24"/>
    <n v="1"/>
  </r>
  <r>
    <s v="Cases &amp; Composites"/>
    <s v="CAS-223532-B7M8N7"/>
    <s v="Orlando Melendez Colon"/>
    <s v="Complete"/>
    <s v="Resolved"/>
    <s v="2-Routine"/>
    <m/>
    <s v="24VG210"/>
    <s v="Repair-EA"/>
    <s v="OTC"/>
    <s v="V2500"/>
    <s v="V2500"/>
    <s v="75%"/>
    <d v="2024-08-07T03:41:30"/>
    <d v="2024-11-26T05:00:00"/>
    <d v="2024-10-31T04:00:00"/>
    <x v="281"/>
    <d v="2024-10-18T15:13:01"/>
    <m/>
    <d v="2024-08-27T04:00:00"/>
    <d v="2024-09-12T04:00:00"/>
    <d v="2024-09-12T04:00:00"/>
    <d v="2024-09-26T04:00:00"/>
    <n v="16"/>
    <n v="14"/>
    <n v="30"/>
    <n v="70.012847222220444"/>
    <n v="40.012847222220444"/>
    <n v="0"/>
    <n v="0"/>
    <n v="0"/>
    <n v="0"/>
    <n v="0"/>
    <n v="0"/>
    <n v="0"/>
    <n v="0"/>
    <n v="0"/>
    <n v="70.012847222220444"/>
    <n v="40.012847222220444"/>
    <n v="-41.041666666671517"/>
    <n v="1"/>
  </r>
  <r>
    <s v="Cases &amp; Composites"/>
    <s v="CAS-223745-F6H9F6"/>
    <s v="Francisco Astiasaran"/>
    <s v="Complete"/>
    <s v="Resolved"/>
    <s v="2-Routine"/>
    <m/>
    <s v="24CCN48"/>
    <s v="Repair-EA"/>
    <s v="OTC"/>
    <s v="PW1000G"/>
    <s v="24K"/>
    <s v="75%"/>
    <d v="2024-08-08T18:00:03"/>
    <d v="2025-03-31T04:00:00"/>
    <d v="2025-03-31T04:00:00"/>
    <x v="291"/>
    <d v="2025-03-11T17:51:53"/>
    <m/>
    <d v="2024-09-04T04:00:00"/>
    <d v="2025-03-04T05:00:00"/>
    <d v="2025-03-04T05:00:00"/>
    <d v="2025-03-04T05:00:00"/>
    <n v="181.04166666667152"/>
    <n v="0"/>
    <n v="181.04166666667152"/>
    <n v="214.41663194444118"/>
    <n v="33.374965277769661"/>
    <n v="0"/>
    <n v="0"/>
    <n v="0"/>
    <n v="0"/>
    <n v="0"/>
    <n v="132.90401807870512"/>
    <n v="0"/>
    <n v="0"/>
    <n v="132.90401807870512"/>
    <n v="81.512613865736057"/>
    <n v="-99.52905280093546"/>
    <n v="-20"/>
    <n v="1"/>
  </r>
  <r>
    <s v="Cases &amp; Composites"/>
    <s v="CAS-224182-B3H1V1"/>
    <s v="Francisco Astiasaran"/>
    <s v="Complete"/>
    <s v="Resolved"/>
    <s v="2-Routine"/>
    <m/>
    <s v="19KC693A"/>
    <s v="Repair-EA"/>
    <s v="Discretionary"/>
    <s v="PW4000"/>
    <s v="AMO"/>
    <s v="75%"/>
    <d v="2024-08-13T17:16:27"/>
    <d v="2025-02-07T05:00:00"/>
    <d v="2025-02-07T05:00:00"/>
    <x v="98"/>
    <d v="2025-01-31T13:36:19"/>
    <m/>
    <m/>
    <m/>
    <m/>
    <m/>
    <s v=""/>
    <s v=""/>
    <n v="0"/>
    <n v="168.48857638888876"/>
    <n v="168.48857638888876"/>
    <n v="0"/>
    <n v="0"/>
    <n v="0"/>
    <n v="0"/>
    <n v="0"/>
    <n v="0"/>
    <n v="0"/>
    <n v="0"/>
    <n v="0"/>
    <n v="168.48857638888876"/>
    <n v="168.48857638888876"/>
    <n v="-9"/>
    <n v="1"/>
  </r>
  <r>
    <s v="Cases &amp; Composites"/>
    <s v="CAS-219517-S8Z0M4"/>
    <s v="Alexander Page"/>
    <s v="Complete"/>
    <s v="Resolved"/>
    <s v="2-Routine"/>
    <m/>
    <s v="24CCN72"/>
    <s v="Repair-EA"/>
    <s v="OTC"/>
    <s v="PW1000G"/>
    <s v="24K"/>
    <s v="50%"/>
    <d v="2024-06-28T13:42:46"/>
    <d v="2025-04-04T04:00:00"/>
    <d v="2025-06-20T04:00:00"/>
    <x v="25"/>
    <d v="2025-06-02T15:03:13"/>
    <s v="Jun2025"/>
    <d v="2024-09-18T04:00:00"/>
    <d v="2024-11-25T05:00:00"/>
    <d v="2024-11-25T05:00:00"/>
    <d v="2025-03-21T04:00:00"/>
    <n v="68.041666666671517"/>
    <n v="115.95833333332848"/>
    <n v="184"/>
    <n v="338.59530092592468"/>
    <n v="154.59530092592468"/>
    <n v="33.950710416662332"/>
    <n v="0"/>
    <n v="0"/>
    <n v="0"/>
    <n v="6.1802273263892857"/>
    <n v="0"/>
    <n v="0"/>
    <n v="0"/>
    <n v="40.130937743051618"/>
    <n v="298.46436318287306"/>
    <n v="114.46436318287306"/>
    <n v="59"/>
    <n v="0"/>
  </r>
  <r>
    <s v="Cases &amp; Composites"/>
    <s v="CAS-225158-J7T3F7"/>
    <s v="Robert Thompson"/>
    <s v="Complete"/>
    <s v="Resolved"/>
    <s v="2-Routine"/>
    <m/>
    <s v="24CCL61A"/>
    <s v="Repair-EA"/>
    <s v="OTC"/>
    <s v="PW1000G"/>
    <s v="AMO"/>
    <m/>
    <d v="2024-08-26T13:50:59"/>
    <d v="2024-09-30T04:00:00"/>
    <d v="2024-08-30T04:00:00"/>
    <x v="94"/>
    <d v="2024-08-29T13:02:02"/>
    <m/>
    <m/>
    <m/>
    <m/>
    <m/>
    <s v=""/>
    <s v=""/>
    <n v="0"/>
    <n v="1.5895949074038072"/>
    <n v="1.5895949074038072"/>
    <n v="0"/>
    <n v="0"/>
    <n v="0"/>
    <n v="0"/>
    <n v="0"/>
    <n v="0"/>
    <n v="0"/>
    <n v="0"/>
    <n v="0"/>
    <n v="1.5895949074038072"/>
    <n v="1.5895949074038072"/>
    <n v="-33"/>
    <n v="1"/>
  </r>
  <r>
    <s v="Cases &amp; Composites"/>
    <s v="CAS-223026-M9D3R1"/>
    <s v="Ferdin Mustafa"/>
    <s v="Complete"/>
    <s v="Resolved"/>
    <s v="2-Routine"/>
    <m/>
    <s v="24AC072"/>
    <s v="Repair-EA"/>
    <s v="OTC"/>
    <s v="GP7000"/>
    <s v="GP7000"/>
    <s v="75%"/>
    <d v="2024-08-01T14:10:42"/>
    <d v="2024-12-02T05:00:00"/>
    <d v="2024-12-02T05:00:00"/>
    <x v="95"/>
    <d v="2024-09-30T18:32:50"/>
    <s v="Salesforce Case #02023024"/>
    <d v="2024-09-10T04:00:00"/>
    <d v="2024-09-12T04:00:00"/>
    <d v="2024-09-12T04:00:00"/>
    <d v="2024-09-12T04:00:00"/>
    <n v="2"/>
    <n v="0"/>
    <n v="2"/>
    <n v="59.5759027777749"/>
    <n v="57.5759027777749"/>
    <n v="19"/>
    <n v="0"/>
    <n v="0"/>
    <n v="0"/>
    <n v="0"/>
    <n v="0"/>
    <n v="0"/>
    <n v="0"/>
    <n v="19"/>
    <n v="40.5759027777749"/>
    <n v="38.5759027777749"/>
    <n v="-63.041666666671517"/>
    <n v="1"/>
  </r>
  <r>
    <s v="Cases &amp; Composites"/>
    <s v="CAS-226086-Y8D1X9"/>
    <s v="Alexander Page"/>
    <s v="Complete"/>
    <s v="Resolved"/>
    <s v="2-Routine"/>
    <m/>
    <s v="24VG150"/>
    <s v="Repair-EA"/>
    <s v="OTC"/>
    <s v="V2500"/>
    <s v="V2500"/>
    <m/>
    <d v="2024-09-02T07:50:20"/>
    <d v="2024-10-04T04:00:00"/>
    <d v="2024-10-31T04:00:00"/>
    <x v="180"/>
    <d v="2024-10-11T12:38:54"/>
    <s v="oct"/>
    <m/>
    <m/>
    <m/>
    <m/>
    <s v=""/>
    <s v=""/>
    <n v="0"/>
    <n v="31.84004629629635"/>
    <n v="31.84004629629635"/>
    <n v="0"/>
    <n v="1"/>
    <n v="0"/>
    <n v="0"/>
    <n v="0"/>
    <n v="0"/>
    <n v="0"/>
    <n v="0"/>
    <n v="1"/>
    <n v="30.84004629629635"/>
    <n v="30.84004629629635"/>
    <n v="0"/>
    <n v="1"/>
  </r>
  <r>
    <s v="Cases &amp; Composites"/>
    <s v="CAS-214994-P0X2T6"/>
    <s v="Jia Chen"/>
    <s v="Complete"/>
    <s v="Resolved"/>
    <s v="2-Routine"/>
    <m/>
    <s v="24KC574"/>
    <s v="Repair-EA"/>
    <s v="OTC"/>
    <s v="PW4000"/>
    <s v="AMO"/>
    <s v="75%"/>
    <d v="2024-05-14T20:05:27"/>
    <d v="2025-02-07T05:00:00"/>
    <d v="2025-02-25T05:00:00"/>
    <x v="248"/>
    <d v="2025-02-03T15:54:46"/>
    <m/>
    <d v="2024-09-26T04:00:00"/>
    <d v="2024-12-06T05:00:00"/>
    <d v="2024-12-06T05:00:00"/>
    <d v="2025-01-21T05:00:00"/>
    <n v="71.041666666671517"/>
    <n v="46"/>
    <n v="117.04166666667152"/>
    <n v="264.37121527778072"/>
    <n v="147.3295486111092"/>
    <n v="68"/>
    <n v="0"/>
    <n v="0"/>
    <n v="0"/>
    <n v="0"/>
    <n v="34"/>
    <n v="0"/>
    <n v="0"/>
    <n v="102"/>
    <n v="162.37121527778072"/>
    <n v="45.329548611109203"/>
    <n v="-4"/>
    <n v="1"/>
  </r>
  <r>
    <s v="Cases &amp; Composites"/>
    <n v="97184"/>
    <s v="Ferdin Mustafa"/>
    <s v="Complete"/>
    <s v="Closed"/>
    <s v="2-Routine"/>
    <m/>
    <s v="24FC312"/>
    <s v="Repair-EA"/>
    <s v="EM"/>
    <s v="PW2000"/>
    <s v="F117"/>
    <s v="75%"/>
    <d v="2023-03-01T05:00:00"/>
    <d v="2025-01-30T05:00:00"/>
    <d v="2025-03-20T04:00:00"/>
    <x v="292"/>
    <d v="2025-03-14T19:24:48"/>
    <s v="Mar2025 Commitment"/>
    <d v="2024-12-18T05:00:00"/>
    <d v="2025-01-17T05:00:00"/>
    <d v="2025-01-17T05:00:00"/>
    <d v="2025-01-17T05:00:00"/>
    <n v="30"/>
    <n v="0"/>
    <n v="30"/>
    <n v="743.95833333332848"/>
    <n v="713.95833333332848"/>
    <n v="5"/>
    <n v="0"/>
    <n v="0"/>
    <n v="0"/>
    <n v="0"/>
    <n v="0"/>
    <n v="0"/>
    <n v="0"/>
    <n v="5"/>
    <n v="738.95833333332848"/>
    <n v="708.95833333332848"/>
    <n v="42.958333333328483"/>
    <n v="0"/>
  </r>
  <r>
    <s v="Cases &amp; Composites"/>
    <s v="MSG-240905-06A993"/>
    <s v="Robert Thompson"/>
    <s v="Complete"/>
    <s v="Complete"/>
    <s v="2-Routine"/>
    <m/>
    <s v="16CCC15D"/>
    <s v="Repair-EA"/>
    <s v="Discretionary"/>
    <s v="PW1000G"/>
    <s v="30K"/>
    <m/>
    <d v="2024-09-05T04:00:00"/>
    <d v="2024-12-31T05:00:00"/>
    <d v="2024-10-11T04:00:00"/>
    <x v="105"/>
    <d v="2024-09-20T17:36:16"/>
    <m/>
    <m/>
    <m/>
    <m/>
    <m/>
    <s v=""/>
    <s v=""/>
    <n v="0"/>
    <n v="15"/>
    <n v="15"/>
    <n v="0"/>
    <n v="0"/>
    <n v="0"/>
    <n v="0"/>
    <n v="0"/>
    <n v="0"/>
    <n v="0"/>
    <n v="0"/>
    <n v="0"/>
    <n v="15"/>
    <n v="15"/>
    <n v="-102.04166666667152"/>
    <n v="1"/>
  </r>
  <r>
    <s v="Cases &amp; Composites"/>
    <s v="CAS-227201-Y2T3R9"/>
    <s v="Orlando Melendez Colon"/>
    <s v="Complete"/>
    <s v="Resolved"/>
    <s v="2-Routine"/>
    <m/>
    <s v="24VG234"/>
    <s v="Repair-EA"/>
    <s v="OTC"/>
    <s v="V2500"/>
    <s v="V2500"/>
    <s v="75%"/>
    <d v="2024-09-12T02:37:31"/>
    <d v="2024-10-18T04:00:00"/>
    <d v="2024-10-18T04:00:00"/>
    <x v="232"/>
    <d v="2024-10-11T16:05:51"/>
    <s v="Oct"/>
    <m/>
    <m/>
    <m/>
    <m/>
    <s v=""/>
    <s v=""/>
    <n v="0"/>
    <n v="27.057280092587462"/>
    <n v="27.057280092587462"/>
    <n v="0"/>
    <n v="0"/>
    <n v="0"/>
    <n v="0"/>
    <n v="0"/>
    <n v="0"/>
    <n v="0"/>
    <n v="0"/>
    <n v="0"/>
    <n v="27.057280092587462"/>
    <n v="27.057280092587462"/>
    <n v="-9"/>
    <n v="1"/>
  </r>
  <r>
    <s v="Cases &amp; Composites"/>
    <s v="CAS-224787-K5S6S6"/>
    <s v="Tyler Abusbah"/>
    <s v="Complete"/>
    <s v="Resolved"/>
    <s v="2-Routine"/>
    <m/>
    <s v="24KC604"/>
    <s v="Repair-EA"/>
    <s v="OTC"/>
    <s v="PW4000"/>
    <s v="AMO"/>
    <s v="75%"/>
    <d v="2024-08-20T08:53:24"/>
    <d v="2025-03-12T04:00:00"/>
    <d v="2025-03-26T04:00:00"/>
    <x v="178"/>
    <d v="2025-03-19T01:35:31"/>
    <s v="Mar2025"/>
    <d v="2024-10-07T04:00:00"/>
    <d v="2024-11-01T04:00:00"/>
    <d v="2024-11-01T04:00:00"/>
    <d v="2025-02-05T05:00:00"/>
    <n v="25"/>
    <n v="96.041666666671517"/>
    <n v="121.04166666667152"/>
    <n v="209.79624999999942"/>
    <n v="88.754583333327901"/>
    <n v="0"/>
    <n v="0"/>
    <n v="0"/>
    <n v="0"/>
    <n v="0"/>
    <n v="20"/>
    <n v="0"/>
    <n v="0"/>
    <n v="20"/>
    <n v="189.79624999999942"/>
    <n v="68.754583333327901"/>
    <n v="6"/>
    <n v="0"/>
  </r>
  <r>
    <s v="Cases &amp; Composites"/>
    <s v="CAS-225015-Y9H3F4"/>
    <s v="Jia Chen"/>
    <s v="Complete"/>
    <s v="Resolved"/>
    <s v="2-Routine"/>
    <m/>
    <s v="24KC619"/>
    <s v="Repair-EA"/>
    <s v="OTC"/>
    <s v="PW4000"/>
    <s v="AMO"/>
    <s v="75%"/>
    <d v="2024-08-21T18:27:42"/>
    <d v="2025-02-27T05:00:00"/>
    <d v="2025-03-26T04:00:00"/>
    <x v="293"/>
    <d v="2025-03-26T19:58:20"/>
    <s v="Mar2025"/>
    <d v="2024-11-15T05:00:00"/>
    <d v="2024-12-06T05:00:00"/>
    <d v="2024-12-06T05:00:00"/>
    <d v="2025-01-14T05:00:00"/>
    <n v="21"/>
    <n v="39"/>
    <n v="60"/>
    <n v="216.397430555553"/>
    <n v="156.397430555553"/>
    <n v="0"/>
    <n v="1"/>
    <n v="0"/>
    <n v="0"/>
    <n v="0"/>
    <n v="0"/>
    <n v="0"/>
    <n v="0"/>
    <n v="1"/>
    <n v="215.397430555553"/>
    <n v="155.397430555553"/>
    <n v="26.958333333328483"/>
    <n v="0"/>
  </r>
  <r>
    <s v="Cases &amp; Composites"/>
    <s v="CAS-225777-T1N3V5"/>
    <s v="Orlando Melendez Colon"/>
    <s v="Complete"/>
    <s v="Resolved"/>
    <s v="2-Routine"/>
    <m/>
    <s v="24VG249"/>
    <s v="Repair-EA"/>
    <s v="OTC"/>
    <s v="V2500"/>
    <s v="V2500"/>
    <s v="75%"/>
    <d v="2024-08-29T07:48:11"/>
    <d v="2024-10-21T04:00:00"/>
    <d v="2024-10-22T04:00:00"/>
    <x v="294"/>
    <d v="2024-10-23T02:58:14"/>
    <m/>
    <d v="2024-10-14T04:00:00"/>
    <d v="2024-10-15T04:00:00"/>
    <d v="2024-10-15T04:00:00"/>
    <d v="2024-10-15T04:00:00"/>
    <n v="1"/>
    <n v="0"/>
    <n v="1"/>
    <n v="52.841539351851679"/>
    <n v="51.841539351851679"/>
    <n v="0"/>
    <n v="5"/>
    <n v="0"/>
    <n v="0"/>
    <n v="0"/>
    <n v="0"/>
    <n v="0"/>
    <n v="0"/>
    <n v="5"/>
    <n v="47.841539351851679"/>
    <n v="46.841539351851679"/>
    <n v="0"/>
    <n v="1"/>
  </r>
  <r>
    <s v="Cases &amp; Composites"/>
    <s v="MSG-250306-B96693"/>
    <s v="Francisco Astiasaran"/>
    <s v="Complete"/>
    <s v="Complete"/>
    <s v="2-Routine"/>
    <m/>
    <s v="08KCH83C"/>
    <s v="Repair-EA"/>
    <s v="Discretionary"/>
    <s v="PW4000"/>
    <s v="AMO"/>
    <s v="75%"/>
    <d v="2025-03-05T05:00:00"/>
    <d v="2025-04-04T04:00:00"/>
    <d v="2025-03-26T04:00:00"/>
    <x v="51"/>
    <d v="2025-04-01T13:22:08"/>
    <m/>
    <d v="2025-03-06T05:00:00"/>
    <d v="2025-03-06T05:00:00"/>
    <d v="2025-03-06T05:00:00"/>
    <d v="2025-03-07T05:00:00"/>
    <n v="0"/>
    <n v="1"/>
    <n v="1"/>
    <n v="25.958333333328483"/>
    <n v="24.958333333328483"/>
    <n v="0"/>
    <n v="0"/>
    <n v="0"/>
    <n v="0"/>
    <n v="0"/>
    <n v="0"/>
    <n v="0"/>
    <n v="0"/>
    <n v="0"/>
    <n v="25.958333333328483"/>
    <n v="24.958333333328483"/>
    <n v="-4"/>
    <n v="1"/>
  </r>
  <r>
    <s v="Cases &amp; Composites"/>
    <s v="CAS-225939-W6R5R6"/>
    <s v="Orlando Melendez Colon"/>
    <s v="Complete"/>
    <s v="Resolved"/>
    <s v="2-Routine"/>
    <m/>
    <s v="24VG246"/>
    <s v="Repair-EA"/>
    <s v="OTC"/>
    <s v="V2500"/>
    <s v="V2500"/>
    <s v="75%"/>
    <d v="2024-08-30T09:12:22"/>
    <d v="2024-10-30T04:00:00"/>
    <d v="2024-10-30T04:00:00"/>
    <x v="278"/>
    <d v="2024-10-15T15:07:53"/>
    <m/>
    <m/>
    <m/>
    <m/>
    <m/>
    <s v=""/>
    <s v=""/>
    <n v="0"/>
    <n v="41.783078703701904"/>
    <n v="41.783078703701904"/>
    <n v="0"/>
    <n v="0"/>
    <n v="0"/>
    <n v="0"/>
    <n v="0"/>
    <n v="0"/>
    <n v="0"/>
    <n v="0"/>
    <n v="0"/>
    <n v="41.783078703701904"/>
    <n v="41.783078703701904"/>
    <n v="-19"/>
    <n v="1"/>
  </r>
  <r>
    <s v="Cases &amp; Composites"/>
    <s v="CAS-229652-K3R4P9"/>
    <s v="Francisco Astiasaran"/>
    <s v="Complete"/>
    <s v="Resolved"/>
    <s v="2-Routine"/>
    <m/>
    <s v="24CCR76"/>
    <s v="Repair-EA"/>
    <s v="OTC"/>
    <s v="PW1000G"/>
    <s v="30K CIPT"/>
    <s v="75%"/>
    <d v="2024-10-03T14:59:36"/>
    <d v="2024-11-22T05:00:00"/>
    <d v="2025-01-17T05:00:00"/>
    <x v="84"/>
    <d v="2025-01-21T15:14:49"/>
    <s v="JAN. FanR-Blade"/>
    <d v="2025-01-02T05:00:00"/>
    <d v="2025-01-02T05:00:00"/>
    <d v="2025-01-02T05:00:00"/>
    <d v="2025-01-02T05:00:00"/>
    <n v="0"/>
    <n v="0"/>
    <n v="0"/>
    <n v="105.58361111111299"/>
    <n v="105.58361111111299"/>
    <n v="0"/>
    <n v="0"/>
    <n v="0"/>
    <n v="0"/>
    <n v="0"/>
    <n v="35.994589710644505"/>
    <n v="0"/>
    <n v="0"/>
    <n v="35.994589710644505"/>
    <n v="69.589021400468482"/>
    <n v="69.589021400468482"/>
    <n v="56"/>
    <n v="0"/>
  </r>
  <r>
    <s v="Cases &amp; Composites"/>
    <s v="CAS-230158-S1G6F8"/>
    <s v="Ferdin Mustafa"/>
    <s v="Complete"/>
    <s v="Resolved"/>
    <s v="2-Routine"/>
    <m/>
    <s v="24KC618"/>
    <s v="Repair-EA"/>
    <s v="OTC"/>
    <s v="PW4000"/>
    <s v="OCE"/>
    <s v="75%"/>
    <d v="2024-10-08T20:21:08"/>
    <d v="2025-02-28T05:00:00"/>
    <d v="2025-02-28T05:00:00"/>
    <x v="182"/>
    <d v="2024-11-18T18:58:46"/>
    <s v="Customer assembly kit date/need by for engine build Nov. 13, 2024."/>
    <d v="2024-10-25T04:00:00"/>
    <d v="2024-10-31T04:00:00"/>
    <d v="2024-10-31T04:00:00"/>
    <d v="2024-11-04T05:00:00"/>
    <n v="6"/>
    <n v="4.0416666666715173"/>
    <n v="10.041666666671517"/>
    <n v="37.360324074077653"/>
    <n v="27.318657407406135"/>
    <n v="0"/>
    <n v="0"/>
    <n v="0"/>
    <n v="0"/>
    <n v="0"/>
    <n v="0"/>
    <n v="0"/>
    <n v="0"/>
    <n v="0"/>
    <n v="37.360324074077653"/>
    <n v="27.318657407406135"/>
    <n v="-105"/>
    <n v="1"/>
  </r>
  <r>
    <s v="Cases &amp; Composites"/>
    <s v="MSG-241010-C82DF5"/>
    <s v="Brian K Holland"/>
    <s v="Complete"/>
    <s v="Complete"/>
    <s v="2-Routine"/>
    <m/>
    <s v="20CCC67C"/>
    <s v="Repair-EA"/>
    <s v="MR"/>
    <s v="PW1000G"/>
    <s v="30K"/>
    <m/>
    <d v="2024-10-10T04:00:00"/>
    <d v="2024-11-07T05:00:00"/>
    <d v="2024-11-07T05:00:00"/>
    <x v="216"/>
    <d v="2024-11-08T16:14:24"/>
    <s v="Remove proprietary repair from CIR and place in MR"/>
    <m/>
    <m/>
    <m/>
    <m/>
    <s v=""/>
    <s v=""/>
    <n v="0"/>
    <n v="27.041666666671517"/>
    <n v="27.041666666671517"/>
    <n v="0"/>
    <n v="0"/>
    <n v="0"/>
    <n v="0"/>
    <n v="0"/>
    <n v="0"/>
    <n v="0"/>
    <n v="0"/>
    <n v="0"/>
    <n v="27.041666666671517"/>
    <n v="27.041666666671517"/>
    <n v="-1"/>
    <n v="1"/>
  </r>
  <r>
    <s v="Cases &amp; Composites"/>
    <s v="CAS-223200-J2D1S5"/>
    <s v="Alexander Page"/>
    <s v="Complete"/>
    <s v="Resolved"/>
    <s v="2-Routine"/>
    <m/>
    <s v="24CCS70"/>
    <s v="Repair-EA"/>
    <s v="OTC"/>
    <s v="PW1000G"/>
    <s v="24K"/>
    <s v="50%"/>
    <d v="2024-08-02T21:14:07"/>
    <d v="2025-04-30T04:00:00"/>
    <d v="2025-06-30T04:00:00"/>
    <x v="295"/>
    <d v="2025-06-24T20:38:15"/>
    <s v="JUN2025"/>
    <d v="2024-11-07T05:00:00"/>
    <d v="2024-11-22T05:00:00"/>
    <d v="2024-11-22T05:00:00"/>
    <d v="2025-03-17T04:00:00"/>
    <n v="15"/>
    <n v="114.95833333332848"/>
    <n v="129.95833333332848"/>
    <n v="325.2818634259238"/>
    <n v="195.32353009259532"/>
    <n v="9.9405341435194714"/>
    <n v="0"/>
    <n v="0"/>
    <n v="0"/>
    <n v="0"/>
    <n v="0"/>
    <n v="0"/>
    <n v="0"/>
    <n v="9.9405341435194714"/>
    <n v="315.34132928240433"/>
    <n v="185.38299594907585"/>
    <n v="55"/>
    <n v="0"/>
  </r>
  <r>
    <s v="Cases &amp; Composites"/>
    <s v="CAS-230106-W9F5G7"/>
    <s v="Ferdin Mustafa"/>
    <s v="Complete"/>
    <s v="Active"/>
    <s v="2-Routine"/>
    <m/>
    <s v="24KC621"/>
    <s v="Repair-EA"/>
    <s v="OTC"/>
    <s v="PW4000"/>
    <s v="AMO"/>
    <s v="75%"/>
    <d v="2024-10-08T12:39:33"/>
    <d v="2025-04-15T04:00:00"/>
    <d v="2025-02-07T05:00:00"/>
    <x v="248"/>
    <d v="2025-02-03T23:27:19"/>
    <m/>
    <d v="2024-11-25T05:00:00"/>
    <d v="2024-12-11T05:00:00"/>
    <d v="2024-12-11T05:00:00"/>
    <d v="2024-12-11T05:00:00"/>
    <n v="16"/>
    <n v="0"/>
    <n v="16"/>
    <n v="117.68086805555504"/>
    <n v="101.68086805555504"/>
    <n v="0"/>
    <n v="0"/>
    <n v="0"/>
    <n v="0"/>
    <n v="0"/>
    <n v="0"/>
    <n v="0"/>
    <n v="0"/>
    <n v="0"/>
    <n v="117.68086805555504"/>
    <n v="101.68086805555504"/>
    <n v="-70.958333333328483"/>
    <n v="1"/>
  </r>
  <r>
    <s v="Cases &amp; Composites"/>
    <s v="CAS-230250-S4Y6V8"/>
    <s v="Tyler Abusbah"/>
    <s v="Complete"/>
    <s v="Resolved"/>
    <s v="2-Routine"/>
    <m/>
    <s v="24CCS60"/>
    <s v="Repair-EA"/>
    <s v="OTC"/>
    <s v="PW1000G"/>
    <s v="30K"/>
    <s v="75%"/>
    <d v="2024-10-09T13:10:40"/>
    <d v="2024-10-30T04:00:00"/>
    <d v="2024-10-30T04:00:00"/>
    <x v="37"/>
    <d v="2024-10-30T19:35:50"/>
    <s v="TIC Inner"/>
    <m/>
    <m/>
    <m/>
    <m/>
    <s v=""/>
    <s v=""/>
    <n v="0"/>
    <n v="20.6175925925927"/>
    <n v="20.6175925925927"/>
    <n v="0"/>
    <n v="0"/>
    <n v="0"/>
    <n v="0"/>
    <n v="0"/>
    <n v="0"/>
    <n v="0"/>
    <n v="0"/>
    <n v="0"/>
    <n v="20.6175925925927"/>
    <n v="20.6175925925927"/>
    <n v="0"/>
    <n v="1"/>
  </r>
  <r>
    <s v="Cases &amp; Composites"/>
    <s v="CAS-225165-P7D8R3"/>
    <s v="Orlando Melendez Colon"/>
    <s v="Complete"/>
    <s v="Resolved"/>
    <s v="2-Routine"/>
    <m/>
    <s v="24VG257"/>
    <s v="Repair-EA"/>
    <s v="OTC"/>
    <s v="V2500"/>
    <s v="V2500"/>
    <s v="75%"/>
    <d v="2024-08-22T20:50:05"/>
    <d v="2024-10-31T04:00:00"/>
    <d v="2024-10-31T04:00:00"/>
    <x v="37"/>
    <d v="2024-10-31T13:12:34"/>
    <m/>
    <m/>
    <m/>
    <m/>
    <m/>
    <s v=""/>
    <s v=""/>
    <n v="0"/>
    <n v="68.298553240740148"/>
    <n v="68.298553240740148"/>
    <n v="0"/>
    <n v="0"/>
    <n v="0"/>
    <n v="0"/>
    <n v="0"/>
    <n v="0"/>
    <n v="0"/>
    <n v="0"/>
    <n v="0"/>
    <n v="68.298553240740148"/>
    <n v="68.298553240740148"/>
    <n v="-1"/>
    <n v="1"/>
  </r>
  <r>
    <s v="Cases &amp; Composites"/>
    <n v="108939"/>
    <s v="Dean Catlett"/>
    <s v="Complete"/>
    <s v="Closed"/>
    <s v="2-Routine"/>
    <m/>
    <s v="24FC341"/>
    <s v="Repair-EA"/>
    <s v="OTC"/>
    <s v="PW2000"/>
    <s v="F117"/>
    <s v="75%"/>
    <d v="2024-10-14T04:00:00"/>
    <d v="2024-11-26T05:00:00"/>
    <d v="2024-11-26T05:00:00"/>
    <x v="216"/>
    <d v="2024-11-07T15:15:17"/>
    <s v="November 2024"/>
    <d v="2024-10-23T04:00:00"/>
    <d v="2024-10-23T04:00:00"/>
    <d v="2024-10-23T04:00:00"/>
    <d v="2024-10-30T04:00:00"/>
    <n v="0"/>
    <n v="7"/>
    <n v="7"/>
    <n v="23.041666666671517"/>
    <n v="16.041666666671517"/>
    <n v="0"/>
    <n v="0"/>
    <n v="0"/>
    <n v="0"/>
    <n v="0"/>
    <n v="0"/>
    <n v="0"/>
    <n v="0"/>
    <n v="0"/>
    <n v="23.041666666671517"/>
    <n v="16.041666666671517"/>
    <n v="-20"/>
    <n v="1"/>
  </r>
  <r>
    <s v="Cases &amp; Composites"/>
    <s v="CAS-226693-Q8W8M5"/>
    <s v="Jia Chen"/>
    <s v="Complete"/>
    <s v="Resolved"/>
    <s v="2-Routine"/>
    <m/>
    <s v="24KC681"/>
    <s v="Repair-EA"/>
    <s v="OTC"/>
    <s v="PW4000"/>
    <s v="AMO"/>
    <s v="75%"/>
    <d v="2024-09-06T15:34:06"/>
    <d v="2025-02-28T05:00:00"/>
    <d v="2025-02-28T05:00:00"/>
    <x v="296"/>
    <d v="2025-02-10T15:54:39"/>
    <s v="STAGE 9 HPC CASE ASSEMBLY - W-SEAL FLANGE WEAR WELD REPAIR - 09KC807A Limit Extension"/>
    <d v="2024-12-13T05:00:00"/>
    <d v="2024-12-16T05:00:00"/>
    <d v="2024-12-16T05:00:00"/>
    <d v="2025-01-20T05:00:00"/>
    <n v="3"/>
    <n v="35"/>
    <n v="38"/>
    <n v="156.55965277778159"/>
    <n v="118.55965277778159"/>
    <n v="16"/>
    <n v="0"/>
    <n v="0"/>
    <n v="0"/>
    <n v="0"/>
    <n v="0"/>
    <n v="0"/>
    <n v="0"/>
    <n v="16"/>
    <n v="140.55965277778159"/>
    <n v="102.55965277778159"/>
    <n v="-18"/>
    <n v="1"/>
  </r>
  <r>
    <s v="Cases &amp; Composites"/>
    <n v="108936"/>
    <s v="Dean Catlett"/>
    <s v="Complete"/>
    <s v="Closed"/>
    <s v="2-Routine"/>
    <m/>
    <s v="24FC344"/>
    <s v="Repair-EA"/>
    <s v="OTC"/>
    <s v="PW2000"/>
    <s v="F117"/>
    <s v="75%"/>
    <d v="2024-10-14T04:00:00"/>
    <d v="2024-11-26T05:00:00"/>
    <d v="2024-11-26T05:00:00"/>
    <x v="216"/>
    <d v="2024-11-08T14:01:30"/>
    <s v="November 2024"/>
    <d v="2024-10-23T04:00:00"/>
    <d v="2024-10-28T04:00:00"/>
    <d v="2024-10-28T04:00:00"/>
    <d v="2024-10-30T04:00:00"/>
    <n v="5"/>
    <n v="2"/>
    <n v="7"/>
    <n v="23.041666666671517"/>
    <n v="16.041666666671517"/>
    <n v="0"/>
    <n v="0"/>
    <n v="0"/>
    <n v="0"/>
    <n v="0"/>
    <n v="0"/>
    <n v="0"/>
    <n v="0"/>
    <n v="0"/>
    <n v="23.041666666671517"/>
    <n v="16.041666666671517"/>
    <n v="-20"/>
    <n v="1"/>
  </r>
  <r>
    <s v="Cases &amp; Composites"/>
    <s v="CAS-231334-D9N4N5"/>
    <s v="Orlando Melendez Colon"/>
    <s v="Complete"/>
    <s v="Resolved"/>
    <s v="2-Routine"/>
    <m/>
    <s v="24VG261"/>
    <s v="Repair-EA"/>
    <s v="OTC"/>
    <s v="V2500"/>
    <s v="V2500"/>
    <s v="75%"/>
    <d v="2024-10-18T13:23:03"/>
    <d v="2025-04-03T04:00:00"/>
    <d v="2025-03-26T04:00:00"/>
    <x v="220"/>
    <d v="2025-03-25T02:16:16"/>
    <m/>
    <d v="2025-01-23T05:00:00"/>
    <d v="2025-02-05T05:00:00"/>
    <d v="2025-02-05T05:00:00"/>
    <d v="2025-02-05T05:00:00"/>
    <n v="13"/>
    <n v="0"/>
    <n v="13"/>
    <n v="156.60899305555358"/>
    <n v="143.60899305555358"/>
    <n v="0"/>
    <n v="46"/>
    <n v="0"/>
    <n v="0"/>
    <n v="0"/>
    <n v="0"/>
    <n v="0"/>
    <n v="5"/>
    <n v="51"/>
    <n v="105.60899305555358"/>
    <n v="92.608993055553583"/>
    <n v="-10"/>
    <n v="1"/>
  </r>
  <r>
    <s v="Cases &amp; Composites"/>
    <n v="109160"/>
    <s v="Brian K Holland"/>
    <s v="Complete"/>
    <s v="Closed"/>
    <s v="2-Routine"/>
    <m/>
    <s v="24FC343"/>
    <s v="Repair-EA"/>
    <s v="OTC"/>
    <s v="PW2000"/>
    <s v="AMO"/>
    <m/>
    <d v="2024-10-23T04:00:00"/>
    <d v="2024-10-29T04:00:00"/>
    <d v="2024-10-29T04:00:00"/>
    <x v="215"/>
    <d v="2024-10-24T21:10:08"/>
    <m/>
    <m/>
    <m/>
    <m/>
    <m/>
    <s v=""/>
    <s v=""/>
    <n v="0"/>
    <n v="1"/>
    <n v="1"/>
    <n v="0"/>
    <n v="0"/>
    <n v="0"/>
    <n v="0"/>
    <n v="0"/>
    <n v="0"/>
    <n v="0"/>
    <n v="0"/>
    <n v="0"/>
    <n v="1"/>
    <n v="1"/>
    <n v="-5"/>
    <n v="1"/>
  </r>
  <r>
    <s v="Cases &amp; Composites"/>
    <s v="CAS-228149-N3K6R9"/>
    <s v="Tyler Abusbah"/>
    <s v="Complete"/>
    <s v="Resolved"/>
    <s v="2-Routine"/>
    <m/>
    <s v="24KC650"/>
    <s v="Repair-EA"/>
    <s v="OTC"/>
    <s v="PW4000"/>
    <s v="AMO"/>
    <s v="50%"/>
    <d v="2024-09-19T17:43:54"/>
    <d v="2025-05-27T04:00:00"/>
    <d v="2025-06-12T04:00:00"/>
    <x v="25"/>
    <d v="2025-06-02T15:12:25"/>
    <s v="Jun2025"/>
    <d v="2024-11-15T05:00:00"/>
    <d v="2024-12-03T05:00:00"/>
    <d v="2024-12-03T05:00:00"/>
    <d v="2024-12-03T05:00:00"/>
    <n v="18"/>
    <n v="0"/>
    <n v="18"/>
    <n v="255.42784722222132"/>
    <n v="237.42784722222132"/>
    <n v="6"/>
    <n v="0"/>
    <n v="0"/>
    <n v="0"/>
    <n v="67"/>
    <n v="0"/>
    <n v="0"/>
    <n v="19"/>
    <n v="92"/>
    <n v="163.42784722222132"/>
    <n v="145.42784722222132"/>
    <n v="6"/>
    <n v="0"/>
  </r>
  <r>
    <s v="Cases &amp; Composites"/>
    <s v="CAS-231520-H7C1Q0"/>
    <s v="Francisco Astiasaran"/>
    <s v="Complete"/>
    <s v="Resolved"/>
    <s v="2-Routine"/>
    <m/>
    <s v="24KC691"/>
    <s v="Repair-EA"/>
    <s v="EM"/>
    <s v="PW4000"/>
    <s v="AMO"/>
    <s v="75%"/>
    <d v="2024-10-21T15:54:59"/>
    <d v="2025-02-07T05:00:00"/>
    <d v="2025-02-07T05:00:00"/>
    <x v="98"/>
    <d v="2025-01-31T13:36:24"/>
    <m/>
    <m/>
    <m/>
    <m/>
    <m/>
    <s v=""/>
    <s v=""/>
    <n v="0"/>
    <n v="99.545150462967285"/>
    <n v="99.545150462967285"/>
    <n v="0"/>
    <n v="0"/>
    <n v="0"/>
    <n v="0"/>
    <n v="0"/>
    <n v="0"/>
    <n v="0"/>
    <n v="0"/>
    <n v="0"/>
    <n v="99.545150462967285"/>
    <n v="99.545150462967285"/>
    <n v="-9"/>
    <n v="1"/>
  </r>
  <r>
    <s v="Cases &amp; Composites"/>
    <s v="CAS-188469-S2Y6D0"/>
    <s v="Orlando Melendez Colon"/>
    <s v="Complete"/>
    <s v="Resolved"/>
    <s v="2-Routine"/>
    <m/>
    <s v="24VG050"/>
    <s v="Repair-EA"/>
    <s v="OTC"/>
    <s v="V2500"/>
    <s v="V2500"/>
    <s v="75%"/>
    <d v="2023-08-09T09:26:15"/>
    <d v="2024-11-22T05:00:00"/>
    <d v="2024-12-11T05:00:00"/>
    <x v="297"/>
    <d v="2024-12-10T17:12:57"/>
    <s v="Dec"/>
    <d v="2024-10-29T04:00:00"/>
    <d v="2024-10-29T04:00:00"/>
    <d v="2024-10-29T04:00:00"/>
    <d v="2024-10-29T04:00:00"/>
    <n v="0"/>
    <n v="0"/>
    <n v="0"/>
    <n v="487.81510416667152"/>
    <n v="487.81510416667152"/>
    <n v="0"/>
    <n v="0"/>
    <n v="0"/>
    <n v="92"/>
    <n v="0"/>
    <n v="0"/>
    <n v="0"/>
    <n v="0"/>
    <n v="92"/>
    <n v="395.81510416667152"/>
    <n v="395.81510416667152"/>
    <n v="17"/>
    <n v="0"/>
  </r>
  <r>
    <s v="Cases &amp; Composites"/>
    <s v="CAS-228276-D1X1Q5"/>
    <s v="Tyler Abusbah"/>
    <s v="Complete"/>
    <s v="Resolved"/>
    <s v="2-Routine"/>
    <m/>
    <s v="24KC748"/>
    <s v="Repair-EA"/>
    <s v="OTC"/>
    <s v="PW4000"/>
    <s v="AMO"/>
    <s v="75%"/>
    <d v="2024-09-20T13:27:53"/>
    <d v="2025-03-25T04:00:00"/>
    <d v="2025-04-22T04:00:00"/>
    <x v="298"/>
    <d v="2025-04-14T15:53:11"/>
    <s v="Apr2025"/>
    <d v="2025-01-31T05:00:00"/>
    <d v="2025-02-03T05:00:00"/>
    <d v="2025-02-03T05:00:00"/>
    <d v="2025-02-03T05:00:00"/>
    <n v="3"/>
    <n v="0"/>
    <n v="3"/>
    <n v="205.60563657407329"/>
    <n v="202.60563657407329"/>
    <n v="4"/>
    <n v="16"/>
    <n v="0"/>
    <n v="0"/>
    <n v="0"/>
    <n v="0"/>
    <n v="0"/>
    <n v="0"/>
    <n v="20"/>
    <n v="185.60563657407329"/>
    <n v="182.60563657407329"/>
    <n v="20"/>
    <n v="0"/>
  </r>
  <r>
    <s v="Cases &amp; Composites"/>
    <s v="CAS-231944-C2X6D7"/>
    <s v="Orlando Melendez Colon"/>
    <s v="Complete"/>
    <s v="Resolved"/>
    <s v="2-Routine"/>
    <m/>
    <s v="24VG264"/>
    <s v="Repair-EA"/>
    <s v="OTC"/>
    <s v="V2500"/>
    <s v="V2500"/>
    <s v="75%"/>
    <d v="2024-10-24T14:02:10"/>
    <d v="2025-03-28T04:00:00"/>
    <d v="2025-04-18T04:00:00"/>
    <x v="227"/>
    <d v="2025-04-16T14:19:40"/>
    <s v="April2025"/>
    <d v="2025-02-04T05:00:00"/>
    <d v="2025-02-13T05:00:00"/>
    <d v="2025-02-13T05:00:00"/>
    <d v="2025-03-21T04:00:00"/>
    <n v="9"/>
    <n v="35.958333333328483"/>
    <n v="44.958333333328483"/>
    <n v="172.58182870370365"/>
    <n v="127.62349537037517"/>
    <n v="0"/>
    <n v="65"/>
    <n v="0"/>
    <n v="0"/>
    <n v="0"/>
    <n v="3"/>
    <n v="0"/>
    <n v="0"/>
    <n v="68"/>
    <n v="104.58182870370365"/>
    <n v="59.623495370375167"/>
    <n v="18"/>
    <n v="0"/>
  </r>
  <r>
    <s v="Cases &amp; Composites"/>
    <s v="CAS-228292-B3Z6V9"/>
    <s v="Jia Chen"/>
    <s v="Complete"/>
    <s v="Resolved"/>
    <s v="2-Routine"/>
    <m/>
    <s v="24KC688"/>
    <s v="Repair-EA"/>
    <s v="OTC"/>
    <s v="PW4000"/>
    <s v="AMO"/>
    <s v="50%"/>
    <d v="2024-09-20T14:54:03"/>
    <d v="2025-02-11T05:00:00"/>
    <d v="2025-02-26T05:00:00"/>
    <x v="135"/>
    <d v="2025-02-11T14:25:27"/>
    <s v="STAGE 9 HPC CASE - AFT FLANGE PLASMA COATING - REPAIR-15 LIMIT EXTENSION"/>
    <d v="2025-01-16T05:00:00"/>
    <d v="2025-01-22T05:00:00"/>
    <d v="2025-01-22T05:00:00"/>
    <d v="2025-01-27T05:00:00"/>
    <n v="6"/>
    <n v="5"/>
    <n v="11"/>
    <n v="143.58746527777839"/>
    <n v="132.58746527777839"/>
    <n v="4"/>
    <n v="8"/>
    <n v="1"/>
    <n v="5"/>
    <n v="8"/>
    <n v="0"/>
    <n v="0"/>
    <n v="0"/>
    <n v="26"/>
    <n v="117.58746527777839"/>
    <n v="106.58746527777839"/>
    <n v="0"/>
    <n v="1"/>
  </r>
  <r>
    <s v="Cases &amp; Composites"/>
    <s v="CAS-228918-D1V4L6"/>
    <s v="Jia Chen"/>
    <s v="Complete"/>
    <s v="Resolved"/>
    <s v="2-Routine"/>
    <m/>
    <s v="24KC676"/>
    <s v="Repair-EA"/>
    <s v="OTC"/>
    <s v="PW4000"/>
    <s v="AMO"/>
    <s v="50%"/>
    <d v="2024-09-26T15:27:14"/>
    <d v="2025-03-26T04:00:00"/>
    <d v="2025-03-26T04:00:00"/>
    <x v="49"/>
    <d v="2025-03-19T20:16:43"/>
    <s v="Mar2025"/>
    <d v="2024-11-14T05:00:00"/>
    <d v="2024-11-14T05:00:00"/>
    <d v="2024-11-14T05:00:00"/>
    <d v="2025-02-12T05:00:00"/>
    <n v="0"/>
    <n v="90"/>
    <n v="90"/>
    <n v="173.52275462963007"/>
    <n v="83.522754629630072"/>
    <n v="0"/>
    <n v="0"/>
    <n v="0"/>
    <n v="0"/>
    <n v="0"/>
    <n v="0"/>
    <n v="0"/>
    <n v="0"/>
    <n v="0"/>
    <n v="173.52275462963007"/>
    <n v="83.522754629630072"/>
    <n v="-7"/>
    <n v="1"/>
  </r>
  <r>
    <s v="Cases &amp; Composites"/>
    <s v="CAS-232701-C5S6S9"/>
    <s v="Francisco Astiasaran"/>
    <s v="Complete"/>
    <s v="Resolved"/>
    <s v="2-Routine"/>
    <m/>
    <s v="14CC214H"/>
    <s v="Repair-EA"/>
    <s v="EM"/>
    <s v="PW1000G"/>
    <s v="24K"/>
    <s v="75%"/>
    <d v="2024-10-31T17:48:09"/>
    <d v="2025-03-21T04:00:00"/>
    <d v="2025-04-17T04:00:00"/>
    <x v="227"/>
    <d v="2025-04-16T13:27:55"/>
    <s v="Apr2025"/>
    <m/>
    <m/>
    <m/>
    <m/>
    <s v=""/>
    <s v=""/>
    <n v="0"/>
    <n v="165.42489583333372"/>
    <n v="165.42489583333372"/>
    <n v="0"/>
    <n v="0"/>
    <n v="0"/>
    <n v="0"/>
    <n v="0"/>
    <n v="0"/>
    <n v="0"/>
    <n v="0"/>
    <n v="0"/>
    <n v="165.42489583333372"/>
    <n v="165.42489583333372"/>
    <n v="25"/>
    <n v="0"/>
  </r>
  <r>
    <s v="Cases &amp; Composites"/>
    <s v="MSG-241105-D40671"/>
    <s v="Jia Chen"/>
    <s v="Complete"/>
    <s v="Complete"/>
    <s v="2-Routine"/>
    <m/>
    <s v="24CCF69A"/>
    <s v="Repair-EA"/>
    <s v="OTC"/>
    <s v="PW1000G"/>
    <s v="24K"/>
    <m/>
    <d v="2024-11-05T05:00:00"/>
    <d v="2024-11-28T05:00:00"/>
    <d v="2024-11-28T05:00:00"/>
    <x v="187"/>
    <d v="2024-11-14T19:08:15"/>
    <s v="CAS-216972-Z8F0V0 (EA 24CCF69) Serial Number Correction"/>
    <m/>
    <m/>
    <m/>
    <m/>
    <s v=""/>
    <s v=""/>
    <n v="0"/>
    <n v="9"/>
    <n v="9"/>
    <n v="0"/>
    <n v="0"/>
    <n v="0"/>
    <n v="0"/>
    <n v="0"/>
    <n v="0"/>
    <n v="0"/>
    <n v="0"/>
    <n v="0"/>
    <n v="9"/>
    <n v="9"/>
    <n v="-14"/>
    <n v="1"/>
  </r>
  <r>
    <s v="Cases &amp; Composites"/>
    <s v="CAS-230126-H3F8N3"/>
    <s v="Jia Chen"/>
    <s v="Complete"/>
    <s v="Resolved"/>
    <s v="2-Routine"/>
    <m/>
    <s v="24CCV21"/>
    <s v="Repair-EA"/>
    <s v="OTC"/>
    <s v="PW1000G"/>
    <s v="24K"/>
    <s v="75%"/>
    <d v="2024-10-08T14:41:24"/>
    <d v="2025-02-19T05:00:00"/>
    <d v="2025-02-20T05:00:00"/>
    <x v="255"/>
    <d v="2025-02-19T19:03:08"/>
    <m/>
    <d v="2024-11-13T05:00:00"/>
    <d v="2024-11-13T05:00:00"/>
    <d v="2024-11-13T05:00:00"/>
    <d v="2024-11-15T05:00:00"/>
    <n v="0"/>
    <n v="2"/>
    <n v="2"/>
    <n v="133.59625000000233"/>
    <n v="131.59625000000233"/>
    <n v="0"/>
    <n v="0"/>
    <n v="0"/>
    <n v="0"/>
    <n v="0"/>
    <n v="0"/>
    <n v="0"/>
    <n v="0"/>
    <n v="0"/>
    <n v="133.59625000000233"/>
    <n v="131.59625000000233"/>
    <n v="0"/>
    <n v="1"/>
  </r>
  <r>
    <s v="Cases &amp; Composites"/>
    <s v="CAS-232941-F9G7X6"/>
    <s v="Francisco Astiasaran"/>
    <s v="Complete"/>
    <s v="Resolved"/>
    <s v="2-Routine"/>
    <m/>
    <s v="24KC678"/>
    <s v="Repair-EA"/>
    <s v="EM"/>
    <s v="PW4000"/>
    <s v="AMO"/>
    <m/>
    <d v="2024-11-04T13:50:17"/>
    <d v="2025-02-07T05:00:00"/>
    <d v="2025-02-07T05:00:00"/>
    <x v="248"/>
    <d v="2025-02-03T14:25:12"/>
    <m/>
    <m/>
    <m/>
    <m/>
    <m/>
    <s v=""/>
    <s v=""/>
    <n v="0"/>
    <n v="90.63174768519093"/>
    <n v="90.63174768519093"/>
    <n v="0"/>
    <n v="0"/>
    <n v="0"/>
    <n v="0"/>
    <n v="0"/>
    <n v="0"/>
    <n v="0"/>
    <n v="0"/>
    <n v="0"/>
    <n v="90.63174768519093"/>
    <n v="90.63174768519093"/>
    <n v="-4"/>
    <n v="1"/>
  </r>
  <r>
    <s v="Cases &amp; Composites"/>
    <n v="109326"/>
    <s v="Ferdin Mustafa"/>
    <s v="Complete"/>
    <s v="Closed"/>
    <s v="2-Routine"/>
    <m/>
    <s v="24FC367"/>
    <s v="Repair-EA"/>
    <s v="EM"/>
    <s v="PW2000"/>
    <s v="F117"/>
    <s v="75%"/>
    <d v="2024-11-01T04:00:00"/>
    <d v="2025-07-07T04:00:00"/>
    <d v="2025-07-07T04:00:00"/>
    <x v="241"/>
    <d v="2025-02-26T19:52:27"/>
    <s v="February"/>
    <m/>
    <m/>
    <m/>
    <m/>
    <s v=""/>
    <s v=""/>
    <n v="0"/>
    <n v="117.04166666667152"/>
    <n v="117.04166666667152"/>
    <n v="0"/>
    <n v="0"/>
    <n v="0"/>
    <n v="0"/>
    <n v="0"/>
    <n v="0"/>
    <n v="0"/>
    <n v="0"/>
    <n v="0"/>
    <n v="117.04166666667152"/>
    <n v="117.04166666667152"/>
    <n v="-130.95833333332848"/>
    <n v="1"/>
  </r>
  <r>
    <s v="Cases &amp; Composites"/>
    <s v="CAS-233720-S0Y7Q4"/>
    <s v="Francisco Astiasaran"/>
    <s v="Complete"/>
    <s v="Resolved"/>
    <s v="2-Routine"/>
    <m/>
    <s v="17CC373B"/>
    <s v="Repair-EA"/>
    <s v="EM"/>
    <s v="PW1000G"/>
    <s v="24K"/>
    <s v="75%"/>
    <d v="2024-11-12T14:26:08"/>
    <d v="2025-02-20T05:00:00"/>
    <d v="2025-02-20T05:00:00"/>
    <x v="241"/>
    <d v="2025-03-03T12:08:09"/>
    <m/>
    <m/>
    <m/>
    <m/>
    <m/>
    <s v=""/>
    <s v=""/>
    <n v="0"/>
    <n v="105.60685185185139"/>
    <n v="105.60685185185139"/>
    <n v="0"/>
    <n v="0"/>
    <n v="0"/>
    <n v="0"/>
    <n v="0"/>
    <n v="0"/>
    <n v="0"/>
    <n v="0"/>
    <n v="0"/>
    <n v="105.60685185185139"/>
    <n v="105.60685185185139"/>
    <n v="6"/>
    <n v="0"/>
  </r>
  <r>
    <s v="Cases &amp; Composites"/>
    <s v="CAS-233872-Z4P1L6"/>
    <s v="Francisco Astiasaran"/>
    <s v="Complete"/>
    <s v="Resolved"/>
    <s v="2-Routine"/>
    <m/>
    <s v="24CCW42"/>
    <s v="Repair-EA"/>
    <s v="OTC"/>
    <s v="PW1000G"/>
    <s v="30K"/>
    <s v="75%"/>
    <d v="2024-11-13T11:05:21"/>
    <d v="2024-12-23T05:00:00"/>
    <d v="2025-01-10T05:00:00"/>
    <x v="10"/>
    <d v="2025-01-27T15:15:25"/>
    <m/>
    <d v="2024-12-17T05:00:00"/>
    <d v="2024-12-20T05:00:00"/>
    <d v="2024-12-20T05:00:00"/>
    <d v="2024-12-20T05:00:00"/>
    <n v="3"/>
    <n v="0"/>
    <n v="3"/>
    <n v="71.746284722226846"/>
    <n v="68.746284722226846"/>
    <n v="0"/>
    <n v="0"/>
    <n v="0"/>
    <n v="0"/>
    <n v="0"/>
    <n v="0"/>
    <n v="0"/>
    <n v="0"/>
    <n v="0"/>
    <n v="71.746284722226846"/>
    <n v="68.746284722226846"/>
    <n v="32"/>
    <n v="0"/>
  </r>
  <r>
    <s v="Cases &amp; Composites"/>
    <s v="CAS-227281-Q5D3L9"/>
    <s v="Bruce Zoyaar"/>
    <s v="Complete"/>
    <s v="Resolved"/>
    <s v="2-Routine"/>
    <m/>
    <s v="25KC061"/>
    <s v="Repair-EA"/>
    <s v="OTC"/>
    <s v="PW4000"/>
    <s v="AMO"/>
    <m/>
    <d v="2024-09-12T09:32:58"/>
    <d v="2025-04-07T04:00:00"/>
    <d v="2025-04-30T04:00:00"/>
    <x v="271"/>
    <d v="2025-04-29T00:55:18"/>
    <s v="April - 2025 - RSL"/>
    <d v="2025-02-06T05:00:00"/>
    <d v="2025-02-13T05:00:00"/>
    <d v="2025-02-13T05:00:00"/>
    <d v="2025-03-17T04:00:00"/>
    <n v="7"/>
    <n v="31.958333333328483"/>
    <n v="38.958333333328483"/>
    <n v="227.76877314814919"/>
    <n v="188.81043981482071"/>
    <n v="0"/>
    <n v="0"/>
    <n v="0"/>
    <n v="0"/>
    <n v="0"/>
    <n v="0"/>
    <n v="0"/>
    <n v="0"/>
    <n v="0"/>
    <n v="227.76877314814919"/>
    <n v="188.81043981482071"/>
    <n v="21"/>
    <n v="0"/>
  </r>
  <r>
    <s v="Cases &amp; Composites"/>
    <s v="CAS-234153-M1T2C8"/>
    <s v="Francisco Astiasaran"/>
    <s v="Complete"/>
    <s v="Resolved"/>
    <s v="2-Routine"/>
    <m/>
    <s v="24KC715"/>
    <s v="Repair-EA"/>
    <s v="OTC"/>
    <s v="PW4000"/>
    <s v="AMO"/>
    <m/>
    <d v="2024-11-14T15:50:45"/>
    <d v="2024-12-06T05:00:00"/>
    <d v="2024-12-06T05:00:00"/>
    <x v="228"/>
    <d v="2024-11-26T16:57:11"/>
    <m/>
    <m/>
    <m/>
    <m/>
    <m/>
    <s v=""/>
    <s v=""/>
    <n v="0"/>
    <n v="11.548090277778101"/>
    <n v="11.548090277778101"/>
    <n v="0"/>
    <n v="2"/>
    <n v="0"/>
    <n v="0"/>
    <n v="0"/>
    <n v="0"/>
    <n v="0"/>
    <n v="0"/>
    <n v="2"/>
    <n v="9.5480902777781012"/>
    <n v="9.5480902777781012"/>
    <n v="-10"/>
    <n v="1"/>
  </r>
  <r>
    <s v="Cases &amp; Composites"/>
    <s v="CAS-231645-Y6Q0Z3"/>
    <s v="Jia Chen"/>
    <s v="Complete"/>
    <s v="Resolved"/>
    <s v="2-Routine"/>
    <m/>
    <s v="24KC736"/>
    <s v="Repair-EA"/>
    <s v="OTC"/>
    <s v="PW4000"/>
    <s v="AMO"/>
    <s v="75%"/>
    <d v="2024-10-22T13:10:50"/>
    <d v="2025-02-13T05:00:00"/>
    <d v="2025-02-28T05:00:00"/>
    <x v="248"/>
    <d v="2025-02-04T21:08:18"/>
    <m/>
    <d v="2024-12-11T05:00:00"/>
    <d v="2024-12-16T05:00:00"/>
    <d v="2024-12-16T05:00:00"/>
    <d v="2025-01-10T05:00:00"/>
    <n v="5"/>
    <n v="25"/>
    <n v="30"/>
    <n v="103.65914351851825"/>
    <n v="73.659143518518249"/>
    <n v="6"/>
    <n v="0"/>
    <n v="0"/>
    <n v="0"/>
    <n v="0"/>
    <n v="0"/>
    <n v="0"/>
    <n v="0"/>
    <n v="6"/>
    <n v="97.659143518518249"/>
    <n v="67.659143518518249"/>
    <n v="-10"/>
    <n v="1"/>
  </r>
  <r>
    <s v="Cases &amp; Composites"/>
    <s v="CAS-233181-H6K3G6"/>
    <s v="Orlando Melendez Colon"/>
    <s v="Complete"/>
    <s v="Resolved"/>
    <s v="2-Routine"/>
    <m/>
    <s v="25VG050"/>
    <s v="Repair-EA"/>
    <s v="OTC"/>
    <s v="V2500"/>
    <s v="V2500"/>
    <s v="75%"/>
    <d v="2024-11-06T08:51:15"/>
    <d v="2025-05-27T04:00:00"/>
    <d v="2025-04-30T04:00:00"/>
    <x v="250"/>
    <d v="2025-04-23T16:40:49"/>
    <s v="April2025"/>
    <d v="2025-03-06T05:00:00"/>
    <d v="2025-03-06T05:00:00"/>
    <d v="2025-03-06T05:00:00"/>
    <d v="2025-03-06T05:00:00"/>
    <n v="0"/>
    <n v="0"/>
    <n v="0"/>
    <n v="166.79774305555475"/>
    <n v="166.79774305555475"/>
    <n v="0"/>
    <n v="39"/>
    <n v="0"/>
    <n v="0"/>
    <n v="0"/>
    <n v="38"/>
    <n v="0"/>
    <n v="0"/>
    <n v="77"/>
    <n v="89.797743055554747"/>
    <n v="89.797743055554747"/>
    <n v="-35"/>
    <n v="1"/>
  </r>
  <r>
    <s v="Cases &amp; Composites"/>
    <s v="CAS-226540-J9M2J2"/>
    <s v="Jia Chen"/>
    <s v="Complete"/>
    <s v="Resolved"/>
    <s v="2-Routine"/>
    <m/>
    <s v="24VC391"/>
    <s v="Repair-EA"/>
    <s v="OTC"/>
    <s v="V2500"/>
    <s v="AMO"/>
    <s v="50%"/>
    <d v="2024-09-05T13:11:17"/>
    <d v="2025-02-27T05:00:00"/>
    <d v="2025-02-27T05:00:00"/>
    <x v="46"/>
    <d v="2025-02-21T16:10:57"/>
    <m/>
    <d v="2024-12-19T05:00:00"/>
    <d v="2025-01-06T05:00:00"/>
    <d v="2025-01-06T05:00:00"/>
    <d v="2025-01-16T05:00:00"/>
    <n v="18"/>
    <n v="10"/>
    <n v="28"/>
    <n v="168.65883101851796"/>
    <n v="140.65883101851796"/>
    <n v="33"/>
    <n v="0"/>
    <n v="0"/>
    <n v="0"/>
    <n v="0"/>
    <n v="12"/>
    <n v="0"/>
    <n v="0"/>
    <n v="45"/>
    <n v="123.65883101851796"/>
    <n v="95.658831018517958"/>
    <n v="-6"/>
    <n v="1"/>
  </r>
  <r>
    <s v="Cases &amp; Composites"/>
    <s v="CAS-235581-Z0Z1V4"/>
    <s v="Francisco Astiasaran"/>
    <s v="Complete"/>
    <s v="Resolved"/>
    <s v="2-Routine"/>
    <m/>
    <s v="25KC021"/>
    <s v="Repair-EA"/>
    <s v="EM"/>
    <s v="PW4000"/>
    <s v="AMO"/>
    <m/>
    <d v="2024-11-27T18:37:03"/>
    <d v="2025-02-20T05:00:00"/>
    <d v="2025-02-20T05:00:00"/>
    <x v="248"/>
    <d v="2025-02-03T19:31:01"/>
    <m/>
    <m/>
    <m/>
    <m/>
    <m/>
    <s v=""/>
    <s v=""/>
    <n v="0"/>
    <n v="67.432604166671808"/>
    <n v="67.432604166671808"/>
    <n v="0"/>
    <n v="0"/>
    <n v="0"/>
    <n v="0"/>
    <n v="0"/>
    <n v="0"/>
    <n v="0"/>
    <n v="0"/>
    <n v="0"/>
    <n v="67.432604166671808"/>
    <n v="67.432604166671808"/>
    <n v="-17"/>
    <n v="1"/>
  </r>
  <r>
    <s v="Cases &amp; Composites"/>
    <s v="CAS-229260-K7V5G2"/>
    <s v="Alexander Page"/>
    <s v="Complete"/>
    <s v="Resolved"/>
    <s v="2-Routine"/>
    <m/>
    <s v="24CCX68"/>
    <s v="Repair-EA"/>
    <s v="OTC"/>
    <s v="PW1000G"/>
    <s v="24K"/>
    <s v="50%"/>
    <d v="2024-09-30T20:12:58"/>
    <d v="2025-04-04T04:00:00"/>
    <d v="2025-06-30T04:00:00"/>
    <x v="295"/>
    <d v="2025-06-25T19:43:23"/>
    <s v="Jun2025 DIFFUSER INNER CASE ASSEMBLY - INNER CASE WALL - WELD REPAIR (VENDOR APPLICATION) "/>
    <d v="2025-01-09T05:00:00"/>
    <d v="2025-01-14T05:00:00"/>
    <d v="2025-01-14T05:00:00"/>
    <d v="2025-02-19T05:00:00"/>
    <n v="5"/>
    <n v="36"/>
    <n v="41"/>
    <n v="266.32432870370394"/>
    <n v="225.32432870370394"/>
    <n v="34.711134548611881"/>
    <n v="0"/>
    <n v="0"/>
    <n v="0"/>
    <n v="0"/>
    <n v="0"/>
    <n v="0"/>
    <n v="0"/>
    <n v="34.711134548611881"/>
    <n v="231.61319415509206"/>
    <n v="190.61319415509206"/>
    <n v="81"/>
    <n v="0"/>
  </r>
  <r>
    <s v="Cases &amp; Composites"/>
    <s v="CAS-235235-W5C8S1"/>
    <s v="Orlando Melendez Colon"/>
    <s v="Complete"/>
    <s v="Resolved"/>
    <s v="2-Routine"/>
    <m/>
    <s v="24VG277"/>
    <s v="Repair-EA"/>
    <s v="OTC"/>
    <s v="V2500"/>
    <s v="V2500"/>
    <s v="75%"/>
    <d v="2024-11-25T08:22:46"/>
    <d v="2024-12-18T05:00:00"/>
    <d v="2024-12-18T05:00:00"/>
    <x v="188"/>
    <d v="2024-12-19T14:06:17"/>
    <m/>
    <m/>
    <m/>
    <m/>
    <m/>
    <s v=""/>
    <s v=""/>
    <n v="0"/>
    <n v="21.859189814815181"/>
    <n v="21.859189814815181"/>
    <n v="0"/>
    <n v="0"/>
    <n v="0"/>
    <n v="0"/>
    <n v="0"/>
    <n v="0"/>
    <n v="0"/>
    <n v="0"/>
    <n v="0"/>
    <n v="21.859189814815181"/>
    <n v="21.859189814815181"/>
    <n v="-1"/>
    <n v="1"/>
  </r>
  <r>
    <s v="Cases &amp; Composites"/>
    <s v="CAS-235649-X2K2F5"/>
    <s v="Orlando Melendez Colon"/>
    <s v="Complete"/>
    <s v="Resolved"/>
    <s v="2-Routine"/>
    <m/>
    <s v="24VG282"/>
    <s v="Repair-EA"/>
    <s v="OTC"/>
    <s v="V2500"/>
    <m/>
    <s v="50%"/>
    <d v="2024-11-28T10:33:22"/>
    <d v="2024-12-18T05:00:00"/>
    <d v="2025-01-24T05:00:00"/>
    <x v="181"/>
    <d v="2025-01-16T13:54:04"/>
    <m/>
    <m/>
    <m/>
    <m/>
    <m/>
    <s v=""/>
    <s v=""/>
    <n v="0"/>
    <n v="47.768495370371966"/>
    <n v="47.768495370371966"/>
    <n v="0"/>
    <n v="0"/>
    <n v="0"/>
    <n v="0"/>
    <n v="0"/>
    <n v="0"/>
    <n v="0"/>
    <n v="0"/>
    <n v="0"/>
    <n v="47.768495370371966"/>
    <n v="47.768495370371966"/>
    <n v="28"/>
    <n v="0"/>
  </r>
  <r>
    <s v="Cases &amp; Composites"/>
    <s v="CAS-235912-H9V1N6"/>
    <s v="Orlando Melendez Colon"/>
    <s v="Complete"/>
    <s v="Resolved"/>
    <s v="2-Routine"/>
    <m/>
    <s v="24VG280"/>
    <s v="Repair-EA"/>
    <s v="OTC"/>
    <s v="V2500"/>
    <s v="V2500"/>
    <s v="75%"/>
    <d v="2024-12-02T13:24:16"/>
    <d v="2024-12-20T05:00:00"/>
    <d v="2024-12-20T05:00:00"/>
    <x v="188"/>
    <d v="2024-12-21T01:38:13"/>
    <m/>
    <d v="2024-12-10T05:00:00"/>
    <d v="2024-12-10T05:00:00"/>
    <d v="2024-12-10T05:00:00"/>
    <d v="2024-12-10T05:00:00"/>
    <n v="0"/>
    <n v="0"/>
    <n v="0"/>
    <n v="14.649814814816636"/>
    <n v="14.649814814816636"/>
    <n v="0"/>
    <n v="0"/>
    <n v="0"/>
    <n v="0"/>
    <n v="0"/>
    <n v="0"/>
    <n v="0"/>
    <n v="0"/>
    <n v="0"/>
    <n v="14.649814814816636"/>
    <n v="14.649814814816636"/>
    <n v="-3"/>
    <n v="1"/>
  </r>
  <r>
    <s v="Cases &amp; Composites"/>
    <s v="CAS-236908-Q6S5D8"/>
    <s v="Francisco Astiasaran"/>
    <s v="Complete"/>
    <s v="Resolved"/>
    <s v="2-Routine"/>
    <m/>
    <s v="24CCY60"/>
    <s v="Repair-EA"/>
    <s v="OTC"/>
    <s v="PW1000G"/>
    <s v="30K CIPT"/>
    <s v="75%"/>
    <d v="2024-12-11T16:01:40"/>
    <d v="2025-01-17T05:00:00"/>
    <d v="2025-01-17T05:00:00"/>
    <x v="181"/>
    <d v="2025-01-15T20:42:11"/>
    <s v="JAN"/>
    <d v="2024-12-20T05:00:00"/>
    <d v="2025-01-02T05:00:00"/>
    <d v="2025-01-02T05:00:00"/>
    <d v="2025-01-02T05:00:00"/>
    <n v="13"/>
    <n v="0"/>
    <n v="13"/>
    <n v="34.540509259262762"/>
    <n v="21.540509259262762"/>
    <n v="0"/>
    <n v="0"/>
    <n v="0"/>
    <n v="0"/>
    <n v="0"/>
    <n v="0"/>
    <n v="0"/>
    <n v="0"/>
    <n v="0"/>
    <n v="34.540509259262762"/>
    <n v="21.540509259262762"/>
    <n v="-2"/>
    <n v="1"/>
  </r>
  <r>
    <s v="Cases &amp; Composites"/>
    <n v="109887"/>
    <s v="Jia Chen"/>
    <s v="Complete"/>
    <s v="Closed"/>
    <s v="2-Routine"/>
    <m/>
    <s v="24FC396"/>
    <s v="Repair-EA"/>
    <s v="OTC"/>
    <s v="PW2000"/>
    <s v="AMO"/>
    <s v="75%"/>
    <d v="2024-12-02T05:00:00"/>
    <d v="2025-03-07T05:00:00"/>
    <d v="2025-03-07T05:00:00"/>
    <x v="135"/>
    <d v="2025-02-11T16:52:32"/>
    <m/>
    <d v="2025-01-14T05:00:00"/>
    <d v="2025-01-22T05:00:00"/>
    <d v="2025-01-22T05:00:00"/>
    <d v="2025-01-29T05:00:00"/>
    <n v="8"/>
    <n v="7"/>
    <n v="15"/>
    <n v="71"/>
    <n v="56"/>
    <n v="8"/>
    <n v="0"/>
    <n v="0"/>
    <n v="0"/>
    <n v="0"/>
    <n v="0"/>
    <n v="0"/>
    <n v="0"/>
    <n v="8"/>
    <n v="63"/>
    <n v="48"/>
    <n v="-24"/>
    <n v="1"/>
  </r>
  <r>
    <s v="Cases &amp; Composites"/>
    <s v="CAS-236655-K6R7K2"/>
    <s v="Orlando Melendez Colon"/>
    <s v="Complete"/>
    <s v="Resolved"/>
    <s v="2-Routine"/>
    <m/>
    <s v="25VG003"/>
    <s v="Repair-EA"/>
    <s v="OTC"/>
    <s v="V2500"/>
    <s v="V2500"/>
    <s v="75%"/>
    <d v="2024-12-10T05:30:48"/>
    <d v="2025-01-31T05:00:00"/>
    <d v="2025-02-18T05:00:00"/>
    <x v="270"/>
    <d v="2025-02-17T19:29:41"/>
    <m/>
    <d v="2025-01-22T05:00:00"/>
    <d v="2025-01-29T05:00:00"/>
    <d v="2025-01-29T05:00:00"/>
    <d v="2025-01-29T05:00:00"/>
    <n v="7"/>
    <n v="0"/>
    <n v="7"/>
    <n v="65.978611111117061"/>
    <n v="58.978611111117061"/>
    <n v="0"/>
    <n v="0"/>
    <n v="0"/>
    <n v="0"/>
    <n v="0"/>
    <n v="0"/>
    <n v="0"/>
    <n v="0"/>
    <n v="0"/>
    <n v="65.978611111117061"/>
    <n v="58.978611111117061"/>
    <n v="14"/>
    <n v="0"/>
  </r>
  <r>
    <s v="Cases &amp; Composites"/>
    <s v="CAS-230008-W3P2Z8"/>
    <s v="Alexander Page"/>
    <s v="Complete"/>
    <s v="Resolved"/>
    <s v="2-Routine"/>
    <m/>
    <s v="25KC003"/>
    <s v="Repair-EA"/>
    <s v="OTC"/>
    <s v="PW4000"/>
    <s v="AMO"/>
    <s v="50%"/>
    <d v="2024-10-07T18:06:17"/>
    <d v="2025-07-18T04:00:00"/>
    <d v="2025-06-20T04:00:00"/>
    <x v="207"/>
    <d v="2025-06-17T20:12:58"/>
    <s v="JUN2025"/>
    <d v="2025-04-25T04:00:00"/>
    <d v="2025-05-02T04:00:00"/>
    <d v="2025-05-05T04:00:00"/>
    <d v="2025-05-08T04:00:00"/>
    <n v="7"/>
    <n v="3"/>
    <n v="10"/>
    <n v="252.41230324073695"/>
    <n v="242.41230324073695"/>
    <n v="19"/>
    <n v="0"/>
    <n v="15"/>
    <n v="0"/>
    <n v="0"/>
    <n v="3"/>
    <n v="0"/>
    <n v="0"/>
    <n v="37"/>
    <n v="215.41230324073695"/>
    <n v="205.41230324073695"/>
    <n v="-31"/>
    <n v="1"/>
  </r>
  <r>
    <s v="Cases &amp; Composites"/>
    <s v="CAS-231183-W9Z9D6"/>
    <s v="Jia Chen"/>
    <s v="Complete"/>
    <s v="Active"/>
    <s v="2-Routine"/>
    <m/>
    <s v="25KC170"/>
    <s v="Repair-EA"/>
    <s v="OTC"/>
    <s v="PW4000"/>
    <s v="AMO"/>
    <s v="50%"/>
    <d v="2024-10-17T17:46:55"/>
    <d v="2025-04-17T04:00:00"/>
    <d v="2025-04-17T04:00:00"/>
    <x v="45"/>
    <d v="2025-03-25T18:37:00"/>
    <m/>
    <m/>
    <m/>
    <m/>
    <m/>
    <s v=""/>
    <s v=""/>
    <n v="0"/>
    <n v="158.42575231481169"/>
    <n v="158.42575231481169"/>
    <n v="16"/>
    <n v="36"/>
    <n v="0"/>
    <n v="0"/>
    <n v="0"/>
    <n v="0"/>
    <n v="0"/>
    <n v="0"/>
    <n v="52"/>
    <n v="106.42575231481169"/>
    <n v="106.42575231481169"/>
    <n v="-23"/>
    <n v="1"/>
  </r>
  <r>
    <s v="Cases &amp; Composites"/>
    <s v="CAS-231962-F8V8T4"/>
    <s v="Tyler Abusbah"/>
    <s v="Complete"/>
    <s v="Resolved"/>
    <s v="2-Routine"/>
    <m/>
    <s v="25KC057"/>
    <s v="Repair-EA"/>
    <s v="OTC"/>
    <s v="PW4000"/>
    <s v="AMO"/>
    <s v="75%"/>
    <d v="2024-10-24T15:34:39"/>
    <d v="2025-05-12T04:00:00"/>
    <d v="2025-04-02T04:00:00"/>
    <x v="293"/>
    <d v="2025-03-26T19:52:32"/>
    <s v="Apr"/>
    <d v="2025-02-28T05:00:00"/>
    <d v="2025-02-28T05:00:00"/>
    <d v="2025-02-28T05:00:00"/>
    <d v="2025-02-28T05:00:00"/>
    <n v="0"/>
    <n v="0"/>
    <n v="0"/>
    <n v="152.51760416666366"/>
    <n v="152.51760416666366"/>
    <n v="16"/>
    <n v="0"/>
    <n v="0"/>
    <n v="0"/>
    <n v="0"/>
    <n v="0"/>
    <n v="0"/>
    <n v="0"/>
    <n v="16"/>
    <n v="136.51760416666366"/>
    <n v="136.51760416666366"/>
    <n v="-47"/>
    <n v="1"/>
  </r>
  <r>
    <s v="Cases &amp; Composites"/>
    <s v="CAS-234999-V0P6T0"/>
    <s v="Tyler Abusbah"/>
    <s v="Complete"/>
    <s v="Resolved"/>
    <s v="2-Routine"/>
    <m/>
    <s v="25KC099"/>
    <s v="Repair-EA"/>
    <s v="OTC"/>
    <s v="PW4000"/>
    <s v="AMO"/>
    <s v="50%"/>
    <d v="2024-11-21T20:47:53"/>
    <d v="2025-05-12T04:00:00"/>
    <d v="2025-05-12T04:00:00"/>
    <x v="266"/>
    <d v="2025-04-22T13:36:16"/>
    <s v="Apr2025"/>
    <d v="2025-03-12T04:00:00"/>
    <d v="2025-03-12T04:00:00"/>
    <d v="2025-03-13T04:00:00"/>
    <d v="2025-03-14T04:00:00"/>
    <n v="0"/>
    <n v="1"/>
    <n v="1"/>
    <n v="150.30008101851854"/>
    <n v="149.30008101851854"/>
    <n v="14"/>
    <n v="0"/>
    <n v="0"/>
    <n v="0"/>
    <n v="0"/>
    <n v="0"/>
    <n v="0"/>
    <n v="0"/>
    <n v="14"/>
    <n v="136.30008101851854"/>
    <n v="135.30008101851854"/>
    <n v="-21"/>
    <n v="1"/>
  </r>
  <r>
    <s v="Cases &amp; Composites"/>
    <s v="CAS-236209-X2W7Y8"/>
    <s v="Alexander Page"/>
    <s v="Complete"/>
    <s v="Resolved"/>
    <s v="2-Routine"/>
    <m/>
    <s v="25KC032"/>
    <s v="Repair-EA"/>
    <s v="OTC"/>
    <s v="PW4000"/>
    <s v="AMO"/>
    <s v="75%"/>
    <d v="2024-12-04T20:11:50"/>
    <d v="2025-06-27T04:00:00"/>
    <d v="2025-06-27T04:00:00"/>
    <x v="207"/>
    <d v="2025-06-18T14:54:51"/>
    <s v="JUN2025"/>
    <d v="2025-04-15T04:00:00"/>
    <d v="2025-04-15T04:00:00"/>
    <d v="2025-04-15T04:00:00"/>
    <d v="2025-04-22T04:00:00"/>
    <n v="0"/>
    <n v="7"/>
    <n v="7"/>
    <n v="194.32511574073578"/>
    <n v="187.32511574073578"/>
    <n v="0"/>
    <n v="0"/>
    <n v="0"/>
    <n v="0"/>
    <n v="0"/>
    <n v="0"/>
    <n v="0"/>
    <n v="0"/>
    <n v="0"/>
    <n v="194.32511574073578"/>
    <n v="187.32511574073578"/>
    <n v="-10"/>
    <n v="1"/>
  </r>
  <r>
    <s v="Cases &amp; Composites"/>
    <s v="CAS-237967-D6Z9L0"/>
    <s v="Francisco Astiasaran"/>
    <s v="Complete"/>
    <s v="Resolved"/>
    <s v="2-Routine"/>
    <m/>
    <s v="25CC029"/>
    <s v="Repair-EA"/>
    <s v="OTC"/>
    <s v="PW1000G"/>
    <s v="30K CIPT"/>
    <m/>
    <d v="2024-12-20T16:45:42"/>
    <d v="2025-01-17T05:00:00"/>
    <d v="2025-01-17T05:00:00"/>
    <x v="181"/>
    <d v="2025-01-16T18:57:21"/>
    <s v="JAN"/>
    <d v="2025-01-07T05:00:00"/>
    <d v="2025-01-08T05:00:00"/>
    <d v="2025-01-08T05:00:00"/>
    <d v="2025-01-08T05:00:00"/>
    <n v="1"/>
    <n v="0"/>
    <n v="1"/>
    <n v="25.509930555555911"/>
    <n v="24.509930555555911"/>
    <n v="0"/>
    <n v="0"/>
    <n v="0"/>
    <n v="0"/>
    <n v="0"/>
    <n v="0"/>
    <n v="0"/>
    <n v="0"/>
    <n v="0"/>
    <n v="25.509930555555911"/>
    <n v="24.509930555555911"/>
    <n v="-2"/>
    <n v="1"/>
  </r>
  <r>
    <s v="Cases &amp; Composites"/>
    <s v="CAS-234344-V7Q0G9"/>
    <s v="Alexander Page"/>
    <s v="Complete"/>
    <s v="Resolved"/>
    <s v="2-Routine"/>
    <m/>
    <s v="25CC063"/>
    <s v="Repair-EA"/>
    <s v="OTC"/>
    <s v="PW1000G"/>
    <s v="24K"/>
    <s v="75%"/>
    <d v="2024-11-15T19:57:33"/>
    <d v="2025-03-28T04:00:00"/>
    <d v="2025-06-30T04:00:00"/>
    <x v="295"/>
    <d v="2025-06-25T18:31:35"/>
    <s v="JUN2025"/>
    <d v="2025-02-06T05:00:00"/>
    <d v="2025-02-12T05:00:00"/>
    <d v="2025-02-12T05:00:00"/>
    <d v="2025-02-20T05:00:00"/>
    <n v="6"/>
    <n v="8"/>
    <n v="14"/>
    <n v="220.33503472222219"/>
    <n v="206.33503472222219"/>
    <n v="20.849426967593899"/>
    <n v="0"/>
    <n v="0"/>
    <n v="0"/>
    <n v="0"/>
    <n v="0"/>
    <n v="0"/>
    <n v="0"/>
    <n v="20.849426967593899"/>
    <n v="199.48560775462829"/>
    <n v="185.48560775462829"/>
    <n v="88"/>
    <n v="0"/>
  </r>
  <r>
    <s v="Cases &amp; Composites"/>
    <s v="CAS-234506-G1J1K4"/>
    <s v="Alexander Page"/>
    <s v="Complete"/>
    <s v="Resolved"/>
    <s v="2-Routine"/>
    <m/>
    <s v="25CC089"/>
    <s v="Repair-EA"/>
    <s v="OTC"/>
    <s v="PW1000G"/>
    <s v="24K"/>
    <s v="75%"/>
    <d v="2024-11-18T14:30:10"/>
    <d v="2025-03-28T04:00:00"/>
    <d v="2025-06-30T04:00:00"/>
    <x v="295"/>
    <d v="2025-06-25T18:41:46"/>
    <s v="JUN2025"/>
    <d v="2025-02-06T05:00:00"/>
    <d v="2025-02-12T05:00:00"/>
    <d v="2025-02-12T05:00:00"/>
    <d v="2025-02-20T05:00:00"/>
    <n v="6"/>
    <n v="8"/>
    <n v="14"/>
    <n v="217.56238425925403"/>
    <n v="203.56238425925403"/>
    <n v="20.850135231477907"/>
    <n v="0"/>
    <n v="0"/>
    <n v="0"/>
    <n v="0"/>
    <n v="0"/>
    <n v="0"/>
    <n v="0"/>
    <n v="20.850135231477907"/>
    <n v="196.71224902777612"/>
    <n v="182.71224902777612"/>
    <n v="88"/>
    <n v="0"/>
  </r>
  <r>
    <s v="Cases &amp; Composites"/>
    <s v="CAS-238771-P8Q1L4"/>
    <s v="Francisco Astiasaran"/>
    <s v="Complete"/>
    <s v="Resolved"/>
    <s v="2-Routine"/>
    <m/>
    <s v="25KC060"/>
    <s v="Repair-EA"/>
    <s v="Discretionary"/>
    <s v="PW4000"/>
    <s v="AMO"/>
    <s v="75%"/>
    <d v="2025-01-03T16:32:35"/>
    <d v="2025-02-04T05:00:00"/>
    <d v="2025-02-04T05:00:00"/>
    <x v="96"/>
    <d v="2025-01-30T21:32:36"/>
    <m/>
    <m/>
    <m/>
    <m/>
    <m/>
    <s v=""/>
    <s v=""/>
    <n v="0"/>
    <n v="26.519039351856918"/>
    <n v="26.519039351856918"/>
    <n v="0"/>
    <n v="0"/>
    <n v="0"/>
    <n v="0"/>
    <n v="0"/>
    <n v="0"/>
    <n v="0"/>
    <n v="0"/>
    <n v="0"/>
    <n v="26.519039351856918"/>
    <n v="26.519039351856918"/>
    <n v="-5"/>
    <n v="1"/>
  </r>
  <r>
    <s v="Cases &amp; Composites"/>
    <s v="CAS-236887-C2P5G8"/>
    <s v="Francisco Astiasaran"/>
    <s v="Complete"/>
    <s v="Resolved"/>
    <s v="2-Routine"/>
    <m/>
    <s v="25KC025"/>
    <s v="Repair-EA"/>
    <s v="EM"/>
    <s v="PW4000"/>
    <s v="AMO"/>
    <s v="75%"/>
    <d v="2024-12-11T13:56:25"/>
    <d v="2025-02-24T05:00:00"/>
    <d v="2025-02-24T05:00:00"/>
    <x v="223"/>
    <d v="2025-02-05T16:25:07"/>
    <m/>
    <m/>
    <m/>
    <m/>
    <m/>
    <s v=""/>
    <s v=""/>
    <n v="0"/>
    <n v="54.627488425925549"/>
    <n v="54.627488425925549"/>
    <n v="0"/>
    <n v="0"/>
    <n v="0"/>
    <n v="0"/>
    <n v="0"/>
    <n v="0"/>
    <n v="0"/>
    <n v="0"/>
    <n v="0"/>
    <n v="54.627488425925549"/>
    <n v="54.627488425925549"/>
    <n v="-20"/>
    <n v="1"/>
  </r>
  <r>
    <s v="Cases &amp; Composites"/>
    <s v="CAS-239061-Q1P1B4"/>
    <s v="Francisco Astiasaran"/>
    <s v="Complete"/>
    <s v="Resolved"/>
    <s v="2-Routine"/>
    <m/>
    <s v="25KC022"/>
    <s v="Repair-EA"/>
    <s v="OTC"/>
    <s v="PW4000"/>
    <s v="AMO"/>
    <m/>
    <d v="2025-01-07T18:08:56"/>
    <d v="2025-03-03T05:00:00"/>
    <d v="2025-03-14T04:00:00"/>
    <x v="253"/>
    <d v="2025-03-10T20:27:21"/>
    <m/>
    <m/>
    <m/>
    <m/>
    <m/>
    <s v=""/>
    <s v=""/>
    <n v="0"/>
    <n v="61.410462962958263"/>
    <n v="61.410462962958263"/>
    <n v="0"/>
    <n v="0"/>
    <n v="0"/>
    <n v="0"/>
    <n v="0"/>
    <n v="0"/>
    <n v="0"/>
    <n v="0"/>
    <n v="0"/>
    <n v="61.410462962958263"/>
    <n v="61.410462962958263"/>
    <n v="6.9583333333284827"/>
    <n v="0"/>
  </r>
  <r>
    <s v="Cases &amp; Composites"/>
    <s v="CAS-234263-P5S9B5"/>
    <s v="Orlando Melendez Colon"/>
    <s v="Complete"/>
    <s v="Resolved"/>
    <s v="2-Routine"/>
    <m/>
    <s v="25VC020"/>
    <s v="Repair-EA"/>
    <s v="OTC"/>
    <s v="V2500"/>
    <s v="V2500"/>
    <s v="50%"/>
    <d v="2024-11-15T09:19:38"/>
    <d v="2025-04-18T04:00:00"/>
    <d v="2025-04-02T04:00:00"/>
    <x v="299"/>
    <d v="2025-04-03T02:14:17"/>
    <s v="April2025"/>
    <d v="2025-01-23T05:00:00"/>
    <d v="2025-01-23T05:00:00"/>
    <d v="2025-01-23T05:00:00"/>
    <d v="2025-01-29T05:00:00"/>
    <n v="0"/>
    <n v="6"/>
    <n v="6"/>
    <n v="137.77803240740468"/>
    <n v="131.77803240740468"/>
    <n v="0"/>
    <n v="0"/>
    <n v="0"/>
    <n v="0"/>
    <n v="0"/>
    <n v="0"/>
    <n v="0"/>
    <n v="3"/>
    <n v="3"/>
    <n v="134.77803240740468"/>
    <n v="128.77803240740468"/>
    <n v="-16"/>
    <n v="1"/>
  </r>
  <r>
    <s v="Cases &amp; Composites"/>
    <s v="CAS-236063-K6K9W7"/>
    <s v="Ferdin Mustafa"/>
    <s v="Complete"/>
    <s v="Resolved"/>
    <s v="2-Routine"/>
    <m/>
    <s v="25AC009"/>
    <s v="Repair-EA"/>
    <s v="EM"/>
    <s v="GP7000"/>
    <s v="GP7000"/>
    <s v="75%"/>
    <d v="2024-12-03T16:34:56"/>
    <d v="2025-03-25T04:00:00"/>
    <d v="2025-03-25T04:00:00"/>
    <x v="51"/>
    <d v="2025-03-31T18:37:56"/>
    <s v="Mar2025"/>
    <d v="2025-03-26T04:00:00"/>
    <d v="2025-03-26T04:00:00"/>
    <d v="2025-03-26T04:00:00"/>
    <d v="2025-03-27T04:00:00"/>
    <n v="0"/>
    <n v="1"/>
    <n v="1"/>
    <n v="117.47574074073782"/>
    <n v="116.47574074073782"/>
    <n v="0"/>
    <n v="0"/>
    <n v="0"/>
    <n v="0"/>
    <n v="0"/>
    <n v="0"/>
    <n v="0"/>
    <n v="0"/>
    <n v="0"/>
    <n v="117.47574074073782"/>
    <n v="116.47574074073782"/>
    <n v="6"/>
    <n v="0"/>
  </r>
  <r>
    <s v="Cases &amp; Composites"/>
    <s v="CAS-234520-R7C0D7"/>
    <s v="Jia Chen"/>
    <s v="Complete"/>
    <s v="Resolved"/>
    <s v="2-Routine"/>
    <m/>
    <s v="25CC138"/>
    <s v="Repair-EA"/>
    <s v="OTC"/>
    <s v="PW1000G"/>
    <s v="24K"/>
    <s v="75%"/>
    <d v="2024-11-18T16:05:01"/>
    <d v="2025-03-05T05:00:00"/>
    <d v="2025-02-20T05:00:00"/>
    <x v="255"/>
    <d v="2025-02-19T16:32:11"/>
    <s v="DIFFUSER INNER CASE ASSEMBLY - OUTER W-SEAL CHAMFER - BLEND REPAIR"/>
    <d v="2025-01-31T05:00:00"/>
    <d v="2025-01-31T05:00:00"/>
    <d v="2025-01-31T05:00:00"/>
    <d v="2025-02-05T05:00:00"/>
    <n v="0"/>
    <n v="5"/>
    <n v="5"/>
    <n v="92.538182870375749"/>
    <n v="87.538182870375749"/>
    <n v="41.703837013890734"/>
    <n v="0"/>
    <n v="0"/>
    <n v="0"/>
    <n v="0"/>
    <n v="0"/>
    <n v="1.0425310648206505"/>
    <n v="0"/>
    <n v="42.746368078711384"/>
    <n v="49.791814791664365"/>
    <n v="44.791814791664365"/>
    <n v="-14"/>
    <n v="1"/>
  </r>
  <r>
    <s v="Cases &amp; Composites"/>
    <s v="CAS-240193-H1P2V1"/>
    <s v="Francisco Astiasaran"/>
    <s v="Complete"/>
    <s v="Resolved"/>
    <s v="2-Routine"/>
    <m/>
    <s v="25KC052"/>
    <s v="Repair-EA"/>
    <s v="Discretionary"/>
    <s v="PW4000"/>
    <s v="AMO"/>
    <s v="75%"/>
    <d v="2025-01-17T01:38:22"/>
    <d v="2025-02-14T05:00:00"/>
    <d v="2025-02-14T05:00:00"/>
    <x v="296"/>
    <d v="2025-02-10T20:36:46"/>
    <m/>
    <m/>
    <m/>
    <m/>
    <m/>
    <s v=""/>
    <s v=""/>
    <n v="0"/>
    <n v="24.140023148152977"/>
    <n v="24.140023148152977"/>
    <n v="0"/>
    <n v="0"/>
    <n v="0"/>
    <n v="0"/>
    <n v="0"/>
    <n v="0"/>
    <n v="0"/>
    <n v="0"/>
    <n v="0"/>
    <n v="24.140023148152977"/>
    <n v="24.140023148152977"/>
    <n v="-4"/>
    <n v="1"/>
  </r>
  <r>
    <s v="Cases &amp; Composites"/>
    <s v="MSG-250120-D51F5E"/>
    <s v="Francisco Astiasaran"/>
    <s v="Complete"/>
    <s v="Complete"/>
    <s v="2-Routine"/>
    <m/>
    <s v="25KC053"/>
    <s v="Repair-EA"/>
    <s v="Discretionary"/>
    <s v="PW4000"/>
    <s v="AMO"/>
    <s v="75%"/>
    <d v="2025-01-20T05:00:00"/>
    <d v="2025-02-21T05:00:00"/>
    <d v="2025-02-21T05:00:00"/>
    <x v="240"/>
    <d v="2025-02-07T20:30:02"/>
    <m/>
    <m/>
    <m/>
    <m/>
    <m/>
    <s v=""/>
    <s v=""/>
    <n v="0"/>
    <n v="18"/>
    <n v="18"/>
    <n v="0"/>
    <n v="0"/>
    <n v="0"/>
    <n v="0"/>
    <n v="0"/>
    <n v="0"/>
    <n v="0"/>
    <n v="0"/>
    <n v="0"/>
    <n v="18"/>
    <n v="18"/>
    <n v="-14"/>
    <n v="1"/>
  </r>
  <r>
    <s v="Cases &amp; Composites"/>
    <s v="MSG-250122-033496"/>
    <s v="Jia Chen"/>
    <s v="Complete"/>
    <s v="Complete"/>
    <s v="2-Routine"/>
    <m/>
    <s v="24VC343A"/>
    <s v="Repair-EA"/>
    <s v="OTC"/>
    <s v="V2500"/>
    <s v="AMO"/>
    <m/>
    <d v="2025-01-22T05:00:00"/>
    <d v="2025-02-06T05:00:00"/>
    <d v="2025-02-06T05:00:00"/>
    <x v="10"/>
    <d v="2025-01-24T17:04:26"/>
    <s v="Typo Correction for CAS-225449-F6K8S2 (EA# 24VC343"/>
    <m/>
    <m/>
    <m/>
    <m/>
    <s v=""/>
    <s v=""/>
    <n v="0"/>
    <n v="2"/>
    <n v="2"/>
    <n v="0"/>
    <n v="0"/>
    <n v="0"/>
    <n v="0"/>
    <n v="0"/>
    <n v="0"/>
    <n v="0"/>
    <n v="0"/>
    <n v="0"/>
    <n v="2"/>
    <n v="2"/>
    <n v="-13"/>
    <n v="1"/>
  </r>
  <r>
    <s v="Cases &amp; Composites"/>
    <s v="CAS-238685-P6M7H3"/>
    <s v="Jia Chen"/>
    <s v="Complete"/>
    <s v="Resolved"/>
    <s v="2-Routine"/>
    <m/>
    <s v="25KC083"/>
    <s v="Repair-EA"/>
    <s v="OTC"/>
    <s v="PW4000"/>
    <s v="AMO"/>
    <s v="75%"/>
    <d v="2025-01-02T22:10:23"/>
    <d v="2025-04-11T04:00:00"/>
    <d v="2025-04-11T04:00:00"/>
    <x v="300"/>
    <d v="2025-03-28T15:27:42"/>
    <m/>
    <d v="2025-02-25T05:00:00"/>
    <d v="2025-02-25T05:00:00"/>
    <d v="2025-02-25T05:00:00"/>
    <d v="2025-02-28T05:00:00"/>
    <n v="0"/>
    <n v="3"/>
    <n v="3"/>
    <n v="84.242789351847023"/>
    <n v="81.242789351847023"/>
    <n v="0"/>
    <n v="0"/>
    <n v="0"/>
    <n v="0"/>
    <n v="0"/>
    <n v="0"/>
    <n v="0"/>
    <n v="0"/>
    <n v="0"/>
    <n v="84.242789351847023"/>
    <n v="81.242789351847023"/>
    <n v="-14"/>
    <n v="1"/>
  </r>
  <r>
    <s v="Cases &amp; Composites"/>
    <s v="CAS-240883-L1Y8M0"/>
    <s v="Orlando Melendez Colon"/>
    <s v="Complete"/>
    <s v="Resolved"/>
    <s v="2-Routine"/>
    <m/>
    <s v="25VC031"/>
    <s v="Repair-EA"/>
    <s v="OTC"/>
    <s v="V2500"/>
    <s v="V2500"/>
    <s v="75%"/>
    <d v="2025-01-23T10:57:44"/>
    <d v="2025-02-26T05:00:00"/>
    <d v="2025-02-28T05:00:00"/>
    <x v="241"/>
    <d v="2025-02-26T20:00:41"/>
    <m/>
    <d v="2025-02-07T05:00:00"/>
    <d v="2025-02-07T05:00:00"/>
    <d v="2025-02-07T05:00:00"/>
    <d v="2025-02-11T05:00:00"/>
    <n v="0"/>
    <n v="4"/>
    <n v="4"/>
    <n v="33.751574074078235"/>
    <n v="29.751574074078235"/>
    <n v="0"/>
    <n v="4"/>
    <n v="0"/>
    <n v="0"/>
    <n v="0"/>
    <n v="0"/>
    <n v="0"/>
    <n v="0"/>
    <n v="4"/>
    <n v="29.751574074078235"/>
    <n v="25.751574074078235"/>
    <n v="0"/>
    <n v="1"/>
  </r>
  <r>
    <s v="Cases &amp; Composites"/>
    <s v="MSG-250123-87C0D4"/>
    <s v="Francisco Astiasaran"/>
    <s v="Complete"/>
    <s v="Complete"/>
    <s v="2-Routine"/>
    <m/>
    <s v="25KC084"/>
    <s v="Repair-EA"/>
    <s v="Discretionary"/>
    <s v="PW4000"/>
    <s v="AMO"/>
    <s v="75%"/>
    <d v="2025-01-23T05:00:00"/>
    <d v="2025-02-26T05:00:00"/>
    <d v="2025-02-26T05:00:00"/>
    <x v="47"/>
    <d v="2025-02-18T15:33:26"/>
    <m/>
    <m/>
    <m/>
    <m/>
    <m/>
    <s v=""/>
    <s v=""/>
    <n v="0"/>
    <n v="26"/>
    <n v="26"/>
    <n v="0"/>
    <n v="0"/>
    <n v="0"/>
    <n v="0"/>
    <n v="0"/>
    <n v="0"/>
    <n v="0"/>
    <n v="0"/>
    <n v="0"/>
    <n v="26"/>
    <n v="26"/>
    <n v="-8"/>
    <n v="1"/>
  </r>
  <r>
    <s v="Cases &amp; Composites"/>
    <s v="CAS-233677-R7R4G2"/>
    <s v="Jia Chen"/>
    <s v="Complete"/>
    <s v="Resolved"/>
    <s v="2-Routine"/>
    <m/>
    <s v="25VC040"/>
    <s v="Repair-EA"/>
    <s v="OTC"/>
    <s v="V2500"/>
    <s v="V2500"/>
    <s v="50%"/>
    <d v="2024-11-11T13:18:46"/>
    <d v="2025-03-26T04:00:00"/>
    <d v="2025-03-26T04:00:00"/>
    <x v="292"/>
    <d v="2025-03-14T20:03:11"/>
    <s v="Mar2025"/>
    <d v="2025-02-05T05:00:00"/>
    <d v="2025-02-14T05:00:00"/>
    <d v="2025-02-14T05:00:00"/>
    <d v="2025-02-17T05:00:00"/>
    <n v="9"/>
    <n v="3"/>
    <n v="12"/>
    <n v="122.61196759258746"/>
    <n v="110.61196759258746"/>
    <n v="4"/>
    <n v="0"/>
    <n v="0"/>
    <n v="0"/>
    <n v="0"/>
    <n v="0"/>
    <n v="0"/>
    <n v="0"/>
    <n v="4"/>
    <n v="118.61196759258746"/>
    <n v="106.61196759258746"/>
    <n v="-12"/>
    <n v="1"/>
  </r>
  <r>
    <s v="Cases &amp; Composites"/>
    <s v="CAS-239994-P3G5F7"/>
    <s v="Francisco Astiasaran"/>
    <s v="Complete"/>
    <s v="Resolved"/>
    <s v="2-Routine"/>
    <m/>
    <s v="25CC486"/>
    <s v="Repair-EA"/>
    <s v="OTC"/>
    <s v="PW1000G"/>
    <s v="AMO"/>
    <s v="75%"/>
    <d v="2025-01-15T14:48:17"/>
    <d v="2025-03-31T04:00:00"/>
    <d v="2025-03-31T04:00:00"/>
    <x v="45"/>
    <d v="2025-03-25T18:33:36"/>
    <m/>
    <m/>
    <m/>
    <m/>
    <m/>
    <s v=""/>
    <s v=""/>
    <n v="0"/>
    <n v="68.549803240741312"/>
    <n v="68.549803240741312"/>
    <n v="0"/>
    <n v="0"/>
    <n v="0"/>
    <n v="0"/>
    <n v="0"/>
    <n v="0"/>
    <n v="0"/>
    <n v="0"/>
    <n v="0"/>
    <n v="68.549803240741312"/>
    <n v="68.549803240741312"/>
    <n v="-6"/>
    <n v="1"/>
  </r>
  <r>
    <s v="Cases &amp; Composites"/>
    <s v="CAS-241095-H9J7W3"/>
    <s v="Francisco Astiasaran"/>
    <s v="Complete"/>
    <s v="Resolved"/>
    <s v="2-Routine"/>
    <m/>
    <s v="25CC209"/>
    <s v="Repair-EA"/>
    <s v="OTC"/>
    <s v="PW1000G"/>
    <s v="24K"/>
    <m/>
    <d v="2025-01-24T20:22:03"/>
    <d v="2025-02-11T05:00:00"/>
    <d v="2025-02-11T05:00:00"/>
    <x v="135"/>
    <d v="2025-02-11T19:14:17"/>
    <m/>
    <m/>
    <m/>
    <m/>
    <m/>
    <s v=""/>
    <s v=""/>
    <n v="0"/>
    <n v="17.359687500000291"/>
    <n v="17.359687500000291"/>
    <n v="0"/>
    <n v="0"/>
    <n v="0"/>
    <n v="0"/>
    <n v="0"/>
    <n v="0"/>
    <n v="0"/>
    <n v="0"/>
    <n v="0"/>
    <n v="17.359687500000291"/>
    <n v="17.359687500000291"/>
    <n v="0"/>
    <n v="1"/>
  </r>
  <r>
    <s v="Cases &amp; Composites"/>
    <s v="CAS-241096-N7M6J7"/>
    <s v="Francisco Astiasaran"/>
    <s v="Complete"/>
    <s v="Resolved"/>
    <s v="2-Routine"/>
    <m/>
    <s v="25CC212"/>
    <s v="Repair-EA"/>
    <s v="OTC"/>
    <s v="PW1000G"/>
    <s v="24K CIPT"/>
    <m/>
    <d v="2025-01-24T20:26:19"/>
    <d v="2025-02-21T05:00:00"/>
    <d v="2025-02-21T05:00:00"/>
    <x v="46"/>
    <d v="2025-02-21T21:04:16"/>
    <m/>
    <d v="2025-02-05T05:00:00"/>
    <d v="2025-02-10T05:00:00"/>
    <d v="2025-02-10T05:00:00"/>
    <d v="2025-02-10T05:00:00"/>
    <n v="5"/>
    <n v="0"/>
    <n v="5"/>
    <n v="27.356724537035916"/>
    <n v="22.356724537035916"/>
    <n v="0"/>
    <n v="0"/>
    <n v="0"/>
    <n v="0"/>
    <n v="0"/>
    <n v="0"/>
    <n v="0"/>
    <n v="0"/>
    <n v="0"/>
    <n v="27.356724537035916"/>
    <n v="22.356724537035916"/>
    <n v="0"/>
    <n v="1"/>
  </r>
  <r>
    <s v="Cases &amp; Composites"/>
    <s v="CAS-241572-F5G8T2"/>
    <s v="Francisco Astiasaran"/>
    <s v="Complete"/>
    <s v="Resolved"/>
    <s v="2-Routine"/>
    <m/>
    <s v="23CCF32A"/>
    <s v="Repair-EA"/>
    <s v="EM"/>
    <s v="PW1000G"/>
    <s v="24K"/>
    <s v="75%"/>
    <d v="2025-01-30T10:04:02"/>
    <d v="2025-05-30T04:00:00"/>
    <d v="2025-06-13T04:00:00"/>
    <x v="269"/>
    <d v="2025-06-17T13:30:05"/>
    <s v="Jun2025"/>
    <m/>
    <m/>
    <m/>
    <m/>
    <s v=""/>
    <s v=""/>
    <n v="0"/>
    <n v="136.74719907407416"/>
    <n v="136.74719907407416"/>
    <n v="0"/>
    <n v="0"/>
    <n v="0"/>
    <n v="0"/>
    <n v="0"/>
    <n v="0"/>
    <n v="0"/>
    <n v="0"/>
    <n v="0"/>
    <n v="136.74719907407416"/>
    <n v="136.74719907407416"/>
    <n v="17"/>
    <n v="0"/>
  </r>
  <r>
    <s v="Cases &amp; Composites"/>
    <s v="CAS-240174-X4Z2Z1"/>
    <s v="Alexander Page"/>
    <s v="Complete"/>
    <s v="Resolved"/>
    <s v="2-Routine"/>
    <m/>
    <s v="25KC109"/>
    <s v="Repair-EA"/>
    <s v="OTC"/>
    <s v="PW4000"/>
    <s v="AMO"/>
    <s v="75%"/>
    <d v="2025-01-16T20:33:49"/>
    <d v="2025-07-01T04:00:00"/>
    <d v="2025-05-30T04:00:00"/>
    <x v="16"/>
    <d v="2025-05-27T21:43:39"/>
    <s v="may2025"/>
    <d v="2025-04-17T04:00:00"/>
    <d v="2025-04-17T04:00:00"/>
    <d v="2025-04-17T04:00:00"/>
    <d v="2025-04-25T04:00:00"/>
    <n v="0"/>
    <n v="8"/>
    <n v="8"/>
    <n v="130.30984953703592"/>
    <n v="122.30984953703592"/>
    <n v="0"/>
    <n v="0"/>
    <n v="0"/>
    <n v="0"/>
    <n v="0"/>
    <n v="0"/>
    <n v="0"/>
    <n v="0"/>
    <n v="0"/>
    <n v="130.30984953703592"/>
    <n v="122.30984953703592"/>
    <n v="-35"/>
    <n v="1"/>
  </r>
  <r>
    <s v="Cases &amp; Composites"/>
    <s v="CAS-241634-W6K5S0"/>
    <s v="Jia Chen"/>
    <s v="Complete"/>
    <s v="Resolved"/>
    <s v="2-Routine"/>
    <m/>
    <s v="25KC106"/>
    <s v="Repair-EA"/>
    <s v="OTC"/>
    <s v="PW4000"/>
    <s v="AMO"/>
    <s v="75%"/>
    <d v="2025-01-30T21:59:26"/>
    <d v="2025-05-08T04:00:00"/>
    <d v="2025-04-17T04:00:00"/>
    <x v="26"/>
    <d v="2025-03-27T19:17:23"/>
    <m/>
    <d v="2025-03-07T05:00:00"/>
    <d v="2025-03-07T05:00:00"/>
    <d v="2025-03-07T05:00:00"/>
    <d v="2025-03-13T04:00:00"/>
    <n v="0"/>
    <n v="5.9583333333284827"/>
    <n v="5.9583333333284827"/>
    <n v="55.250393518515921"/>
    <n v="49.292060185187438"/>
    <n v="0"/>
    <n v="0"/>
    <n v="0"/>
    <n v="0"/>
    <n v="0"/>
    <n v="0"/>
    <n v="0"/>
    <n v="0"/>
    <n v="0"/>
    <n v="55.250393518515921"/>
    <n v="49.292060185187438"/>
    <n v="-42"/>
    <n v="1"/>
  </r>
  <r>
    <s v="Cases &amp; Composites"/>
    <s v="CAS-241713-X0S5K8"/>
    <s v="Francisco Astiasaran"/>
    <s v="Complete"/>
    <s v="Resolved"/>
    <s v="2-Routine"/>
    <m/>
    <s v="24KC299A"/>
    <s v="Repair-EA"/>
    <s v="Discretionary"/>
    <s v="PW4000"/>
    <s v="AMO"/>
    <s v="75%"/>
    <d v="2025-01-31T19:17:19"/>
    <d v="2025-03-31T04:00:00"/>
    <d v="2025-04-18T04:00:00"/>
    <x v="267"/>
    <d v="2025-04-24T14:46:53"/>
    <s v="Apr2025"/>
    <m/>
    <m/>
    <m/>
    <m/>
    <s v=""/>
    <s v=""/>
    <n v="0"/>
    <n v="82.362974537034461"/>
    <n v="82.362974537034461"/>
    <n v="0"/>
    <n v="0"/>
    <n v="0"/>
    <n v="0"/>
    <n v="0"/>
    <n v="0"/>
    <n v="0"/>
    <n v="0"/>
    <n v="0"/>
    <n v="82.362974537034461"/>
    <n v="82.362974537034461"/>
    <n v="24"/>
    <n v="0"/>
  </r>
  <r>
    <s v="Cases &amp; Composites"/>
    <s v="CAS-239036-W5Q5P3"/>
    <s v="Ferdin Mustafa"/>
    <s v="Complete"/>
    <s v="Resolved"/>
    <s v="2-Routine"/>
    <m/>
    <s v="25KC312"/>
    <s v="Repair-EA"/>
    <s v="OTC"/>
    <s v="PW4000"/>
    <s v="AMO"/>
    <m/>
    <d v="2025-01-07T14:24:32"/>
    <d v="2025-06-09T04:00:00"/>
    <d v="2025-08-08T04:00:00"/>
    <x v="260"/>
    <d v="2025-07-30T19:55:44"/>
    <s v="RSL"/>
    <d v="2025-05-15T04:00:00"/>
    <d v="2025-05-15T04:00:00"/>
    <d v="2025-06-24T04:00:00"/>
    <d v="2025-06-25T04:00:00"/>
    <n v="0"/>
    <n v="1"/>
    <n v="1"/>
    <n v="203.56629629629606"/>
    <n v="202.56629629629606"/>
    <n v="12"/>
    <n v="0"/>
    <n v="0"/>
    <n v="0"/>
    <n v="21"/>
    <n v="0"/>
    <n v="17"/>
    <n v="0"/>
    <n v="50"/>
    <n v="153.56629629629606"/>
    <n v="152.56629629629606"/>
    <n v="51"/>
    <n v="0"/>
  </r>
  <r>
    <s v="Cases &amp; Composites"/>
    <s v="CAS-238573-K7Z9L6"/>
    <s v="Francisco Astiasaran"/>
    <s v="Complete"/>
    <s v="Resolved"/>
    <s v="2-Routine"/>
    <m/>
    <s v="25CC381"/>
    <s v="Repair-EA"/>
    <s v="OTC"/>
    <s v="PW1000G"/>
    <s v="24K"/>
    <s v="25%"/>
    <d v="2024-12-31T16:14:11"/>
    <d v="2025-03-14T04:00:00"/>
    <d v="2025-03-14T04:00:00"/>
    <x v="45"/>
    <d v="2025-03-26T13:22:52"/>
    <s v="Mar2025"/>
    <d v="2025-02-21T05:00:00"/>
    <d v="2025-02-24T05:00:00"/>
    <d v="2025-02-24T05:00:00"/>
    <d v="2025-02-24T05:00:00"/>
    <n v="3"/>
    <n v="0"/>
    <n v="3"/>
    <n v="83.490150462959718"/>
    <n v="80.490150462959718"/>
    <n v="0"/>
    <n v="0"/>
    <n v="0"/>
    <n v="0"/>
    <n v="0"/>
    <n v="0"/>
    <n v="0"/>
    <n v="0"/>
    <n v="0"/>
    <n v="83.490150462959718"/>
    <n v="80.490150462959718"/>
    <n v="11"/>
    <n v="0"/>
  </r>
  <r>
    <s v="Cases &amp; Composites"/>
    <s v="CAS-242294-N6T8Z7"/>
    <s v="Francisco Astiasaran"/>
    <s v="Complete"/>
    <s v="Resolved"/>
    <s v="2-Routine"/>
    <m/>
    <s v="25CC550"/>
    <s v="Repair-EA"/>
    <s v="EM"/>
    <s v="PW1000G"/>
    <s v="24K"/>
    <s v="75%"/>
    <d v="2025-02-06T15:09:34"/>
    <d v="2025-04-11T04:00:00"/>
    <d v="2025-06-06T04:00:00"/>
    <x v="238"/>
    <d v="2025-06-05T13:59:37"/>
    <s v="Jun2025"/>
    <m/>
    <m/>
    <m/>
    <m/>
    <s v=""/>
    <s v=""/>
    <n v="0"/>
    <n v="118.5350231481425"/>
    <n v="118.5350231481425"/>
    <n v="0"/>
    <n v="0"/>
    <n v="0"/>
    <n v="0"/>
    <n v="0"/>
    <n v="35.049358553245838"/>
    <n v="0"/>
    <n v="0"/>
    <n v="35.049358553245838"/>
    <n v="83.485664594896662"/>
    <n v="83.485664594896662"/>
    <n v="55"/>
    <n v="0"/>
  </r>
  <r>
    <s v="Cases &amp; Composites"/>
    <s v="CAS-243355-S6L3L7"/>
    <s v="Francisco Astiasaran"/>
    <s v="Complete"/>
    <s v="Resolved"/>
    <s v="2-Routine"/>
    <m/>
    <s v="25CC209A"/>
    <s v="Repair-EA"/>
    <s v="OTC"/>
    <s v="PW1000G"/>
    <s v="24K CIPT"/>
    <m/>
    <d v="2025-02-17T13:42:15"/>
    <d v="2025-02-25T05:00:00"/>
    <d v="2025-02-25T05:00:00"/>
    <x v="235"/>
    <d v="2025-02-28T20:24:30"/>
    <m/>
    <m/>
    <m/>
    <m/>
    <m/>
    <s v=""/>
    <s v=""/>
    <n v="0"/>
    <n v="10.637326388889051"/>
    <n v="10.637326388889051"/>
    <n v="0"/>
    <n v="0"/>
    <n v="0"/>
    <n v="0"/>
    <n v="0"/>
    <n v="0"/>
    <n v="0"/>
    <n v="0"/>
    <n v="0"/>
    <n v="10.637326388889051"/>
    <n v="10.637326388889051"/>
    <n v="3"/>
    <n v="0"/>
  </r>
  <r>
    <s v="Cases &amp; Composites"/>
    <s v="CAS-242922-K3T7B9"/>
    <s v="Francisco Astiasaran"/>
    <s v="Complete"/>
    <s v="Resolved"/>
    <s v="2-Routine"/>
    <m/>
    <s v="23FC181A"/>
    <s v="Repair-EA"/>
    <s v="EM"/>
    <s v="PW2000"/>
    <s v="AMO"/>
    <s v="50%"/>
    <d v="2025-02-12T16:05:50"/>
    <d v="2025-03-28T04:00:00"/>
    <d v="2025-06-20T04:00:00"/>
    <x v="301"/>
    <d v="2025-06-26T15:18:09"/>
    <s v="Jun2025"/>
    <m/>
    <m/>
    <m/>
    <m/>
    <s v=""/>
    <s v=""/>
    <n v="0"/>
    <n v="132.495949074073"/>
    <n v="132.495949074073"/>
    <n v="0"/>
    <n v="0"/>
    <n v="0"/>
    <n v="0"/>
    <n v="0"/>
    <n v="0"/>
    <n v="0"/>
    <n v="0"/>
    <n v="0"/>
    <n v="132.495949074073"/>
    <n v="132.495949074073"/>
    <n v="89"/>
    <n v="0"/>
  </r>
  <r>
    <s v="Cases &amp; Composites"/>
    <s v="CAS-242924-M2N8L5"/>
    <s v="Francisco Astiasaran"/>
    <s v="Complete"/>
    <s v="Resolved"/>
    <s v="2-Routine"/>
    <m/>
    <s v="22AC041D"/>
    <s v="Repair-EA"/>
    <s v="EM"/>
    <s v="GP7000"/>
    <s v="GP7000"/>
    <s v="50%"/>
    <d v="2025-02-12T16:12:07"/>
    <d v="2025-03-28T04:00:00"/>
    <d v="2025-06-20T04:00:00"/>
    <x v="301"/>
    <d v="2025-06-26T15:44:54"/>
    <s v="Jun2025"/>
    <m/>
    <m/>
    <m/>
    <m/>
    <s v=""/>
    <s v=""/>
    <n v="0"/>
    <n v="132.4915856481457"/>
    <n v="132.4915856481457"/>
    <n v="0"/>
    <n v="0"/>
    <n v="0"/>
    <n v="0"/>
    <n v="0"/>
    <n v="0"/>
    <n v="0"/>
    <n v="0"/>
    <n v="0"/>
    <n v="132.4915856481457"/>
    <n v="132.4915856481457"/>
    <n v="89"/>
    <n v="0"/>
  </r>
  <r>
    <s v="Cases &amp; Composites"/>
    <s v="CAS-242945-L9X4Z5"/>
    <s v="Francisco Astiasaran"/>
    <s v="Complete"/>
    <s v="Resolved"/>
    <s v="2-Routine"/>
    <m/>
    <s v="25CC395"/>
    <s v="Repair-EA"/>
    <s v="OTC"/>
    <s v="PW1000G"/>
    <s v="24K"/>
    <s v="75%"/>
    <d v="2025-02-12T20:43:10"/>
    <d v="2025-04-08T04:00:00"/>
    <d v="2025-04-08T04:00:00"/>
    <x v="254"/>
    <d v="2025-04-08T15:17:27"/>
    <m/>
    <d v="2025-02-26T05:00:00"/>
    <d v="2025-02-28T05:00:00"/>
    <d v="2025-02-28T05:00:00"/>
    <d v="2025-03-11T04:00:00"/>
    <n v="2"/>
    <n v="10.958333333328483"/>
    <n v="12.958333333328483"/>
    <n v="53.30335648147593"/>
    <n v="40.345023148147448"/>
    <n v="0"/>
    <n v="0"/>
    <n v="0"/>
    <n v="0"/>
    <n v="0"/>
    <n v="0"/>
    <n v="0"/>
    <n v="0"/>
    <n v="0"/>
    <n v="53.30335648147593"/>
    <n v="40.345023148147448"/>
    <n v="-1"/>
    <n v="1"/>
  </r>
  <r>
    <s v="Cases &amp; Composites"/>
    <s v="CAS-225544-W7W6T8"/>
    <s v="Francisco Astiasaran"/>
    <s v="Complete"/>
    <s v="Active"/>
    <s v="2-Routine"/>
    <m/>
    <s v="09KC556B"/>
    <s v="Repair-EA"/>
    <s v="EM"/>
    <s v="PW4000"/>
    <s v="AMO"/>
    <s v="75%"/>
    <d v="2024-08-27T10:59:35"/>
    <d v="2025-04-25T04:00:00"/>
    <d v="2025-05-09T04:00:00"/>
    <x v="157"/>
    <d v="2025-05-12T19:00:54"/>
    <s v="May2025"/>
    <m/>
    <m/>
    <m/>
    <m/>
    <s v=""/>
    <s v=""/>
    <n v="0"/>
    <n v="257.70862268518249"/>
    <n v="257.70862268518249"/>
    <n v="0"/>
    <n v="0"/>
    <n v="0"/>
    <n v="0"/>
    <n v="0"/>
    <n v="0"/>
    <n v="0"/>
    <n v="0"/>
    <n v="0"/>
    <n v="257.70862268518249"/>
    <n v="257.70862268518249"/>
    <n v="17"/>
    <n v="0"/>
  </r>
  <r>
    <s v="Cases &amp; Composites"/>
    <s v="CAS-243405-P9F6R8"/>
    <s v="Francisco Astiasaran"/>
    <s v="Complete"/>
    <s v="Resolved"/>
    <s v="2-Routine"/>
    <m/>
    <s v="25CC430"/>
    <s v="Repair-EA"/>
    <s v="OTC"/>
    <s v="PW1000G"/>
    <s v="24K CIPT"/>
    <s v="75%"/>
    <d v="2025-02-17T20:59:19"/>
    <d v="2025-02-28T05:00:00"/>
    <d v="2025-02-28T05:00:00"/>
    <x v="192"/>
    <d v="2025-02-27T13:28:25"/>
    <m/>
    <m/>
    <m/>
    <m/>
    <m/>
    <s v=""/>
    <s v=""/>
    <n v="0"/>
    <n v="9.333807870374585"/>
    <n v="9.333807870374585"/>
    <n v="0"/>
    <n v="0"/>
    <n v="0"/>
    <n v="0"/>
    <n v="0"/>
    <n v="0"/>
    <n v="0"/>
    <n v="0"/>
    <n v="0"/>
    <n v="9.333807870374585"/>
    <n v="9.333807870374585"/>
    <n v="-1"/>
    <n v="1"/>
  </r>
  <r>
    <s v="Cases &amp; Composites"/>
    <s v="CAS-244176-T4N4M8"/>
    <s v="Tyler Abusbah"/>
    <s v="Complete"/>
    <s v="Resolved"/>
    <s v="2-Routine"/>
    <m/>
    <s v="25KC145"/>
    <s v="Repair-EA"/>
    <s v="OTC"/>
    <s v="PW4000"/>
    <s v="AMO"/>
    <s v="75%"/>
    <d v="2025-02-24T19:05:17"/>
    <d v="2025-08-07T04:00:00"/>
    <d v="2025-06-11T04:00:00"/>
    <x v="302"/>
    <d v="2025-06-03T18:26:22"/>
    <s v="Jun2025 STAGE 9 HPC CASE ASSEMBLY - W-SEAL GROOVE WEAR - BLEND REPAIR 06 LIMIT EXTENSION Jun2025"/>
    <d v="2025-04-30T04:00:00"/>
    <d v="2025-04-30T04:00:00"/>
    <d v="2025-04-30T04:00:00"/>
    <d v="2025-04-30T04:00:00"/>
    <n v="0"/>
    <n v="0"/>
    <n v="0"/>
    <n v="98.371331018519413"/>
    <n v="98.371331018519413"/>
    <n v="0"/>
    <n v="9"/>
    <n v="0"/>
    <n v="0"/>
    <n v="0"/>
    <n v="0"/>
    <n v="0"/>
    <n v="0"/>
    <n v="9"/>
    <n v="89.371331018519413"/>
    <n v="89.371331018519413"/>
    <n v="-65"/>
    <n v="1"/>
  </r>
  <r>
    <s v="Cases &amp; Composites"/>
    <s v="CAS-237806-F6V3K2"/>
    <s v="Francisco Astiasaran"/>
    <s v="Complete"/>
    <s v="Resolved"/>
    <s v="2-Routine"/>
    <m/>
    <s v="24KC691A"/>
    <s v="Repair-EA"/>
    <s v="EM"/>
    <s v="PW4000"/>
    <s v="AMO"/>
    <s v="75%"/>
    <d v="2024-12-19T13:10:15"/>
    <d v="2025-03-21T04:00:00"/>
    <d v="2025-04-10T04:00:00"/>
    <x v="22"/>
    <d v="2025-04-08T19:31:36"/>
    <s v="Apr2025"/>
    <m/>
    <m/>
    <m/>
    <m/>
    <s v=""/>
    <s v=""/>
    <n v="0"/>
    <n v="109.61788194443943"/>
    <n v="109.61788194443943"/>
    <n v="0"/>
    <n v="0"/>
    <n v="0"/>
    <n v="0"/>
    <n v="0"/>
    <n v="0"/>
    <n v="0"/>
    <n v="0"/>
    <n v="0"/>
    <n v="109.61788194443943"/>
    <n v="109.61788194443943"/>
    <n v="18"/>
    <n v="0"/>
  </r>
  <r>
    <s v="Cases &amp; Composites"/>
    <s v="CAS-244142-Z6R7D4"/>
    <s v="Francisco Astiasaran"/>
    <s v="Complete"/>
    <s v="Resolved"/>
    <s v="2-Routine"/>
    <m/>
    <s v="13CC675H"/>
    <s v="Repair-EA"/>
    <s v="EM"/>
    <s v="PW1000G"/>
    <s v="24K"/>
    <s v="75%"/>
    <d v="2025-02-24T15:51:11"/>
    <d v="2025-03-31T04:00:00"/>
    <d v="2025-03-31T04:00:00"/>
    <x v="261"/>
    <d v="2025-03-19T19:48:45"/>
    <m/>
    <m/>
    <m/>
    <m/>
    <m/>
    <s v=""/>
    <s v=""/>
    <n v="0"/>
    <n v="16.506122685183072"/>
    <n v="16.506122685183072"/>
    <n v="0"/>
    <n v="0"/>
    <n v="0"/>
    <n v="0"/>
    <n v="0"/>
    <n v="0"/>
    <n v="0"/>
    <n v="0"/>
    <n v="0"/>
    <n v="16.506122685183072"/>
    <n v="16.506122685183072"/>
    <n v="-18"/>
    <n v="1"/>
  </r>
  <r>
    <s v="Cases &amp; Composites"/>
    <s v="MSG-250224-1DF277"/>
    <s v="Francisco Astiasaran"/>
    <s v="Complete"/>
    <s v="Complete"/>
    <s v="2-Routine"/>
    <m/>
    <s v="13CC671E"/>
    <s v="Repair-EA"/>
    <s v="EM"/>
    <s v="PW1000G"/>
    <s v="24K"/>
    <s v="75%"/>
    <d v="2025-02-24T05:00:00"/>
    <d v="2025-03-21T04:00:00"/>
    <d v="2025-03-21T04:00:00"/>
    <x v="26"/>
    <d v="2025-03-27T19:04:48"/>
    <s v="Add alternative cure for PWA 567-2 on 13CC671C"/>
    <m/>
    <m/>
    <m/>
    <m/>
    <s v=""/>
    <s v=""/>
    <n v="0"/>
    <n v="30.958333333328483"/>
    <n v="30.958333333328483"/>
    <n v="0"/>
    <n v="0"/>
    <n v="0"/>
    <n v="0"/>
    <n v="0"/>
    <n v="0"/>
    <n v="0"/>
    <n v="0"/>
    <n v="0"/>
    <n v="30.958333333328483"/>
    <n v="30.958333333328483"/>
    <n v="6"/>
    <n v="0"/>
  </r>
  <r>
    <s v="Cases &amp; Composites"/>
    <s v="CAS-241620-Q5W5L2"/>
    <s v="Tyler Abusbah"/>
    <s v="Complete"/>
    <s v="Resolved"/>
    <s v="2-Routine"/>
    <m/>
    <s v="25KC169"/>
    <s v="Repair-EA"/>
    <s v="OTC"/>
    <s v="PW4000"/>
    <s v="AMO"/>
    <s v="75%"/>
    <d v="2025-01-30T19:23:48"/>
    <d v="2025-08-07T04:00:00"/>
    <d v="2025-07-17T04:00:00"/>
    <x v="302"/>
    <d v="2025-06-04T14:03:22"/>
    <s v="Jun2025"/>
    <d v="2025-05-28T04:00:00"/>
    <d v="2025-05-28T04:00:00"/>
    <d v="2025-05-28T04:00:00"/>
    <d v="2025-05-28T04:00:00"/>
    <n v="0"/>
    <n v="0"/>
    <n v="0"/>
    <n v="123.35847222222219"/>
    <n v="123.35847222222219"/>
    <n v="17"/>
    <n v="0"/>
    <n v="0"/>
    <n v="0"/>
    <n v="0"/>
    <n v="0"/>
    <n v="0"/>
    <n v="0"/>
    <n v="17"/>
    <n v="106.35847222222219"/>
    <n v="106.35847222222219"/>
    <n v="-65"/>
    <n v="1"/>
  </r>
  <r>
    <s v="Cases &amp; Composites"/>
    <s v="CAS-244906-Q7Q4R9"/>
    <s v="Francisco Astiasaran"/>
    <s v="Complete"/>
    <s v="Resolved"/>
    <s v="2-Routine"/>
    <m/>
    <s v="25CC570"/>
    <s v="Repair-EA"/>
    <s v="OTC"/>
    <s v="PW1000G"/>
    <s v="24K"/>
    <s v="75%"/>
    <d v="2025-03-03T17:39:40"/>
    <d v="2025-04-11T04:00:00"/>
    <d v="2025-04-11T04:00:00"/>
    <x v="209"/>
    <d v="2025-04-10T10:57:24"/>
    <m/>
    <d v="2025-03-12T04:00:00"/>
    <d v="2025-03-12T04:00:00"/>
    <m/>
    <d v="2025-03-20T04:00:00"/>
    <n v="0"/>
    <s v=""/>
    <n v="0"/>
    <n v="36.430787037032133"/>
    <n v="36.430787037032133"/>
    <n v="0"/>
    <n v="0"/>
    <n v="0"/>
    <n v="0"/>
    <n v="0"/>
    <n v="0"/>
    <n v="0"/>
    <n v="0"/>
    <n v="0"/>
    <n v="36.430787037032133"/>
    <n v="36.430787037032133"/>
    <n v="-2"/>
    <n v="1"/>
  </r>
  <r>
    <s v="Cases &amp; Composites"/>
    <s v="CAS-245085-J3V6D6"/>
    <s v="Francisco Astiasaran"/>
    <s v="Complete"/>
    <s v="Resolved"/>
    <s v="2-Routine"/>
    <m/>
    <s v="25CC564"/>
    <s v="Repair-EA"/>
    <s v="OTC"/>
    <s v="PW1000G"/>
    <s v="30K"/>
    <s v="75%"/>
    <d v="2025-03-04T19:44:22"/>
    <d v="2025-04-07T04:00:00"/>
    <d v="2025-04-07T04:00:00"/>
    <x v="300"/>
    <d v="2025-03-31T15:16:32"/>
    <m/>
    <d v="2025-03-21T04:00:00"/>
    <d v="2025-03-21T04:00:00"/>
    <m/>
    <d v="2025-03-21T04:00:00"/>
    <n v="0"/>
    <s v=""/>
    <n v="0"/>
    <n v="23.344189814815763"/>
    <n v="23.344189814815763"/>
    <n v="0"/>
    <n v="0"/>
    <n v="0"/>
    <n v="0"/>
    <n v="0"/>
    <n v="0"/>
    <n v="0"/>
    <n v="0"/>
    <n v="0"/>
    <n v="23.344189814815763"/>
    <n v="23.344189814815763"/>
    <n v="-10"/>
    <n v="1"/>
  </r>
  <r>
    <s v="Cases &amp; Composites"/>
    <s v="CAS-245700-G6R3V5"/>
    <s v="Francisco Astiasaran"/>
    <s v="Complete"/>
    <s v="Resolved"/>
    <s v="2-Routine"/>
    <m/>
    <s v="25CC639"/>
    <s v="Repair-EA"/>
    <s v="OTC"/>
    <s v="PW1000G"/>
    <s v="24K"/>
    <s v="75%"/>
    <d v="2025-03-10T16:50:58"/>
    <d v="2025-04-04T04:00:00"/>
    <d v="2025-04-04T04:00:00"/>
    <x v="254"/>
    <d v="2025-04-08T12:40:13"/>
    <m/>
    <d v="2025-03-13T04:00:00"/>
    <d v="2025-03-13T04:00:00"/>
    <m/>
    <d v="2025-03-20T04:00:00"/>
    <n v="0"/>
    <s v=""/>
    <n v="0"/>
    <n v="27.464606481480587"/>
    <n v="27.464606481480587"/>
    <n v="0"/>
    <n v="0"/>
    <n v="0"/>
    <n v="0"/>
    <n v="0"/>
    <n v="0"/>
    <n v="0"/>
    <n v="0"/>
    <n v="0"/>
    <n v="27.464606481480587"/>
    <n v="27.464606481480587"/>
    <n v="3"/>
    <n v="0"/>
  </r>
  <r>
    <s v="Cases &amp; Composites"/>
    <s v="CAS-245702-W7M0Q3"/>
    <s v="Francisco Astiasaran"/>
    <s v="Complete"/>
    <s v="Resolved"/>
    <s v="2-Routine"/>
    <m/>
    <s v="24KC692A"/>
    <s v="Repair-EA"/>
    <s v="EM"/>
    <s v="PW4000"/>
    <s v="AMO"/>
    <s v="75%"/>
    <d v="2025-03-10T17:07:06"/>
    <d v="2025-04-09T04:00:00"/>
    <d v="2025-04-09T04:00:00"/>
    <x v="22"/>
    <d v="2025-04-08T18:23:21"/>
    <m/>
    <m/>
    <m/>
    <m/>
    <m/>
    <s v=""/>
    <s v=""/>
    <n v="0"/>
    <n v="28.453402777777228"/>
    <n v="28.453402777777228"/>
    <n v="0"/>
    <n v="0"/>
    <n v="0"/>
    <n v="0"/>
    <n v="0"/>
    <n v="0"/>
    <n v="0"/>
    <n v="0"/>
    <n v="0"/>
    <n v="28.453402777777228"/>
    <n v="28.453402777777228"/>
    <n v="-1"/>
    <n v="1"/>
  </r>
  <r>
    <s v="Cases &amp; Composites"/>
    <s v="CAS-241369-H8W2W0"/>
    <s v="Ferdin Mustafa"/>
    <s v="Complete"/>
    <s v="Resolved"/>
    <s v="2-Routine"/>
    <m/>
    <s v="25KC262"/>
    <s v="Repair-EA"/>
    <s v="OTC"/>
    <s v="PW4000"/>
    <s v="AMO"/>
    <s v="50%"/>
    <d v="2025-01-28T11:59:28"/>
    <d v="2025-07-18T04:00:00"/>
    <d v="2025-07-18T04:00:00"/>
    <x v="24"/>
    <d v="2025-07-01T05:59:01"/>
    <s v="Jun2025 RSL"/>
    <d v="2025-05-05T04:00:00"/>
    <d v="2025-05-12T04:00:00"/>
    <d v="2025-05-12T04:00:00"/>
    <d v="2025-05-30T04:00:00"/>
    <n v="7"/>
    <n v="18"/>
    <n v="25"/>
    <n v="152.66703703703388"/>
    <n v="127.66703703703388"/>
    <n v="10"/>
    <n v="16"/>
    <n v="0"/>
    <n v="0"/>
    <n v="0"/>
    <n v="0"/>
    <n v="0"/>
    <n v="0"/>
    <n v="26"/>
    <n v="126.66703703703388"/>
    <n v="101.66703703703388"/>
    <n v="-18"/>
    <n v="1"/>
  </r>
  <r>
    <s v="Cases &amp; Composites"/>
    <s v="CAS-244700-C8J2K7"/>
    <s v="Ferdin Mustafa"/>
    <s v="Complete"/>
    <s v="Resolved"/>
    <s v="2-Routine"/>
    <m/>
    <s v="25KC241"/>
    <s v="Repair-EA"/>
    <s v="OTC"/>
    <s v="PW4000"/>
    <s v="AMO"/>
    <s v="75%"/>
    <d v="2025-02-28T12:17:41"/>
    <d v="2025-07-18T04:00:00"/>
    <d v="2025-07-18T04:00:00"/>
    <x v="48"/>
    <d v="2025-06-10T02:12:17"/>
    <s v="Jun2025 RSL - Kitting date: April 10"/>
    <d v="2025-04-17T04:00:00"/>
    <d v="2025-04-17T04:00:00"/>
    <d v="2025-05-15T04:00:00"/>
    <d v="2025-05-19T04:00:00"/>
    <n v="0"/>
    <n v="4"/>
    <n v="4"/>
    <n v="100.65438657407503"/>
    <n v="96.654386574075033"/>
    <n v="0"/>
    <n v="9"/>
    <n v="0"/>
    <n v="0"/>
    <n v="0"/>
    <n v="0"/>
    <n v="0"/>
    <n v="0"/>
    <n v="9"/>
    <n v="91.654386574075033"/>
    <n v="87.654386574075033"/>
    <n v="-39"/>
    <n v="1"/>
  </r>
  <r>
    <s v="Cases &amp; Composites"/>
    <s v="CAS-245712-B7M3F3"/>
    <s v="Francisco Astiasaran"/>
    <s v="Complete"/>
    <s v="Resolved"/>
    <s v="2-Routine"/>
    <m/>
    <s v="25KC230"/>
    <s v="Repair-EA"/>
    <s v="OTC"/>
    <s v="PW4000"/>
    <s v="AMO"/>
    <s v="50%"/>
    <d v="2025-03-10T19:03:51"/>
    <d v="2025-04-23T04:00:00"/>
    <d v="2025-05-30T04:00:00"/>
    <x v="25"/>
    <d v="2025-06-02T15:26:21"/>
    <s v="Jun2025"/>
    <d v="2025-05-28T04:00:00"/>
    <d v="2025-05-28T04:00:00"/>
    <d v="2025-05-28T04:00:00"/>
    <d v="2025-05-28T04:00:00"/>
    <n v="0"/>
    <n v="0"/>
    <n v="0"/>
    <n v="83.372326388889633"/>
    <n v="83.372326388889633"/>
    <n v="0"/>
    <n v="0"/>
    <n v="0"/>
    <n v="0"/>
    <n v="0"/>
    <n v="0"/>
    <n v="0"/>
    <n v="0"/>
    <n v="0"/>
    <n v="83.372326388889633"/>
    <n v="83.372326388889633"/>
    <n v="40"/>
    <n v="0"/>
  </r>
  <r>
    <s v="Cases &amp; Composites"/>
    <s v="CAS-245097-R6L5H8"/>
    <s v="Francisco Astiasaran"/>
    <s v="Complete"/>
    <s v="Resolved"/>
    <s v="2-Routine"/>
    <m/>
    <s v="25CC746"/>
    <s v="Repair-EA"/>
    <s v="OTC"/>
    <s v="PW1000G"/>
    <s v="24K"/>
    <s v="75%"/>
    <d v="2025-03-04T20:59:21"/>
    <d v="2025-04-11T04:00:00"/>
    <d v="2025-04-11T04:00:00"/>
    <x v="214"/>
    <d v="2025-04-10T20:43:40"/>
    <m/>
    <d v="2025-03-24T04:00:00"/>
    <d v="2025-03-25T04:00:00"/>
    <d v="2025-03-26T04:00:00"/>
    <d v="2025-03-28T04:00:00"/>
    <n v="1"/>
    <n v="2"/>
    <n v="3"/>
    <n v="36.292118055549508"/>
    <n v="33.292118055549508"/>
    <n v="0"/>
    <n v="0"/>
    <n v="0"/>
    <n v="0"/>
    <n v="0"/>
    <n v="0"/>
    <n v="0"/>
    <n v="0"/>
    <n v="0"/>
    <n v="36.292118055549508"/>
    <n v="33.292118055549508"/>
    <n v="-1"/>
    <n v="1"/>
  </r>
  <r>
    <s v="Cases &amp; Composites"/>
    <s v="CAS-245228-F5F7F8"/>
    <s v="Francisco Astiasaran"/>
    <s v="Complete"/>
    <s v="Resolved"/>
    <s v="2-Routine"/>
    <m/>
    <s v="25CC751"/>
    <s v="Repair-EA"/>
    <s v="OTC"/>
    <s v="PW1000G"/>
    <s v="24K"/>
    <s v="75%"/>
    <d v="2025-03-05T18:21:59"/>
    <d v="2025-04-17T04:00:00"/>
    <d v="2025-04-17T04:00:00"/>
    <x v="303"/>
    <d v="2025-04-21T14:53:52"/>
    <m/>
    <d v="2025-03-25T04:00:00"/>
    <d v="2025-03-25T04:00:00"/>
    <d v="2025-03-26T04:00:00"/>
    <d v="2025-03-28T04:00:00"/>
    <n v="0"/>
    <n v="2"/>
    <n v="2"/>
    <n v="42.401400462957099"/>
    <n v="40.401400462957099"/>
    <n v="0"/>
    <n v="0"/>
    <n v="0"/>
    <n v="0"/>
    <n v="0"/>
    <n v="0"/>
    <n v="0"/>
    <n v="0"/>
    <n v="0"/>
    <n v="42.401400462957099"/>
    <n v="40.401400462957099"/>
    <n v="0"/>
    <n v="1"/>
  </r>
  <r>
    <s v="Cases &amp; Composites"/>
    <n v="111804"/>
    <s v="Ferdin Mustafa"/>
    <s v="Complete"/>
    <s v="Closed"/>
    <s v="2-Routine"/>
    <m/>
    <s v="25FC068"/>
    <s v="Repair-EA"/>
    <s v="OTC"/>
    <s v="PW2000"/>
    <s v="AMO"/>
    <s v="75%"/>
    <d v="2025-03-18T04:00:00"/>
    <d v="2025-07-18T04:00:00"/>
    <d v="2025-05-16T04:00:00"/>
    <x v="22"/>
    <d v="2025-04-08T15:59:39"/>
    <m/>
    <d v="2025-04-03T04:00:00"/>
    <d v="2025-04-03T04:00:00"/>
    <d v="2025-04-03T04:00:00"/>
    <d v="2025-04-03T04:00:00"/>
    <n v="0"/>
    <n v="0"/>
    <n v="0"/>
    <n v="21"/>
    <n v="21"/>
    <n v="0"/>
    <n v="0"/>
    <n v="0"/>
    <n v="0"/>
    <n v="0"/>
    <n v="0"/>
    <n v="0"/>
    <n v="0"/>
    <n v="0"/>
    <n v="21"/>
    <n v="21"/>
    <n v="-101"/>
    <n v="1"/>
  </r>
  <r>
    <s v="Cases &amp; Composites"/>
    <s v="CAS-237959-Y4V7W9"/>
    <s v="Alexander Page"/>
    <s v="Complete"/>
    <s v="Resolved"/>
    <s v="2-Routine"/>
    <m/>
    <s v="25KC232"/>
    <s v="Repair-EA"/>
    <s v="OTC"/>
    <s v="PW4000"/>
    <s v="AMO"/>
    <s v="75%"/>
    <d v="2024-12-20T15:40:13"/>
    <d v="2025-07-04T04:00:00"/>
    <d v="2025-06-20T04:00:00"/>
    <x v="48"/>
    <d v="2025-06-09T20:05:59"/>
    <s v="JUN2025"/>
    <d v="2025-04-16T04:00:00"/>
    <d v="2025-04-21T04:00:00"/>
    <d v="2025-04-25T04:00:00"/>
    <d v="2025-05-09T04:00:00"/>
    <n v="5"/>
    <n v="14"/>
    <n v="19"/>
    <n v="170.51373842592147"/>
    <n v="151.51373842592147"/>
    <n v="49"/>
    <n v="0"/>
    <n v="0"/>
    <n v="0"/>
    <n v="0"/>
    <n v="0"/>
    <n v="0"/>
    <n v="0"/>
    <n v="49"/>
    <n v="121.51373842592147"/>
    <n v="102.51373842592147"/>
    <n v="-25"/>
    <n v="1"/>
  </r>
  <r>
    <s v="Cases &amp; Composites"/>
    <s v="CAS-244418-M0H3V9"/>
    <s v="Nathan Winger"/>
    <s v="Complete"/>
    <s v="Resolved"/>
    <s v="2-Routine"/>
    <m/>
    <s v="25VG077"/>
    <s v="Repair-EA"/>
    <s v="OTC"/>
    <s v="V2500"/>
    <s v="V2500"/>
    <s v="75%"/>
    <d v="2025-02-26T10:56:37"/>
    <d v="2025-08-15T04:00:00"/>
    <d v="2025-07-29T04:00:00"/>
    <x v="304"/>
    <d v="2025-07-23T19:53:14"/>
    <s v="JUL2025"/>
    <d v="2025-05-05T04:00:00"/>
    <d v="2025-05-05T04:00:00"/>
    <d v="2025-05-05T04:00:00"/>
    <d v="2025-05-05T04:00:00"/>
    <n v="0"/>
    <n v="0"/>
    <n v="0"/>
    <n v="144.71068287036906"/>
    <n v="144.71068287036906"/>
    <n v="0"/>
    <n v="0"/>
    <n v="0"/>
    <n v="0"/>
    <n v="0"/>
    <n v="0"/>
    <n v="0"/>
    <n v="0"/>
    <n v="0"/>
    <n v="144.71068287036906"/>
    <n v="144.71068287036906"/>
    <n v="-25"/>
    <n v="1"/>
  </r>
  <r>
    <s v="Cases &amp; Composites"/>
    <n v="111932"/>
    <s v="Francisco Astiasaran"/>
    <s v="Complete"/>
    <s v="Closed"/>
    <s v="2-Routine"/>
    <m/>
    <s v="24FC342A"/>
    <s v="Repair-EA"/>
    <s v="OTC"/>
    <s v="PW2000"/>
    <s v="AMO"/>
    <s v="75%"/>
    <d v="2025-03-24T04:00:00"/>
    <d v="2025-04-22T04:00:00"/>
    <d v="2025-04-22T04:00:00"/>
    <x v="250"/>
    <d v="2025-04-22T19:49:56"/>
    <m/>
    <m/>
    <m/>
    <m/>
    <m/>
    <s v=""/>
    <s v=""/>
    <n v="0"/>
    <n v="29"/>
    <n v="29"/>
    <n v="0"/>
    <n v="0"/>
    <n v="0"/>
    <n v="0"/>
    <n v="0"/>
    <n v="0"/>
    <n v="0"/>
    <n v="0"/>
    <n v="0"/>
    <n v="29"/>
    <n v="29"/>
    <n v="0"/>
    <n v="1"/>
  </r>
  <r>
    <s v="Cases &amp; Composites"/>
    <s v="CAS-245986-Z2X8Z9"/>
    <s v="Orlando Melendez Colon"/>
    <s v="Complete"/>
    <s v="Resolved"/>
    <s v="2-Routine"/>
    <m/>
    <s v="25VG089"/>
    <s v="Repair-EA"/>
    <s v="OTC"/>
    <s v="V2500"/>
    <s v="V2500"/>
    <s v="75%"/>
    <d v="2025-03-12T16:40:20"/>
    <d v="2025-06-20T04:00:00"/>
    <d v="2025-06-20T04:00:00"/>
    <x v="305"/>
    <d v="2025-06-16T18:14:23"/>
    <s v="Jun2025"/>
    <d v="2025-05-14T04:00:00"/>
    <d v="2025-05-14T04:00:00"/>
    <d v="2025-05-14T04:00:00"/>
    <d v="2025-05-22T04:00:00"/>
    <n v="0"/>
    <n v="8"/>
    <n v="8"/>
    <n v="92.471990740741603"/>
    <n v="84.471990740741603"/>
    <n v="0"/>
    <n v="0"/>
    <n v="0"/>
    <n v="0"/>
    <n v="0"/>
    <n v="0"/>
    <n v="0"/>
    <n v="0"/>
    <n v="0"/>
    <n v="92.471990740741603"/>
    <n v="84.471990740741603"/>
    <n v="-7"/>
    <n v="1"/>
  </r>
  <r>
    <s v="Cases &amp; Composites"/>
    <s v="CAS-232238-D4N3Q0"/>
    <s v="Alexander Page"/>
    <s v="Complete"/>
    <s v="Resolved"/>
    <s v="2-Routine"/>
    <m/>
    <s v="25AC075"/>
    <s v="Repair-EA"/>
    <s v="EM"/>
    <s v="GP7000"/>
    <s v="GP7000"/>
    <s v="75%"/>
    <d v="2024-10-28T11:17:10"/>
    <d v="2025-08-01T04:00:00"/>
    <d v="2025-08-22T04:00:00"/>
    <x v="264"/>
    <d v="2025-07-29T13:58:39"/>
    <s v="Aug2025"/>
    <d v="2025-04-24T04:00:00"/>
    <d v="2025-04-24T04:00:00"/>
    <d v="2025-04-28T04:00:00"/>
    <d v="2025-05-20T04:00:00"/>
    <n v="0"/>
    <n v="22"/>
    <n v="22"/>
    <n v="272.69641203703213"/>
    <n v="250.69641203703213"/>
    <n v="0"/>
    <n v="0"/>
    <n v="0"/>
    <n v="0"/>
    <n v="0"/>
    <n v="0"/>
    <n v="0"/>
    <n v="0"/>
    <n v="0"/>
    <n v="272.69641203703213"/>
    <n v="250.69641203703213"/>
    <n v="-4"/>
    <n v="1"/>
  </r>
  <r>
    <s v="Cases &amp; Composites"/>
    <s v="MSG-250410-AAAE8B"/>
    <s v="Francisco Astiasaran"/>
    <s v="Complete"/>
    <s v="Complete"/>
    <s v="2-Routine"/>
    <m/>
    <s v="25KC231"/>
    <s v="Repair-EA"/>
    <s v="OTC"/>
    <s v="PW4000"/>
    <s v="AMO"/>
    <s v="75%"/>
    <d v="2025-04-09T04:00:00"/>
    <d v="2025-04-23T04:00:00"/>
    <d v="2025-05-30T04:00:00"/>
    <x v="25"/>
    <d v="2025-06-02T19:04:34"/>
    <s v="Jun2025"/>
    <d v="2025-05-28T04:00:00"/>
    <d v="2025-05-28T04:00:00"/>
    <d v="2025-05-28T04:00:00"/>
    <d v="2025-05-28T04:00:00"/>
    <n v="0"/>
    <n v="0"/>
    <n v="0"/>
    <n v="54"/>
    <n v="54"/>
    <n v="0"/>
    <n v="0"/>
    <n v="0"/>
    <n v="0"/>
    <n v="0"/>
    <n v="0"/>
    <n v="0"/>
    <n v="0"/>
    <n v="0"/>
    <n v="54"/>
    <n v="54"/>
    <n v="40"/>
    <n v="0"/>
  </r>
  <r>
    <s v="Cases &amp; Composites"/>
    <s v="CAS-248935-C8L7Q1"/>
    <s v="Alexander Page"/>
    <s v="Complete"/>
    <s v="Resolved"/>
    <s v="2-Routine"/>
    <m/>
    <s v="25CC955"/>
    <s v="Repair-EA"/>
    <s v="OTC"/>
    <s v="PW1000G"/>
    <s v="24K"/>
    <s v="75%"/>
    <d v="2025-04-10T11:26:11"/>
    <d v="2025-06-16T04:00:00"/>
    <d v="2025-07-18T04:00:00"/>
    <x v="158"/>
    <d v="2025-07-03T16:01:09"/>
    <s v="jul2025"/>
    <m/>
    <m/>
    <m/>
    <m/>
    <s v=""/>
    <s v=""/>
    <n v="0"/>
    <n v="83.690150462964084"/>
    <n v="83.690150462964084"/>
    <n v="0"/>
    <n v="4.7220414814801188"/>
    <n v="0"/>
    <n v="0"/>
    <n v="10.564514456018514"/>
    <n v="0"/>
    <n v="0"/>
    <n v="23.758786585654889"/>
    <n v="39.045342523153522"/>
    <n v="44.644807939810562"/>
    <n v="44.644807939810562"/>
    <n v="17"/>
    <n v="0"/>
  </r>
  <r>
    <s v="Cases &amp; Composites"/>
    <s v="CAS-249976-M5W9D6"/>
    <s v="Francisco Astiasaran"/>
    <s v="Complete"/>
    <s v="Resolved"/>
    <s v="2-Routine"/>
    <m/>
    <s v="25KC265"/>
    <s v="Repair-EA"/>
    <s v="OTC"/>
    <s v="PW4000"/>
    <s v="AMO"/>
    <s v="75%"/>
    <d v="2025-04-21T18:20:22"/>
    <d v="2025-05-14T04:00:00"/>
    <d v="2025-05-28T04:00:00"/>
    <x v="259"/>
    <d v="2025-05-23T18:13:50"/>
    <s v="May2025"/>
    <m/>
    <m/>
    <m/>
    <m/>
    <s v=""/>
    <s v=""/>
    <n v="0"/>
    <n v="31.402523148142791"/>
    <n v="31.402523148142791"/>
    <n v="0"/>
    <n v="0"/>
    <n v="0"/>
    <n v="0"/>
    <n v="0"/>
    <n v="0"/>
    <n v="0"/>
    <n v="0"/>
    <n v="0"/>
    <n v="31.402523148142791"/>
    <n v="31.402523148142791"/>
    <n v="9"/>
    <n v="0"/>
  </r>
  <r>
    <s v="Cases &amp; Composites"/>
    <s v="CAS-250130-M9C7C3"/>
    <s v="Francisco Astiasaran"/>
    <s v="Complete"/>
    <s v="Resolved"/>
    <s v="2-Routine"/>
    <m/>
    <s v="25CC957"/>
    <s v="Repair-EA"/>
    <s v="OTC"/>
    <s v="PW1000G"/>
    <s v="30K CIPT"/>
    <s v="75%"/>
    <d v="2025-04-22T16:23:03"/>
    <d v="2025-05-09T04:00:00"/>
    <d v="2025-05-09T04:00:00"/>
    <x v="201"/>
    <d v="2025-04-30T18:55:04"/>
    <m/>
    <d v="2025-04-28T04:00:00"/>
    <d v="2025-04-28T04:00:00"/>
    <m/>
    <d v="2025-04-28T04:00:00"/>
    <n v="0"/>
    <s v=""/>
    <n v="0"/>
    <n v="7.483993055553583"/>
    <n v="7.483993055553583"/>
    <n v="0"/>
    <n v="0"/>
    <n v="0"/>
    <n v="0"/>
    <n v="0"/>
    <n v="0"/>
    <n v="0"/>
    <n v="0"/>
    <n v="0"/>
    <n v="7.483993055553583"/>
    <n v="7.483993055553583"/>
    <n v="-9"/>
    <n v="1"/>
  </r>
  <r>
    <s v="Cases &amp; Composites"/>
    <n v="112272"/>
    <s v="Ferdin Mustafa"/>
    <s v="Complete"/>
    <s v="Closed"/>
    <s v="2-Routine"/>
    <m/>
    <s v="25FC105"/>
    <s v="Repair-EA"/>
    <s v="OTC"/>
    <s v="PW2000"/>
    <s v="AMO"/>
    <s v="75%"/>
    <d v="2025-04-07T04:00:00"/>
    <d v="2025-07-11T04:00:00"/>
    <d v="2025-07-11T04:00:00"/>
    <x v="238"/>
    <d v="2025-06-05T18:17:50"/>
    <s v="Jun2025"/>
    <d v="2025-05-14T04:00:00"/>
    <d v="2025-05-14T04:00:00"/>
    <d v="2025-05-14T04:00:00"/>
    <d v="2025-05-22T04:00:00"/>
    <n v="0"/>
    <n v="8"/>
    <n v="8"/>
    <n v="59"/>
    <n v="51"/>
    <n v="0"/>
    <n v="0"/>
    <n v="0"/>
    <n v="0"/>
    <n v="0"/>
    <n v="0"/>
    <n v="0"/>
    <n v="0"/>
    <n v="0"/>
    <n v="59"/>
    <n v="51"/>
    <n v="-36"/>
    <n v="1"/>
  </r>
  <r>
    <s v="Cases &amp; Composites"/>
    <s v="CAS-250667-C5R6N6"/>
    <s v="Tyler Abusbah"/>
    <s v="Complete"/>
    <s v="Resolved"/>
    <s v="2-Routine"/>
    <m/>
    <s v="24CCG87A"/>
    <s v="Repair-EA"/>
    <s v="OTC"/>
    <s v="PW1000G"/>
    <s v="24K"/>
    <s v="75%"/>
    <d v="2025-04-28T16:38:06"/>
    <d v="2025-06-04T04:00:00"/>
    <d v="2025-06-18T04:00:00"/>
    <x v="238"/>
    <d v="2025-06-05T19:06:00"/>
    <s v="Jun2025 LPC 2ND STAGE STATOR CASE ASSEMBLY - REAR FLANGE BOLT HOLE, BLEND REPAIR Jun2025"/>
    <m/>
    <m/>
    <m/>
    <m/>
    <s v=""/>
    <s v=""/>
    <n v="0"/>
    <n v="37.473541666666279"/>
    <n v="37.473541666666279"/>
    <n v="0"/>
    <n v="0"/>
    <n v="0"/>
    <n v="0"/>
    <n v="0"/>
    <n v="0"/>
    <n v="0"/>
    <n v="0"/>
    <n v="0"/>
    <n v="37.473541666666279"/>
    <n v="37.473541666666279"/>
    <n v="1"/>
    <n v="0"/>
  </r>
  <r>
    <s v="Cases &amp; Composites"/>
    <s v="CAS-250346-T0F3Z8"/>
    <s v="Francisco Astiasaran"/>
    <s v="Complete"/>
    <s v="Resolved"/>
    <s v="2-Routine"/>
    <m/>
    <s v="25KC284"/>
    <s v="Repair-EA"/>
    <s v="OTC"/>
    <s v="PW4000"/>
    <s v="AMO"/>
    <s v="75%"/>
    <d v="2025-04-24T10:10:35"/>
    <d v="2025-05-14T04:00:00"/>
    <d v="2025-05-14T04:00:00"/>
    <x v="194"/>
    <d v="2025-05-08T13:27:21"/>
    <s v="May2025"/>
    <m/>
    <m/>
    <m/>
    <m/>
    <s v=""/>
    <s v=""/>
    <n v="0"/>
    <n v="12.742650462962047"/>
    <n v="12.742650462962047"/>
    <n v="0"/>
    <n v="0"/>
    <n v="0"/>
    <n v="0"/>
    <n v="0"/>
    <n v="0"/>
    <n v="0"/>
    <n v="0"/>
    <n v="0"/>
    <n v="12.742650462962047"/>
    <n v="12.742650462962047"/>
    <n v="-7"/>
    <n v="1"/>
  </r>
  <r>
    <s v="Cases &amp; Composites"/>
    <s v="CAS-250349-B0V2P6"/>
    <s v="Francisco Astiasaran"/>
    <s v="Complete"/>
    <s v="Resolved"/>
    <s v="2-Routine"/>
    <m/>
    <s v="25FC111"/>
    <s v="Repair-EA"/>
    <s v="OTC"/>
    <s v="PW2000"/>
    <s v="AMO"/>
    <s v="75%"/>
    <d v="2025-04-24T10:28:09"/>
    <d v="2025-05-14T04:00:00"/>
    <d v="2025-05-14T04:00:00"/>
    <x v="263"/>
    <d v="2025-05-13T20:37:53"/>
    <s v="May2025"/>
    <m/>
    <m/>
    <m/>
    <m/>
    <s v=""/>
    <s v=""/>
    <n v="0"/>
    <n v="18.730451388888469"/>
    <n v="18.730451388888469"/>
    <n v="0"/>
    <n v="0"/>
    <n v="0"/>
    <n v="0"/>
    <n v="0"/>
    <n v="0"/>
    <n v="0"/>
    <n v="0"/>
    <n v="0"/>
    <n v="18.730451388888469"/>
    <n v="18.730451388888469"/>
    <n v="-1"/>
    <n v="1"/>
  </r>
  <r>
    <s v="Cases &amp; Composites"/>
    <s v="CAS-250351-J0H3B1"/>
    <s v="Francisco Astiasaran"/>
    <s v="Complete"/>
    <s v="Resolved"/>
    <s v="2-Routine"/>
    <m/>
    <s v="25CCA53"/>
    <s v="Repair-EA"/>
    <s v="OTC"/>
    <s v="PW1000G"/>
    <s v="AMO"/>
    <s v="75%"/>
    <d v="2025-04-24T10:28:36"/>
    <d v="2025-05-15T04:00:00"/>
    <d v="2025-05-15T04:00:00"/>
    <x v="206"/>
    <d v="2025-05-19T17:52:57"/>
    <s v="May2025"/>
    <m/>
    <m/>
    <m/>
    <m/>
    <s v=""/>
    <s v=""/>
    <n v="0"/>
    <n v="24.730138888888177"/>
    <n v="24.730138888888177"/>
    <n v="0"/>
    <n v="0"/>
    <n v="0"/>
    <n v="0"/>
    <n v="0"/>
    <n v="0"/>
    <n v="0"/>
    <n v="0"/>
    <n v="0"/>
    <n v="24.730138888888177"/>
    <n v="24.730138888888177"/>
    <n v="4"/>
    <n v="0"/>
  </r>
  <r>
    <s v="Cases &amp; Composites"/>
    <s v="CAS-250960-J5P0D3"/>
    <s v="Francisco Astiasaran"/>
    <s v="Complete"/>
    <s v="Resolved"/>
    <s v="2-Routine"/>
    <m/>
    <s v="25KC291"/>
    <s v="Repair-EA"/>
    <s v="OTC"/>
    <s v="PW4000"/>
    <s v="AMO"/>
    <s v="75%"/>
    <d v="2025-04-30T15:31:58"/>
    <d v="2025-05-16T04:00:00"/>
    <d v="2025-05-16T04:00:00"/>
    <x v="191"/>
    <d v="2025-05-08T20:14:53"/>
    <s v="May2025"/>
    <m/>
    <m/>
    <m/>
    <m/>
    <s v=""/>
    <s v=""/>
    <n v="0"/>
    <n v="7.5194675925886258"/>
    <n v="7.5194675925886258"/>
    <n v="0"/>
    <n v="0"/>
    <n v="0"/>
    <n v="0"/>
    <n v="0"/>
    <n v="0"/>
    <n v="0"/>
    <n v="0"/>
    <n v="0"/>
    <n v="7.5194675925886258"/>
    <n v="7.5194675925886258"/>
    <n v="-8"/>
    <n v="1"/>
  </r>
  <r>
    <s v="Cases &amp; Composites"/>
    <s v="CAS-251331-K3H7X9"/>
    <s v="Francisco Astiasaran"/>
    <s v="Complete"/>
    <s v="Resolved"/>
    <s v="2-Routine"/>
    <m/>
    <s v="25CCA59"/>
    <s v="Repair-EA"/>
    <s v="OTC"/>
    <s v="PW1000G"/>
    <s v="24K CIPT"/>
    <s v="75%"/>
    <d v="2025-05-06T14:31:28"/>
    <d v="2025-05-21T04:00:00"/>
    <d v="2025-05-21T04:00:00"/>
    <x v="11"/>
    <d v="2025-06-02T12:21:57"/>
    <s v="FASM: AF2.0 need priority"/>
    <m/>
    <m/>
    <m/>
    <m/>
    <s v=""/>
    <s v=""/>
    <n v="0"/>
    <n v="23.561481481476221"/>
    <n v="23.561481481476221"/>
    <n v="0"/>
    <n v="0"/>
    <n v="0"/>
    <n v="0"/>
    <n v="0"/>
    <n v="0"/>
    <n v="0"/>
    <n v="0"/>
    <n v="0"/>
    <n v="23.561481481476221"/>
    <n v="23.561481481476221"/>
    <n v="9"/>
    <n v="0"/>
  </r>
  <r>
    <s v="Cases &amp; Composites"/>
    <s v="CAS-250133-F2M6S1"/>
    <s v="Alexander Page"/>
    <s v="Complete"/>
    <s v="Resolved"/>
    <s v="2-Routine"/>
    <m/>
    <s v="25CCB41"/>
    <s v="Repair-EA"/>
    <s v="OTC"/>
    <s v="PW1000G"/>
    <s v="24K"/>
    <s v="75%"/>
    <d v="2025-04-22T16:45:38"/>
    <d v="2025-07-25T04:00:00"/>
    <d v="2025-07-11T04:00:00"/>
    <x v="158"/>
    <d v="2025-07-07T15:46:26"/>
    <s v="JUL2025"/>
    <d v="2025-06-04T04:00:00"/>
    <d v="2025-06-04T04:00:00"/>
    <d v="2025-06-04T04:00:00"/>
    <d v="2025-06-09T04:00:00"/>
    <n v="0"/>
    <n v="5"/>
    <n v="5"/>
    <n v="71.468310185184237"/>
    <n v="66.468310185184237"/>
    <n v="12.938011053236551"/>
    <n v="0"/>
    <n v="0"/>
    <n v="0"/>
    <n v="0"/>
    <n v="0"/>
    <n v="0"/>
    <n v="0"/>
    <n v="12.938011053236551"/>
    <n v="58.530299131947686"/>
    <n v="53.530299131947686"/>
    <n v="-22"/>
    <n v="1"/>
  </r>
  <r>
    <s v="Cases &amp; Composites"/>
    <s v="CAS-252780-S8J3T9"/>
    <s v="Francisco Astiasaran"/>
    <s v="Complete"/>
    <s v="Resolved"/>
    <s v="2-Routine"/>
    <m/>
    <s v="25CCB97"/>
    <s v="Repair-EA"/>
    <s v="OTC"/>
    <s v="PW1000G"/>
    <s v="24K CIPT"/>
    <s v="75%"/>
    <d v="2025-05-19T20:23:05"/>
    <d v="2025-05-30T04:00:00"/>
    <d v="2025-05-30T04:00:00"/>
    <x v="16"/>
    <d v="2025-05-27T16:05:16"/>
    <s v="May2025. AF2.0"/>
    <m/>
    <m/>
    <m/>
    <m/>
    <s v=""/>
    <s v=""/>
    <n v="0"/>
    <n v="7.3173032407357823"/>
    <n v="7.3173032407357823"/>
    <n v="0"/>
    <n v="0"/>
    <n v="0"/>
    <n v="0"/>
    <n v="0"/>
    <n v="0"/>
    <n v="0"/>
    <n v="0"/>
    <n v="0"/>
    <n v="7.3173032407357823"/>
    <n v="7.3173032407357823"/>
    <n v="-3"/>
    <n v="1"/>
  </r>
  <r>
    <s v="Cases &amp; Composites"/>
    <s v="CAS-253681-Y8N3Q5"/>
    <s v="Francisco Astiasaran"/>
    <s v="Complete"/>
    <s v="Resolved"/>
    <s v="2-Routine"/>
    <m/>
    <s v="25CCB97"/>
    <s v="Repair-EA"/>
    <s v="OTC"/>
    <s v="PW1000G"/>
    <s v="24K CIPT"/>
    <s v="75%"/>
    <d v="2025-05-27T16:02:24"/>
    <d v="2025-05-30T04:00:00"/>
    <d v="2025-05-30T04:00:00"/>
    <x v="11"/>
    <d v="2025-06-02T12:16:55"/>
    <s v="FASM Prioritize. May2025. AF2.0"/>
    <m/>
    <m/>
    <m/>
    <m/>
    <s v=""/>
    <s v=""/>
    <n v="0"/>
    <n v="2.4983333333293558"/>
    <n v="2.4983333333293558"/>
    <n v="0"/>
    <n v="0"/>
    <n v="0"/>
    <n v="0"/>
    <n v="0"/>
    <n v="0"/>
    <n v="0"/>
    <n v="0"/>
    <n v="0"/>
    <n v="2.4983333333293558"/>
    <n v="2.4983333333293558"/>
    <n v="0"/>
    <n v="1"/>
  </r>
  <r>
    <s v="Cases &amp; Composites"/>
    <n v="109710"/>
    <s v="Francisco Astiasaran"/>
    <s v="Complete"/>
    <s v="Closed"/>
    <s v="2-Routine"/>
    <m/>
    <s v="24KC492C"/>
    <s v="Repair-EA"/>
    <s v="OTC"/>
    <s v="PW4000"/>
    <s v="F117"/>
    <s v="75%"/>
    <d v="2024-11-20T05:00:00"/>
    <d v="2025-05-23T04:00:00"/>
    <d v="2025-05-23T04:00:00"/>
    <x v="306"/>
    <d v="2025-05-23T11:47:15"/>
    <s v="Reference MSG-240814-317DA9, MSG-241121-0491BB &amp; MSG-250324-8F569F."/>
    <m/>
    <m/>
    <m/>
    <m/>
    <s v=""/>
    <s v=""/>
    <n v="0"/>
    <n v="182.95833333332848"/>
    <n v="182.95833333332848"/>
    <n v="0"/>
    <n v="0"/>
    <n v="0"/>
    <n v="0"/>
    <n v="0"/>
    <n v="0"/>
    <n v="0"/>
    <n v="0"/>
    <n v="0"/>
    <n v="182.95833333332848"/>
    <n v="182.95833333332848"/>
    <n v="-1"/>
    <n v="1"/>
  </r>
  <r>
    <s v="Cases &amp; Composites"/>
    <s v="CAS-250645-M5X7X8"/>
    <s v="Alexander Page"/>
    <s v="Complete"/>
    <s v="Resolved"/>
    <s v="2-Routine"/>
    <m/>
    <s v="25AC086"/>
    <s v="Repair-EA"/>
    <s v="OTC"/>
    <s v="GP7000"/>
    <s v="GP7000"/>
    <s v="50%"/>
    <d v="2025-04-28T12:39:39"/>
    <d v="2025-07-25T04:00:00"/>
    <d v="2025-07-25T04:00:00"/>
    <x v="27"/>
    <d v="2025-07-09T20:36:18"/>
    <s v="JUL2025 - DR# 02210156 "/>
    <d v="2025-06-05T04:00:00"/>
    <d v="2025-06-11T04:00:00"/>
    <d v="2025-06-16T04:00:00"/>
    <d v="2025-06-30T04:00:00"/>
    <n v="6"/>
    <n v="14"/>
    <n v="20"/>
    <n v="71.639131944444671"/>
    <n v="51.639131944444671"/>
    <n v="2"/>
    <n v="0"/>
    <n v="0"/>
    <n v="0"/>
    <n v="0"/>
    <n v="0"/>
    <n v="0"/>
    <n v="0"/>
    <n v="2"/>
    <n v="69.639131944444671"/>
    <n v="49.639131944444671"/>
    <n v="-16"/>
    <n v="1"/>
  </r>
  <r>
    <s v="Cases &amp; Composites"/>
    <s v="CAS-251099-P3H0J4"/>
    <s v="Francisco Astiasaran"/>
    <s v="Complete"/>
    <s v="Resolved"/>
    <s v="2-Routine"/>
    <m/>
    <s v="25KC337"/>
    <s v="Repair-EA"/>
    <s v="OTC"/>
    <s v="PW4000"/>
    <s v="AMO"/>
    <s v="75%"/>
    <d v="2025-05-05T11:29:31"/>
    <d v="2025-06-13T04:00:00"/>
    <d v="2025-06-13T04:00:00"/>
    <x v="48"/>
    <d v="2025-06-11T15:12:46"/>
    <s v="Jun2025"/>
    <m/>
    <m/>
    <m/>
    <m/>
    <s v=""/>
    <s v=""/>
    <n v="0"/>
    <n v="34.687835648146574"/>
    <n v="34.687835648146574"/>
    <n v="10"/>
    <n v="0"/>
    <n v="0"/>
    <n v="0"/>
    <n v="0"/>
    <n v="0"/>
    <n v="0"/>
    <n v="0"/>
    <n v="10"/>
    <n v="24.687835648146574"/>
    <n v="24.687835648146574"/>
    <n v="-4"/>
    <n v="1"/>
  </r>
  <r>
    <s v="Cases &amp; Composites"/>
    <s v="CAS-253819-G8W4M7"/>
    <s v="Alexander Page"/>
    <s v="Complete"/>
    <s v="Resolved"/>
    <s v="2-Routine"/>
    <m/>
    <s v="25KC351"/>
    <s v="Repair-EA"/>
    <s v="OTC"/>
    <s v="PW4000"/>
    <s v="AMO"/>
    <s v="75%"/>
    <d v="2025-05-28T13:06:10"/>
    <d v="2025-07-31T04:00:00"/>
    <d v="2025-08-22T04:00:00"/>
    <x v="307"/>
    <d v="2025-07-11T19:00:09"/>
    <m/>
    <d v="2025-07-09T04:00:00"/>
    <d v="2025-07-09T04:00:00"/>
    <d v="2025-07-09T04:00:00"/>
    <d v="2025-07-09T04:00:00"/>
    <n v="0"/>
    <n v="0"/>
    <n v="0"/>
    <n v="43.620717592588335"/>
    <n v="43.620717592588335"/>
    <n v="0"/>
    <n v="0"/>
    <n v="0"/>
    <n v="0"/>
    <n v="0"/>
    <n v="0"/>
    <n v="0"/>
    <n v="0"/>
    <n v="0"/>
    <n v="43.620717592588335"/>
    <n v="43.620717592588335"/>
    <n v="-20"/>
    <n v="1"/>
  </r>
  <r>
    <s v="Cases &amp; Composites"/>
    <s v="CAS-254582-L2R8V9"/>
    <s v="Alexander Page"/>
    <s v="Complete"/>
    <s v="Resolved"/>
    <s v="2-Routine"/>
    <m/>
    <s v="25KC372"/>
    <s v="Repair-EA"/>
    <s v="OTC"/>
    <s v="PW4000"/>
    <s v="AMO"/>
    <s v="75%"/>
    <d v="2025-06-04T21:35:44"/>
    <d v="2025-06-30T04:00:00"/>
    <d v="2025-06-30T04:00:00"/>
    <x v="295"/>
    <d v="2025-06-24T14:50:06"/>
    <s v="Jun2025"/>
    <d v="2025-06-17T04:00:00"/>
    <d v="2025-06-17T04:00:00"/>
    <d v="2025-06-17T04:00:00"/>
    <d v="2025-06-17T04:00:00"/>
    <n v="0"/>
    <n v="0"/>
    <n v="0"/>
    <n v="19.266851851847605"/>
    <n v="19.266851851847605"/>
    <n v="0"/>
    <n v="0"/>
    <n v="0"/>
    <n v="0"/>
    <n v="0"/>
    <n v="0"/>
    <n v="0"/>
    <n v="0"/>
    <n v="0"/>
    <n v="19.266851851847605"/>
    <n v="19.266851851847605"/>
    <n v="-6"/>
    <n v="1"/>
  </r>
  <r>
    <s v="Cases &amp; Composites"/>
    <s v="CAS-253955-D8X2N1"/>
    <s v="Jia Chen"/>
    <s v="Complete"/>
    <s v="Resolved"/>
    <s v="2-Routine"/>
    <m/>
    <s v="25KC388"/>
    <s v="Repair-EA"/>
    <s v="OTC"/>
    <s v="PW4000"/>
    <s v="AMO"/>
    <s v="75%"/>
    <d v="2025-05-29T13:50:58"/>
    <d v="2025-08-19T04:00:00"/>
    <d v="2025-08-19T04:00:00"/>
    <x v="52"/>
    <d v="2025-07-14T14:51:19"/>
    <s v="Jul2025"/>
    <d v="2025-07-09T04:00:00"/>
    <d v="2025-07-09T04:00:00"/>
    <d v="2025-07-09T04:00:00"/>
    <d v="2025-07-09T04:00:00"/>
    <n v="0"/>
    <n v="0"/>
    <n v="0"/>
    <n v="45.589606481480587"/>
    <n v="45.589606481480587"/>
    <n v="11"/>
    <n v="12"/>
    <n v="0"/>
    <n v="0"/>
    <n v="0"/>
    <n v="0"/>
    <n v="0"/>
    <n v="0"/>
    <n v="23"/>
    <n v="22.589606481480587"/>
    <n v="22.589606481480587"/>
    <n v="-36"/>
    <n v="1"/>
  </r>
  <r>
    <s v="Cases &amp; Composites"/>
    <s v="CAS-255125-D0C5Q3"/>
    <s v="Francisco Astiasaran"/>
    <s v="Complete"/>
    <s v="Resolved"/>
    <s v="2-Routine"/>
    <m/>
    <s v="25KC381"/>
    <s v="Repair-EA"/>
    <s v="OTC"/>
    <s v="PW4000"/>
    <s v="AMO"/>
    <s v="75%"/>
    <d v="2025-06-10T13:18:51"/>
    <d v="2025-07-09T04:00:00"/>
    <d v="2025-07-09T04:00:00"/>
    <x v="308"/>
    <d v="2025-07-23T17:12:47"/>
    <m/>
    <m/>
    <m/>
    <m/>
    <m/>
    <s v=""/>
    <s v=""/>
    <n v="0"/>
    <n v="41.611909722218115"/>
    <n v="41.611909722218115"/>
    <n v="0"/>
    <n v="0"/>
    <n v="0"/>
    <n v="0"/>
    <n v="0"/>
    <n v="0"/>
    <n v="0"/>
    <n v="0"/>
    <n v="0"/>
    <n v="41.611909722218115"/>
    <n v="41.611909722218115"/>
    <n v="13"/>
    <n v="0"/>
  </r>
  <r>
    <s v="Cases &amp; Composites"/>
    <s v="CAS-255127-S4L5X8"/>
    <s v="Francisco Astiasaran"/>
    <s v="Complete"/>
    <s v="Resolved"/>
    <s v="2-Routine"/>
    <m/>
    <s v="25KC382"/>
    <s v="Repair-EA"/>
    <s v="OTC"/>
    <s v="PW4000"/>
    <s v="AMO"/>
    <s v="75%"/>
    <d v="2025-06-10T13:19:14"/>
    <d v="2025-07-09T04:00:00"/>
    <d v="2025-07-09T04:00:00"/>
    <x v="308"/>
    <d v="2025-07-23T17:12:43"/>
    <m/>
    <m/>
    <m/>
    <m/>
    <m/>
    <s v=""/>
    <s v=""/>
    <n v="0"/>
    <n v="41.611643518517667"/>
    <n v="41.611643518517667"/>
    <n v="0"/>
    <n v="0"/>
    <n v="0"/>
    <n v="0"/>
    <n v="0"/>
    <n v="0"/>
    <n v="0"/>
    <n v="0"/>
    <n v="0"/>
    <n v="41.611643518517667"/>
    <n v="41.611643518517667"/>
    <n v="13"/>
    <n v="0"/>
  </r>
  <r>
    <s v="Cases &amp; Composites"/>
    <s v="CAS-255270-H7C7M1"/>
    <s v="Alexander Page"/>
    <s v="Complete"/>
    <s v="Resolved"/>
    <s v="2-Routine"/>
    <m/>
    <s v="25CCE82"/>
    <s v="Repair-EA"/>
    <s v="OTC"/>
    <s v="PW1000G"/>
    <s v="30K"/>
    <s v="75%"/>
    <d v="2025-06-11T12:55:50"/>
    <d v="2025-08-22T04:00:00"/>
    <d v="2025-08-22T04:00:00"/>
    <x v="58"/>
    <d v="2025-07-31T19:43:54"/>
    <m/>
    <m/>
    <m/>
    <m/>
    <m/>
    <s v=""/>
    <s v=""/>
    <n v="0"/>
    <n v="49.627893518518249"/>
    <n v="49.627893518518249"/>
    <n v="2.9074952777737053"/>
    <n v="0"/>
    <n v="0"/>
    <n v="0"/>
    <n v="0"/>
    <n v="0"/>
    <n v="0"/>
    <n v="0"/>
    <n v="2.9074952777737053"/>
    <n v="46.720398240744544"/>
    <n v="46.720398240744544"/>
    <n v="-22"/>
    <n v="1"/>
  </r>
  <r>
    <s v="Cases &amp; Composites"/>
    <n v="113644"/>
    <s v="Jia Chen"/>
    <s v="Complete"/>
    <s v="Closed"/>
    <s v="2-Routine"/>
    <m/>
    <s v="25FC178"/>
    <s v="Repair-EA"/>
    <s v="OTC"/>
    <s v="PW2000"/>
    <s v="AMO"/>
    <s v="75%"/>
    <d v="2025-06-16T04:00:00"/>
    <d v="2025-09-03T04:00:00"/>
    <d v="2025-09-03T04:00:00"/>
    <x v="58"/>
    <d v="2025-07-31T20:08:25"/>
    <s v="Aug2025"/>
    <d v="2025-07-23T04:00:00"/>
    <d v="2025-07-23T04:00:00"/>
    <d v="2025-07-23T04:00:00"/>
    <d v="2025-07-24T04:00:00"/>
    <n v="0"/>
    <n v="1"/>
    <n v="1"/>
    <n v="45"/>
    <n v="44"/>
    <n v="6"/>
    <n v="0"/>
    <n v="0"/>
    <n v="0"/>
    <n v="0"/>
    <n v="0"/>
    <n v="0"/>
    <n v="0"/>
    <n v="6"/>
    <n v="39"/>
    <n v="38"/>
    <n v="-34"/>
    <n v="1"/>
  </r>
  <r>
    <s v="Cases &amp; Composites"/>
    <s v="CAS-255773-G2Q6L0"/>
    <s v="Jia Chen"/>
    <s v="Complete"/>
    <s v="Resolved"/>
    <s v="2-Routine"/>
    <m/>
    <s v="25KC447"/>
    <s v="Repair-EA"/>
    <s v="OTC"/>
    <s v="PW4000"/>
    <s v="AMO"/>
    <s v="75%"/>
    <d v="2025-06-16T19:46:23"/>
    <d v="2025-10-22T04:00:00"/>
    <d v="2025-09-09T04:00:00"/>
    <x v="0"/>
    <d v="2025-08-01T17:46:18"/>
    <s v="Aug2025"/>
    <d v="2025-07-31T04:00:00"/>
    <d v="2025-07-31T04:00:00"/>
    <d v="2025-07-31T04:00:00"/>
    <d v="2025-07-31T04:00:00"/>
    <n v="0"/>
    <n v="0"/>
    <n v="0"/>
    <n v="45.342789351852844"/>
    <n v="45.342789351852844"/>
    <n v="4"/>
    <n v="0"/>
    <n v="0"/>
    <n v="0"/>
    <n v="0"/>
    <n v="0"/>
    <n v="0"/>
    <n v="0"/>
    <n v="4"/>
    <n v="41.342789351852844"/>
    <n v="41.342789351852844"/>
    <n v="-82"/>
    <n v="1"/>
  </r>
  <r>
    <s v="Cases &amp; Composites"/>
    <s v="CAS-172127-G9L4F4"/>
    <s v="Robert Thompson"/>
    <s v="Complete"/>
    <s v="Resolved"/>
    <s v="3-Medium"/>
    <n v="1"/>
    <s v="21CCL34A"/>
    <s v="Repair-EA"/>
    <s v="EM"/>
    <s v="PW1000G"/>
    <s v="24K"/>
    <m/>
    <d v="2023-02-20T15:50:55"/>
    <d v="2023-10-27T04:00:00"/>
    <d v="2024-02-23T05:00:00"/>
    <x v="142"/>
    <d v="2024-02-22T14:00:03"/>
    <m/>
    <d v="2023-04-24T04:00:00"/>
    <d v="2023-04-24T04:00:00"/>
    <d v="2023-04-24T04:00:00"/>
    <d v="2023-04-27T04:00:00"/>
    <n v="0"/>
    <n v="3"/>
    <n v="3"/>
    <n v="365.54797453703941"/>
    <n v="362.54797453703941"/>
    <n v="0"/>
    <n v="0"/>
    <n v="0"/>
    <n v="0"/>
    <n v="0"/>
    <n v="0"/>
    <n v="0"/>
    <n v="0"/>
    <n v="0"/>
    <n v="365.54797453703941"/>
    <n v="362.54797453703941"/>
    <n v="117.04166666667152"/>
    <n v="0"/>
  </r>
  <r>
    <s v="Cases &amp; Composites"/>
    <s v="CAS-179279-H5P1Q4"/>
    <s v="Pedro Iturrino"/>
    <s v="Complete"/>
    <s v="Resolved"/>
    <s v="3-Medium"/>
    <n v="1"/>
    <s v="23KC502"/>
    <s v="Repair-EA"/>
    <s v="OTC"/>
    <s v="PW4000"/>
    <s v="AMO"/>
    <m/>
    <d v="2023-05-04T18:27:49"/>
    <d v="2023-11-30T05:00:00"/>
    <d v="2024-01-26T05:00:00"/>
    <x v="309"/>
    <d v="2024-01-19T19:47:23"/>
    <s v="JAN"/>
    <d v="2023-09-19T04:00:00"/>
    <d v="2023-09-25T04:00:00"/>
    <d v="2023-09-25T04:00:00"/>
    <d v="2023-09-26T04:00:00"/>
    <n v="6"/>
    <n v="1"/>
    <n v="7"/>
    <n v="259.43901620370889"/>
    <n v="252.43901620370889"/>
    <n v="0"/>
    <n v="0"/>
    <n v="0"/>
    <n v="0"/>
    <n v="0"/>
    <n v="0"/>
    <n v="0"/>
    <n v="0"/>
    <n v="0"/>
    <n v="259.43901620370889"/>
    <n v="252.43901620370889"/>
    <n v="50"/>
    <n v="0"/>
  </r>
  <r>
    <s v="Cases &amp; Composites"/>
    <s v="CAS-187068-V6Z7F6"/>
    <s v="Jia Chen"/>
    <s v="Complete"/>
    <s v="Resolved"/>
    <s v="3-Medium"/>
    <n v="1"/>
    <s v="23CCK33"/>
    <s v="Repair-EA"/>
    <s v="OTC"/>
    <s v="PW1000G"/>
    <s v="30K"/>
    <m/>
    <d v="2023-07-25T12:58:37"/>
    <d v="2024-02-29T05:00:00"/>
    <d v="2024-04-18T04:00:00"/>
    <x v="165"/>
    <d v="2024-04-03T20:39:07"/>
    <s v="TIC Inner. Apr"/>
    <d v="2023-07-25T04:00:00"/>
    <d v="2023-07-27T04:00:00"/>
    <d v="2023-07-27T04:00:00"/>
    <d v="2024-01-18T05:00:00"/>
    <n v="2"/>
    <n v="175.04166666667152"/>
    <n v="177.04166666667152"/>
    <n v="252.62596064814716"/>
    <n v="75.584293981475639"/>
    <n v="0"/>
    <n v="0"/>
    <n v="0"/>
    <n v="0"/>
    <n v="0"/>
    <n v="0"/>
    <n v="0"/>
    <n v="0"/>
    <n v="0"/>
    <n v="252.62596064814716"/>
    <n v="75.584293981475639"/>
    <n v="33.958333333328483"/>
    <n v="0"/>
  </r>
  <r>
    <s v="Cases &amp; Composites"/>
    <s v="CAS-194229-G8V7Y6"/>
    <s v="Jia Chen"/>
    <s v="Complete"/>
    <s v="Resolved"/>
    <s v="3-Medium"/>
    <n v="1"/>
    <s v="23VC473"/>
    <s v="Repair-EA"/>
    <s v="OTC"/>
    <s v="V2500"/>
    <s v="V2500"/>
    <m/>
    <d v="2023-10-05T17:45:37"/>
    <d v="2023-12-08T05:00:00"/>
    <d v="2024-01-31T05:00:00"/>
    <x v="61"/>
    <d v="2024-01-31T18:43:15"/>
    <s v="JAN"/>
    <d v="2023-10-20T04:00:00"/>
    <d v="2023-12-13T05:00:00"/>
    <d v="2023-12-13T05:00:00"/>
    <d v="2024-01-04T05:00:00"/>
    <n v="54.041666666671517"/>
    <n v="22"/>
    <n v="76.041666666671517"/>
    <n v="117.46832175926102"/>
    <n v="41.426655092589499"/>
    <n v="0"/>
    <n v="0"/>
    <n v="0"/>
    <n v="0"/>
    <n v="0"/>
    <n v="0"/>
    <n v="0"/>
    <n v="0"/>
    <n v="0"/>
    <n v="117.46832175926102"/>
    <n v="41.426655092589499"/>
    <n v="54"/>
    <n v="0"/>
  </r>
  <r>
    <s v="Cases &amp; Composites"/>
    <s v="CAS-201228-P6L9F1"/>
    <s v="Alexander Page"/>
    <s v="Complete"/>
    <s v="Resolved"/>
    <s v="3-Medium"/>
    <n v="1"/>
    <s v="24VC174"/>
    <s v="Repair-EA"/>
    <s v="OTC"/>
    <s v="V2500"/>
    <s v="V2500"/>
    <m/>
    <d v="2023-12-14T09:27:45"/>
    <d v="2024-05-10T04:00:00"/>
    <d v="2024-07-31T04:00:00"/>
    <x v="286"/>
    <d v="2024-07-31T18:16:32"/>
    <s v="July"/>
    <d v="2024-04-05T04:00:00"/>
    <d v="2024-04-29T04:00:00"/>
    <d v="2024-04-29T04:00:00"/>
    <d v="2024-04-30T04:00:00"/>
    <n v="24"/>
    <n v="1"/>
    <n v="25"/>
    <n v="227.77239583332994"/>
    <n v="202.77239583332994"/>
    <n v="0"/>
    <n v="0"/>
    <n v="0"/>
    <n v="0"/>
    <n v="0"/>
    <n v="0"/>
    <n v="0"/>
    <n v="0"/>
    <n v="0"/>
    <n v="227.77239583332994"/>
    <n v="202.77239583332994"/>
    <n v="80"/>
    <n v="0"/>
  </r>
  <r>
    <s v="Cases &amp; Composites"/>
    <n v="103192"/>
    <s v="Robert Thompson"/>
    <s v="Complete"/>
    <s v="Closed"/>
    <s v="3-Medium"/>
    <n v="1"/>
    <s v="24FC007"/>
    <s v="Repair-EA"/>
    <s v="OTC"/>
    <s v="PW2000"/>
    <s v="AMO"/>
    <m/>
    <d v="2024-01-03T05:00:00"/>
    <d v="2024-02-02T05:00:00"/>
    <d v="2024-02-19T05:00:00"/>
    <x v="162"/>
    <d v="2024-02-20T17:41:33"/>
    <s v="Feb."/>
    <d v="2024-01-18T05:00:00"/>
    <d v="2024-01-26T05:00:00"/>
    <d v="2024-01-26T05:00:00"/>
    <d v="2024-02-12T05:00:00"/>
    <n v="8"/>
    <n v="17"/>
    <n v="25"/>
    <n v="43"/>
    <n v="18"/>
    <n v="0"/>
    <n v="0"/>
    <n v="0"/>
    <n v="0"/>
    <n v="0"/>
    <n v="0"/>
    <n v="0"/>
    <n v="0"/>
    <n v="0"/>
    <n v="43"/>
    <n v="18"/>
    <n v="13"/>
    <n v="0"/>
  </r>
  <r>
    <s v="Cases &amp; Composites"/>
    <s v="CAS-204029-B9X4Z1"/>
    <s v="Robert Thompson"/>
    <s v="Complete"/>
    <s v="Resolved"/>
    <s v="3-Medium"/>
    <n v="1"/>
    <s v="24AC013"/>
    <s v="Repair-EA"/>
    <s v="EM"/>
    <s v="GP7000"/>
    <s v="GP7000"/>
    <m/>
    <d v="2024-01-17T20:27:25"/>
    <d v="2024-02-22T05:00:00"/>
    <d v="2024-05-09T04:00:00"/>
    <x v="310"/>
    <d v="2024-05-13T11:47:58"/>
    <s v="May"/>
    <d v="2024-02-14T05:00:00"/>
    <d v="2024-02-27T05:00:00"/>
    <d v="2024-02-27T05:00:00"/>
    <d v="2024-02-28T05:00:00"/>
    <n v="13"/>
    <n v="1"/>
    <n v="14"/>
    <n v="111.31429398147884"/>
    <n v="97.314293981478841"/>
    <n v="0"/>
    <n v="0"/>
    <n v="0"/>
    <n v="0"/>
    <n v="0"/>
    <n v="0"/>
    <n v="0"/>
    <n v="0"/>
    <n v="0"/>
    <n v="111.31429398147884"/>
    <n v="97.314293981478841"/>
    <n v="75.958333333328483"/>
    <n v="0"/>
  </r>
  <r>
    <s v="Cases &amp; Composites"/>
    <s v="CAS-204884-Y7L5Y9"/>
    <s v="Robert Thompson"/>
    <s v="Complete"/>
    <s v="Resolved"/>
    <s v="3-Medium"/>
    <n v="1"/>
    <s v="24CC316"/>
    <s v="Repair-EA"/>
    <s v="OTC"/>
    <s v="PW1000G"/>
    <s v="30K"/>
    <m/>
    <d v="2024-01-25T19:32:22"/>
    <d v="2024-02-23T05:00:00"/>
    <d v="2024-04-30T04:00:00"/>
    <x v="2"/>
    <d v="2024-04-30T17:10:27"/>
    <s v="Apr FanR-Blade"/>
    <d v="2024-02-06T05:00:00"/>
    <d v="2024-03-05T05:00:00"/>
    <d v="2024-03-05T05:00:00"/>
    <d v="2024-03-22T04:00:00"/>
    <n v="28"/>
    <n v="16.958333333328483"/>
    <n v="44.958333333328483"/>
    <n v="95.352523148147156"/>
    <n v="50.394189814818674"/>
    <n v="0"/>
    <n v="0"/>
    <n v="0"/>
    <n v="0"/>
    <n v="0"/>
    <n v="12.2229516319494"/>
    <n v="0"/>
    <n v="0"/>
    <n v="12.2229516319494"/>
    <n v="83.129571516197757"/>
    <n v="38.171238182869274"/>
    <n v="66.958333333328483"/>
    <n v="0"/>
  </r>
  <r>
    <s v="Cases &amp; Composites"/>
    <s v="CAS-209535-P6J0Y9"/>
    <s v="Pedro Iturrino"/>
    <s v="Complete"/>
    <s v="Resolved"/>
    <s v="3-Medium"/>
    <n v="1"/>
    <s v="24CCB14"/>
    <s v="Repair-EA"/>
    <s v="OTC"/>
    <s v="PW1000G"/>
    <s v="30K"/>
    <m/>
    <d v="2024-03-14T19:07:01"/>
    <d v="2024-06-28T04:00:00"/>
    <d v="2024-08-30T04:00:00"/>
    <x v="285"/>
    <d v="2024-08-30T18:14:25"/>
    <s v="AUG / TIC Inner"/>
    <d v="2024-06-10T04:00:00"/>
    <d v="2024-06-14T04:00:00"/>
    <d v="2024-06-14T04:00:00"/>
    <d v="2024-08-08T04:00:00"/>
    <n v="4"/>
    <n v="55"/>
    <n v="59"/>
    <n v="168.37012731481082"/>
    <n v="109.37012731481082"/>
    <n v="0"/>
    <n v="0"/>
    <n v="0"/>
    <n v="0"/>
    <n v="32.878345972218085"/>
    <n v="0"/>
    <n v="0"/>
    <n v="0"/>
    <n v="32.878345972218085"/>
    <n v="135.49178134259273"/>
    <n v="76.491781342592731"/>
    <n v="63"/>
    <n v="0"/>
  </r>
  <r>
    <s v="Cases &amp; Composites"/>
    <s v="CAS-193348-V8Z9T6"/>
    <s v="Robert Thompson"/>
    <s v="Complete"/>
    <s v="Resolved"/>
    <s v="3-Medium"/>
    <n v="1"/>
    <s v="23KC535"/>
    <s v="Repair-EA"/>
    <s v="Discretionary"/>
    <s v="PW4000"/>
    <s v="AMO"/>
    <s v="75%"/>
    <d v="2023-09-26T15:03:05"/>
    <d v="2023-12-22T05:00:00"/>
    <d v="2024-06-26T04:00:00"/>
    <x v="311"/>
    <d v="2024-06-20T17:32:48"/>
    <m/>
    <m/>
    <m/>
    <m/>
    <m/>
    <s v=""/>
    <s v=""/>
    <n v="0"/>
    <n v="267.53952546296205"/>
    <n v="267.53952546296205"/>
    <n v="0"/>
    <n v="0"/>
    <n v="0"/>
    <n v="0"/>
    <n v="0"/>
    <n v="0"/>
    <n v="0"/>
    <n v="0"/>
    <n v="0"/>
    <n v="267.53952546296205"/>
    <n v="267.53952546296205"/>
    <n v="180.95833333332848"/>
    <n v="0"/>
  </r>
  <r>
    <s v="Cases &amp; Composites"/>
    <n v="105786"/>
    <s v="Jia Chen"/>
    <s v="Complete"/>
    <s v="Closed"/>
    <s v="3-Medium"/>
    <n v="1"/>
    <s v="24FC179"/>
    <s v="Repair-EA"/>
    <s v="OTC"/>
    <s v="PW2000"/>
    <s v="AMO"/>
    <s v="75%"/>
    <d v="2024-05-08T04:00:00"/>
    <d v="2024-08-08T04:00:00"/>
    <d v="2024-08-08T04:00:00"/>
    <x v="286"/>
    <d v="2024-07-29T21:54:17"/>
    <m/>
    <d v="2024-05-31T04:00:00"/>
    <d v="2024-06-19T04:00:00"/>
    <d v="2024-06-19T04:00:00"/>
    <d v="2024-06-19T04:00:00"/>
    <n v="19"/>
    <n v="0"/>
    <n v="19"/>
    <n v="82"/>
    <n v="63"/>
    <n v="0"/>
    <n v="0"/>
    <n v="0"/>
    <n v="0"/>
    <n v="0"/>
    <n v="0"/>
    <n v="0"/>
    <n v="0"/>
    <n v="0"/>
    <n v="82"/>
    <n v="63"/>
    <n v="-10"/>
    <n v="1"/>
  </r>
  <r>
    <s v="Cases &amp; Composites"/>
    <s v="CAS-217957-H2K6R6"/>
    <s v="Robert Thompson"/>
    <s v="Complete"/>
    <s v="Resolved"/>
    <s v="3-Medium"/>
    <n v="1"/>
    <s v="24KC348"/>
    <s v="Repair-EA"/>
    <s v="Discretionary"/>
    <s v="PW4000"/>
    <s v="AMO"/>
    <s v="50%"/>
    <d v="2024-06-13T12:10:38"/>
    <d v="2024-10-25T04:00:00"/>
    <d v="2024-09-05T04:00:00"/>
    <x v="312"/>
    <d v="2024-09-05T19:11:02"/>
    <s v="Sept"/>
    <m/>
    <m/>
    <m/>
    <m/>
    <s v=""/>
    <s v=""/>
    <n v="0"/>
    <n v="83.659282407403225"/>
    <n v="83.659282407403225"/>
    <n v="0"/>
    <n v="0"/>
    <n v="0"/>
    <n v="0"/>
    <n v="0"/>
    <n v="0"/>
    <n v="0"/>
    <n v="0"/>
    <n v="0"/>
    <n v="83.659282407403225"/>
    <n v="83.659282407403225"/>
    <n v="-50"/>
    <n v="1"/>
  </r>
  <r>
    <s v="Cases &amp; Composites"/>
    <n v="108585"/>
    <s v="Robert Thompson"/>
    <s v="Complete"/>
    <s v="Closed"/>
    <s v="3-Medium"/>
    <n v="1"/>
    <s v="24FC323"/>
    <s v="Repair-EA"/>
    <s v="EM"/>
    <s v="PW2000"/>
    <s v="F117"/>
    <s v="75%"/>
    <d v="2024-09-25T04:00:00"/>
    <d v="2024-11-22T05:00:00"/>
    <d v="2024-11-22T05:00:00"/>
    <x v="313"/>
    <d v="2024-11-08T13:58:06"/>
    <m/>
    <m/>
    <m/>
    <m/>
    <m/>
    <s v=""/>
    <s v=""/>
    <n v="0"/>
    <n v="43.041666666671517"/>
    <n v="43.041666666671517"/>
    <n v="0"/>
    <n v="0"/>
    <n v="0"/>
    <n v="0"/>
    <n v="0"/>
    <n v="0"/>
    <n v="0"/>
    <n v="0"/>
    <n v="0"/>
    <n v="43.041666666671517"/>
    <n v="43.041666666671517"/>
    <n v="-15"/>
    <n v="1"/>
  </r>
  <r>
    <s v="Cases &amp; Composites"/>
    <s v="CAS-195505-H3L5N2"/>
    <s v="Jia Chen"/>
    <s v="Complete"/>
    <s v="Resolved"/>
    <s v="3-Medium"/>
    <n v="2"/>
    <s v="23FC333"/>
    <s v="Repair-EA"/>
    <s v="Discretionary"/>
    <s v="PW2000"/>
    <s v="AMO"/>
    <m/>
    <d v="2023-10-18T14:31:52"/>
    <d v="2024-04-25T04:00:00"/>
    <d v="2024-06-13T04:00:00"/>
    <x v="314"/>
    <d v="2024-05-31T14:25:00"/>
    <s v="May"/>
    <d v="2024-05-09T04:00:00"/>
    <d v="2024-05-16T04:00:00"/>
    <d v="2024-05-16T04:00:00"/>
    <d v="2024-05-16T04:00:00"/>
    <n v="7"/>
    <n v="0"/>
    <n v="7"/>
    <n v="224.56120370369899"/>
    <n v="217.56120370369899"/>
    <n v="0"/>
    <n v="0"/>
    <n v="0"/>
    <n v="0"/>
    <n v="0"/>
    <n v="0"/>
    <n v="0"/>
    <n v="0"/>
    <n v="0"/>
    <n v="224.56120370369899"/>
    <n v="217.56120370369899"/>
    <n v="35"/>
    <n v="0"/>
  </r>
  <r>
    <s v="Cases &amp; Composites"/>
    <s v="CAS-194652-S7Y1L5"/>
    <s v="Jia Chen"/>
    <s v="Complete"/>
    <s v="Resolved"/>
    <s v="3-Medium"/>
    <n v="2"/>
    <s v="24CC221"/>
    <s v="Repair-EA"/>
    <s v="OTC"/>
    <s v="PW1000G"/>
    <s v="30K"/>
    <m/>
    <d v="2023-10-10T20:08:47"/>
    <d v="2024-03-14T04:00:00"/>
    <d v="2024-05-09T04:00:00"/>
    <x v="2"/>
    <d v="2024-04-30T16:09:04"/>
    <s v="IDC"/>
    <d v="2024-01-25T05:00:00"/>
    <d v="2024-02-22T05:00:00"/>
    <d v="2024-02-22T05:00:00"/>
    <d v="2024-04-22T04:00:00"/>
    <n v="28"/>
    <n v="59.958333333328483"/>
    <n v="87.958333333328483"/>
    <n v="202.32723379629169"/>
    <n v="114.36890046296321"/>
    <n v="0"/>
    <n v="0"/>
    <n v="0"/>
    <n v="0"/>
    <n v="0"/>
    <n v="0"/>
    <n v="5.9445427777754958"/>
    <n v="0"/>
    <n v="5.9445427777754958"/>
    <n v="196.3826910185162"/>
    <n v="108.42435768518772"/>
    <n v="47"/>
    <n v="0"/>
  </r>
  <r>
    <s v="Cases &amp; Composites"/>
    <s v="CAS-205386-Y3B6M7"/>
    <s v="Robert Thompson"/>
    <s v="Complete"/>
    <s v="Resolved"/>
    <s v="3-Medium"/>
    <n v="2"/>
    <s v="24CC318"/>
    <s v="Repair-EA"/>
    <s v="OTC"/>
    <s v="PW1000G"/>
    <s v="30K CIPT"/>
    <m/>
    <d v="2024-01-31T15:53:18"/>
    <d v="2024-02-23T05:00:00"/>
    <d v="2024-02-23T05:00:00"/>
    <x v="120"/>
    <d v="2024-02-13T14:29:14"/>
    <s v="Feb."/>
    <d v="2024-02-06T05:00:00"/>
    <d v="2024-02-07T05:00:00"/>
    <d v="2024-02-07T05:00:00"/>
    <d v="2024-02-07T05:00:00"/>
    <n v="1"/>
    <n v="0"/>
    <n v="1"/>
    <n v="11.546319444445544"/>
    <n v="10.546319444445544"/>
    <n v="0"/>
    <n v="0"/>
    <n v="0"/>
    <n v="0"/>
    <n v="0"/>
    <n v="0"/>
    <n v="0"/>
    <n v="0"/>
    <n v="0"/>
    <n v="11.546319444445544"/>
    <n v="10.546319444445544"/>
    <n v="-11"/>
    <n v="1"/>
  </r>
  <r>
    <s v="Cases &amp; Composites"/>
    <s v="CAS-206119-D9Y3P2"/>
    <s v="Robert Thompson"/>
    <s v="Complete"/>
    <s v="Resolved"/>
    <s v="3-Medium"/>
    <n v="2"/>
    <s v="24CC532"/>
    <s v="Repair-EA"/>
    <s v="OTC"/>
    <s v="PW1000G"/>
    <s v="24K"/>
    <m/>
    <d v="2024-02-08T14:38:16"/>
    <d v="2024-03-22T04:00:00"/>
    <d v="2024-03-28T04:00:00"/>
    <x v="154"/>
    <d v="2024-03-28T14:16:56"/>
    <s v="Mar2"/>
    <d v="2024-03-04T05:00:00"/>
    <d v="2024-03-06T05:00:00"/>
    <d v="2024-03-06T05:00:00"/>
    <d v="2024-03-06T05:00:00"/>
    <n v="2"/>
    <n v="0"/>
    <n v="2"/>
    <n v="47.556759259256069"/>
    <n v="45.556759259256069"/>
    <n v="0"/>
    <n v="0"/>
    <n v="0"/>
    <n v="0"/>
    <n v="0"/>
    <n v="0"/>
    <n v="0"/>
    <n v="0"/>
    <n v="0"/>
    <n v="47.556759259256069"/>
    <n v="45.556759259256069"/>
    <n v="5"/>
    <n v="0"/>
  </r>
  <r>
    <s v="Cases &amp; Composites"/>
    <s v="MSG-240126-085933"/>
    <s v="Dean Catlett"/>
    <s v="Complete"/>
    <s v="Complete"/>
    <s v="3-Medium"/>
    <n v="2"/>
    <s v="24CC760"/>
    <s v="Repair-EA"/>
    <s v="EM"/>
    <s v="PW1000G"/>
    <s v="PIP"/>
    <m/>
    <d v="2024-01-26T05:00:00"/>
    <d v="2024-10-02T04:00:00"/>
    <d v="2024-10-02T04:00:00"/>
    <x v="314"/>
    <d v="2024-05-30T17:31:33"/>
    <s v="Evaluate and substantiate continued viability of subject DMCs for applicability to GTFA model and parameters. Ensure stack up allowances with GTFA config as well as repairable limits meet requirements. Evaluate options for limit expansion.  "/>
    <m/>
    <m/>
    <m/>
    <m/>
    <s v=""/>
    <s v=""/>
    <n v="0"/>
    <n v="124.95833333332848"/>
    <n v="124.95833333332848"/>
    <n v="0"/>
    <n v="0"/>
    <n v="0"/>
    <n v="0"/>
    <n v="0"/>
    <n v="0"/>
    <n v="0"/>
    <n v="0"/>
    <n v="0"/>
    <n v="124.95833333332848"/>
    <n v="124.95833333332848"/>
    <n v="-125"/>
    <n v="1"/>
  </r>
  <r>
    <s v="Cases &amp; Composites"/>
    <n v="106501"/>
    <s v="Robert Thompson"/>
    <s v="Complete"/>
    <s v="Closed"/>
    <s v="3-Medium"/>
    <n v="2"/>
    <s v="24FC248"/>
    <s v="Repair-EA"/>
    <s v="OTC"/>
    <s v="PW2000"/>
    <s v="F117"/>
    <s v="75%"/>
    <d v="2024-06-13T04:00:00"/>
    <d v="2024-10-31T04:00:00"/>
    <d v="2024-08-16T04:00:00"/>
    <x v="315"/>
    <d v="2024-08-20T17:49:07"/>
    <m/>
    <d v="2024-07-23T04:00:00"/>
    <d v="2024-07-23T04:00:00"/>
    <d v="2024-07-23T04:00:00"/>
    <d v="2024-08-09T04:00:00"/>
    <n v="0"/>
    <n v="17"/>
    <n v="17"/>
    <n v="68"/>
    <n v="51"/>
    <n v="0"/>
    <n v="0"/>
    <n v="0"/>
    <n v="0"/>
    <n v="4"/>
    <n v="0"/>
    <n v="0"/>
    <n v="0"/>
    <n v="4"/>
    <n v="64"/>
    <n v="47"/>
    <n v="-72"/>
    <n v="1"/>
  </r>
  <r>
    <s v="Cases &amp; Composites"/>
    <s v="CAS-235579-N5G0S8"/>
    <s v="Brian K Holland"/>
    <s v="Complete"/>
    <s v="Resolved"/>
    <s v="3-Medium"/>
    <n v="2"/>
    <s v="24CCX47"/>
    <s v="Repair-EA"/>
    <s v="OTC"/>
    <s v="PW1000G"/>
    <s v="AMO"/>
    <s v="75%"/>
    <d v="2024-11-27T18:27:36"/>
    <d v="2024-12-16T05:00:00"/>
    <d v="2024-12-16T05:00:00"/>
    <x v="44"/>
    <d v="2024-12-16T21:06:59"/>
    <m/>
    <m/>
    <m/>
    <m/>
    <m/>
    <s v=""/>
    <s v=""/>
    <n v="0"/>
    <n v="18.439166666670644"/>
    <n v="18.439166666670644"/>
    <n v="0"/>
    <n v="0"/>
    <n v="0"/>
    <n v="0"/>
    <n v="0"/>
    <n v="0"/>
    <n v="0"/>
    <n v="0"/>
    <n v="0"/>
    <n v="18.439166666670644"/>
    <n v="18.439166666670644"/>
    <n v="0"/>
    <n v="1"/>
  </r>
  <r>
    <s v="Cases &amp; Composites"/>
    <s v="CAS-187920-C2T7Y8"/>
    <s v="Orlando Melendez Colon"/>
    <s v="Complete"/>
    <s v="Active"/>
    <s v="3-Medium"/>
    <n v="3"/>
    <s v="23VC419"/>
    <s v="Repair-EA"/>
    <s v="OTC"/>
    <s v="V2500"/>
    <s v="V2500"/>
    <m/>
    <d v="2023-08-03T06:56:14"/>
    <d v="2023-11-30T05:00:00"/>
    <d v="2024-05-22T04:00:00"/>
    <x v="72"/>
    <d v="2024-05-22T16:10:33"/>
    <s v="May"/>
    <d v="2023-09-26T04:00:00"/>
    <d v="2023-09-28T04:00:00"/>
    <d v="2023-09-28T04:00:00"/>
    <d v="2023-10-09T04:00:00"/>
    <n v="2"/>
    <n v="11"/>
    <n v="13"/>
    <n v="290.87761574074102"/>
    <n v="277.87761574074102"/>
    <n v="0"/>
    <n v="0"/>
    <n v="0"/>
    <n v="0"/>
    <n v="0"/>
    <n v="0"/>
    <n v="0"/>
    <n v="13"/>
    <n v="13"/>
    <n v="277.87761574074102"/>
    <n v="264.87761574074102"/>
    <n v="171.95833333332848"/>
    <n v="0"/>
  </r>
  <r>
    <s v="Cases &amp; Composites"/>
    <n v="101380"/>
    <s v="Pedro Iturrino"/>
    <s v="Complete"/>
    <s v="Closed"/>
    <s v="3-Medium"/>
    <n v="3"/>
    <s v="23FC321"/>
    <s v="Repair-EA"/>
    <s v="OTC"/>
    <s v="PW2000"/>
    <s v="AMO"/>
    <m/>
    <d v="2023-09-27T04:00:00"/>
    <d v="2024-01-30T05:00:00"/>
    <d v="2024-04-16T04:00:00"/>
    <x v="316"/>
    <d v="2024-04-17T14:27:47"/>
    <s v="APR"/>
    <d v="2023-10-30T04:00:00"/>
    <d v="2023-12-20T05:00:00"/>
    <d v="2023-12-20T05:00:00"/>
    <d v="2024-02-08T05:00:00"/>
    <n v="51.041666666671517"/>
    <n v="50"/>
    <n v="101.04166666667152"/>
    <n v="196"/>
    <n v="94.958333333328483"/>
    <n v="0"/>
    <n v="0"/>
    <n v="0"/>
    <n v="0"/>
    <n v="0"/>
    <n v="0"/>
    <n v="8"/>
    <n v="0"/>
    <n v="8"/>
    <n v="188"/>
    <n v="86.958333333328483"/>
    <n v="70.958333333328483"/>
    <n v="0"/>
  </r>
  <r>
    <s v="Cases &amp; Composites"/>
    <s v="CAS-194237-W6C3C8"/>
    <s v="Jia Chen"/>
    <s v="Complete"/>
    <s v="Resolved"/>
    <s v="3-Medium"/>
    <n v="3"/>
    <s v="23KC536"/>
    <s v="Repair-EA"/>
    <s v="OTC"/>
    <s v="PW4000"/>
    <s v="AMO"/>
    <m/>
    <d v="2023-10-06T12:55:48"/>
    <d v="2024-01-26T05:00:00"/>
    <d v="2024-03-28T04:00:00"/>
    <x v="173"/>
    <d v="2024-03-20T20:33:27"/>
    <s v="mar2"/>
    <d v="2023-10-20T04:00:00"/>
    <d v="2023-10-31T04:00:00"/>
    <d v="2023-10-31T04:00:00"/>
    <d v="2023-12-22T05:00:00"/>
    <n v="11"/>
    <n v="52.041666666671517"/>
    <n v="63.041666666671517"/>
    <n v="163.62791666666453"/>
    <n v="100.58624999999302"/>
    <n v="0"/>
    <n v="0"/>
    <n v="0"/>
    <n v="0"/>
    <n v="0"/>
    <n v="0"/>
    <n v="0"/>
    <n v="0"/>
    <n v="0"/>
    <n v="163.62791666666453"/>
    <n v="100.58624999999302"/>
    <n v="51.958333333328483"/>
    <n v="0"/>
  </r>
  <r>
    <s v="Cases &amp; Composites"/>
    <s v="CAS-200286-L6L1T3"/>
    <s v="Robert Thompson"/>
    <s v="Complete"/>
    <s v="Resolved"/>
    <s v="3-Medium"/>
    <n v="3"/>
    <s v="15CC044B"/>
    <s v="Repair-EA"/>
    <s v="EM"/>
    <s v="PW1000G"/>
    <s v="24K"/>
    <m/>
    <d v="2023-12-06T13:21:56"/>
    <d v="2024-02-23T05:00:00"/>
    <d v="2024-02-23T05:00:00"/>
    <x v="142"/>
    <d v="2024-02-22T14:15:52"/>
    <m/>
    <m/>
    <m/>
    <m/>
    <m/>
    <s v=""/>
    <s v=""/>
    <n v="0"/>
    <n v="76.651435185187438"/>
    <n v="76.651435185187438"/>
    <n v="0"/>
    <n v="0"/>
    <n v="0"/>
    <n v="0"/>
    <n v="0"/>
    <n v="0"/>
    <n v="0"/>
    <n v="0"/>
    <n v="0"/>
    <n v="76.651435185187438"/>
    <n v="76.651435185187438"/>
    <n v="-2"/>
    <n v="1"/>
  </r>
  <r>
    <s v="Cases &amp; Composites"/>
    <s v="CAS-203441-P6B2Y1"/>
    <s v="Robert Thompson"/>
    <s v="Complete"/>
    <s v="Resolved"/>
    <s v="3-Medium"/>
    <n v="3"/>
    <s v="22AC041C"/>
    <s v="Repair-EA"/>
    <s v="EM"/>
    <s v="GP7000"/>
    <s v="GP7000"/>
    <m/>
    <d v="2024-01-11T18:53:23"/>
    <d v="2024-03-29T04:00:00"/>
    <d v="2024-03-05T05:00:00"/>
    <x v="172"/>
    <d v="2024-03-05T15:21:55"/>
    <s v="Mar1"/>
    <m/>
    <m/>
    <m/>
    <m/>
    <s v=""/>
    <s v=""/>
    <n v="0"/>
    <n v="52.421261574076198"/>
    <n v="52.421261574076198"/>
    <n v="0"/>
    <n v="0"/>
    <n v="0"/>
    <n v="0"/>
    <n v="0"/>
    <n v="0"/>
    <n v="0"/>
    <n v="0"/>
    <n v="0"/>
    <n v="52.421261574076198"/>
    <n v="52.421261574076198"/>
    <n v="-24.958333333328483"/>
    <n v="1"/>
  </r>
  <r>
    <s v="Cases &amp; Composites"/>
    <s v="CAS-212227-M3Y0X1"/>
    <s v="Robert Thompson"/>
    <s v="Complete"/>
    <s v="Resolved"/>
    <s v="3-Medium"/>
    <n v="3"/>
    <s v="24KC236"/>
    <s v="Repair-EA"/>
    <s v="Discretionary"/>
    <s v="PW4000"/>
    <s v="AMO"/>
    <m/>
    <d v="2024-04-12T17:27:23"/>
    <d v="2024-06-06T04:00:00"/>
    <d v="2024-09-13T04:00:00"/>
    <x v="317"/>
    <d v="2024-09-10T14:48:06"/>
    <s v="Sept"/>
    <d v="2024-04-24T04:00:00"/>
    <d v="2024-05-24T04:00:00"/>
    <d v="2024-05-24T04:00:00"/>
    <d v="2024-06-21T04:00:00"/>
    <n v="30"/>
    <n v="28"/>
    <n v="58"/>
    <n v="149.43931712962512"/>
    <n v="91.439317129625124"/>
    <n v="0"/>
    <n v="0"/>
    <n v="0"/>
    <n v="0"/>
    <n v="0"/>
    <n v="0"/>
    <n v="0"/>
    <n v="0"/>
    <n v="0"/>
    <n v="149.43931712962512"/>
    <n v="91.439317129625124"/>
    <n v="95"/>
    <n v="0"/>
  </r>
  <r>
    <s v="Cases &amp; Composites"/>
    <s v="CAS-225453-W6D3M8"/>
    <s v="Jia Chen"/>
    <s v="Complete"/>
    <s v="Resolved"/>
    <s v="3-Medium"/>
    <n v="3"/>
    <s v="24VC293"/>
    <s v="Repair-EA"/>
    <s v="OTC"/>
    <s v="V2500"/>
    <s v="V2500"/>
    <s v="75%"/>
    <d v="2024-08-26T18:09:30"/>
    <d v="2024-11-20T05:00:00"/>
    <d v="2024-10-24T04:00:00"/>
    <x v="294"/>
    <d v="2024-10-21T17:28:29"/>
    <s v="Oct"/>
    <d v="2024-09-16T04:00:00"/>
    <d v="2024-09-20T04:00:00"/>
    <d v="2024-09-20T04:00:00"/>
    <d v="2024-09-23T04:00:00"/>
    <n v="4"/>
    <n v="3"/>
    <n v="7"/>
    <n v="55.410069444442343"/>
    <n v="48.410069444442343"/>
    <n v="0"/>
    <n v="0"/>
    <n v="0"/>
    <n v="0"/>
    <n v="0"/>
    <n v="0"/>
    <n v="0"/>
    <n v="0"/>
    <n v="0"/>
    <n v="55.410069444442343"/>
    <n v="48.410069444442343"/>
    <n v="-30.041666666671517"/>
    <n v="1"/>
  </r>
  <r>
    <s v="Cases &amp; Composites"/>
    <s v="CAS-148407-P1G5G2"/>
    <s v="Ferdin Mustafa"/>
    <s v="Complete"/>
    <s v="Resolved"/>
    <s v="3-Medium"/>
    <n v="4"/>
    <s v="22CCH24"/>
    <s v="Repair-EA"/>
    <s v="EM"/>
    <s v="PW800"/>
    <s v="17-24K"/>
    <m/>
    <d v="2022-05-11T21:12:16"/>
    <d v="2022-12-20T05:00:00"/>
    <d v="2024-07-11T04:00:00"/>
    <x v="6"/>
    <d v="2024-08-26T19:12:19"/>
    <s v="August - "/>
    <d v="2022-10-18T04:00:00"/>
    <d v="2023-03-23T04:00:00"/>
    <d v="2023-03-23T04:00:00"/>
    <d v="2024-04-27T04:00:00"/>
    <n v="156"/>
    <n v="401"/>
    <n v="557"/>
    <n v="837.28314814814803"/>
    <n v="280.28314814814803"/>
    <n v="0"/>
    <n v="0"/>
    <n v="0"/>
    <n v="0"/>
    <n v="0"/>
    <n v="0"/>
    <n v="0"/>
    <n v="13.985286840274057"/>
    <n v="13.985286840274057"/>
    <n v="823.29786130787397"/>
    <n v="266.29786130787397"/>
    <n v="614.95833333332848"/>
    <n v="0"/>
  </r>
  <r>
    <s v="Cases &amp; Composites"/>
    <s v="CAS-177004-Q0Q7L8"/>
    <s v="Jia Chen"/>
    <s v="Complete"/>
    <s v="Resolved"/>
    <s v="3-Medium"/>
    <n v="4"/>
    <s v="23VC294"/>
    <s v="Repair-EA"/>
    <s v="OTC"/>
    <s v="V2500"/>
    <s v="AMO"/>
    <m/>
    <d v="2023-04-10T22:35:41"/>
    <d v="2023-09-28T04:00:00"/>
    <d v="2024-07-18T04:00:00"/>
    <x v="148"/>
    <d v="2024-07-17T16:06:33"/>
    <s v="July"/>
    <d v="2023-10-25T04:00:00"/>
    <d v="2023-12-22T05:00:00"/>
    <d v="2023-12-22T05:00:00"/>
    <d v="2024-02-22T05:00:00"/>
    <n v="58.041666666671517"/>
    <n v="62"/>
    <n v="120.04166666667152"/>
    <n v="463.22521990740643"/>
    <n v="343.18355324073491"/>
    <n v="0"/>
    <n v="0"/>
    <n v="0"/>
    <n v="0"/>
    <n v="0"/>
    <n v="0"/>
    <n v="0"/>
    <n v="0"/>
    <n v="0"/>
    <n v="463.22521990740643"/>
    <n v="343.18355324073491"/>
    <n v="293"/>
    <n v="0"/>
  </r>
  <r>
    <s v="Cases &amp; Composites"/>
    <s v="CAS-187831-X7G5J9"/>
    <s v="Jia Chen"/>
    <s v="Complete"/>
    <s v="Resolved"/>
    <s v="3-Medium"/>
    <n v="4"/>
    <s v="23CCL23"/>
    <s v="Repair-EA"/>
    <s v="OTC"/>
    <s v="PW1000G"/>
    <s v="24K"/>
    <m/>
    <d v="2023-08-02T12:03:03"/>
    <d v="2023-11-16T05:00:00"/>
    <d v="2024-01-11T05:00:00"/>
    <x v="318"/>
    <d v="2024-01-04T20:59:53"/>
    <m/>
    <d v="2023-09-06T04:00:00"/>
    <d v="2023-10-13T04:00:00"/>
    <d v="2023-10-13T04:00:00"/>
    <d v="2023-11-21T05:00:00"/>
    <n v="37"/>
    <n v="39.041666666671517"/>
    <n v="76.041666666671517"/>
    <n v="154.70621527777985"/>
    <n v="78.66454861110833"/>
    <n v="0"/>
    <n v="0"/>
    <n v="0"/>
    <n v="0"/>
    <n v="0"/>
    <n v="0"/>
    <n v="0"/>
    <n v="0"/>
    <n v="0"/>
    <n v="154.70621527777985"/>
    <n v="78.66454861110833"/>
    <n v="49"/>
    <n v="0"/>
  </r>
  <r>
    <s v="Cases &amp; Composites"/>
    <s v="CAS-190430-B8D7R0"/>
    <s v="Orlando Melendez Colon"/>
    <s v="Complete"/>
    <s v="Resolved"/>
    <s v="3-Medium"/>
    <n v="4"/>
    <s v="23VG285"/>
    <s v="Repair-EA"/>
    <s v="OTC"/>
    <s v="V2500"/>
    <s v="V2500"/>
    <m/>
    <d v="2023-08-29T17:17:55"/>
    <d v="2023-12-08T05:00:00"/>
    <d v="2024-04-12T04:00:00"/>
    <x v="159"/>
    <d v="2024-04-08T18:07:39"/>
    <s v="Apr"/>
    <d v="2023-09-28T04:00:00"/>
    <d v="2023-10-06T04:00:00"/>
    <d v="2023-10-06T04:00:00"/>
    <d v="2024-01-31T05:00:00"/>
    <n v="8"/>
    <n v="117.04166666667152"/>
    <n v="125.04166666667152"/>
    <n v="218.44589120370074"/>
    <n v="93.404224537029222"/>
    <n v="0"/>
    <n v="0"/>
    <n v="0"/>
    <n v="0"/>
    <n v="0"/>
    <n v="0"/>
    <n v="0"/>
    <n v="0"/>
    <n v="0"/>
    <n v="218.44589120370074"/>
    <n v="93.404224537029222"/>
    <n v="117.95833333332848"/>
    <n v="0"/>
  </r>
  <r>
    <s v="Cases &amp; Composites"/>
    <s v="CAS-198103-P8B1G1"/>
    <s v="Tyler Abusbah"/>
    <s v="Complete"/>
    <s v="Resolved"/>
    <s v="3-Medium"/>
    <n v="4"/>
    <s v="24CC309"/>
    <s v="Repair-EA"/>
    <s v="OTC"/>
    <s v="PW1000G"/>
    <s v="AMO"/>
    <m/>
    <d v="2023-11-13T13:36:28"/>
    <d v="2024-04-10T04:00:00"/>
    <d v="2024-10-03T04:00:00"/>
    <x v="168"/>
    <d v="2024-09-17T19:16:46"/>
    <s v="TIC Inner Oct"/>
    <d v="2024-08-29T04:00:00"/>
    <d v="2024-08-29T04:00:00"/>
    <d v="2024-08-29T04:00:00"/>
    <d v="2024-09-12T04:00:00"/>
    <n v="0"/>
    <n v="14"/>
    <n v="14"/>
    <n v="308.59967592592147"/>
    <n v="294.59967592592147"/>
    <n v="0"/>
    <n v="0"/>
    <n v="0"/>
    <n v="0"/>
    <n v="0"/>
    <n v="90.972815821762197"/>
    <n v="0"/>
    <n v="0"/>
    <n v="90.972815821762197"/>
    <n v="217.62686010415928"/>
    <n v="203.62686010415928"/>
    <n v="160"/>
    <n v="0"/>
  </r>
  <r>
    <s v="Cases &amp; Composites"/>
    <s v="CAS-178536-C4R6D7"/>
    <s v="Tyler Abusbah"/>
    <s v="Complete"/>
    <s v="Resolved"/>
    <s v="3-Medium"/>
    <n v="4"/>
    <s v="24KC052"/>
    <s v="Repair-EA"/>
    <s v="OTC"/>
    <s v="PW4000"/>
    <s v="AMO"/>
    <m/>
    <d v="2023-04-26T10:54:17"/>
    <d v="2024-08-15T04:00:00"/>
    <d v="2024-10-24T04:00:00"/>
    <x v="257"/>
    <d v="2024-10-15T23:18:21"/>
    <s v="Oct"/>
    <d v="2024-01-05T05:00:00"/>
    <d v="2024-01-19T05:00:00"/>
    <d v="2024-01-19T05:00:00"/>
    <d v="2024-07-31T04:00:00"/>
    <n v="14"/>
    <n v="193.95833333332848"/>
    <n v="207.95833333332848"/>
    <n v="537.71230324073986"/>
    <n v="329.75396990741137"/>
    <n v="0"/>
    <n v="0"/>
    <n v="0"/>
    <n v="0"/>
    <n v="83"/>
    <n v="43"/>
    <n v="45"/>
    <n v="2"/>
    <n v="173"/>
    <n v="364.71230324073986"/>
    <n v="156.75396990741137"/>
    <n v="61"/>
    <n v="0"/>
  </r>
  <r>
    <s v="Cases &amp; Composites"/>
    <s v="CAS-211269-P7N1V8"/>
    <s v="Robert Thompson"/>
    <s v="Complete"/>
    <s v="Resolved"/>
    <s v="3-Medium"/>
    <n v="4"/>
    <s v="24CC887"/>
    <s v="Repair-EA"/>
    <s v="OTC"/>
    <s v="PW1000G"/>
    <s v="30K"/>
    <m/>
    <d v="2024-04-03T14:30:01"/>
    <d v="2024-05-01T04:00:00"/>
    <d v="2024-04-29T04:00:00"/>
    <x v="2"/>
    <d v="2024-04-30T18:39:02"/>
    <s v="FanR-Blade"/>
    <d v="2024-04-04T04:00:00"/>
    <d v="2024-04-08T04:00:00"/>
    <d v="2024-04-08T04:00:00"/>
    <d v="2024-04-15T04:00:00"/>
    <n v="4"/>
    <n v="7"/>
    <n v="11"/>
    <n v="26.56248842592322"/>
    <n v="15.56248842592322"/>
    <n v="0"/>
    <n v="0"/>
    <n v="0"/>
    <n v="0"/>
    <n v="0"/>
    <n v="0"/>
    <n v="0"/>
    <n v="0"/>
    <n v="0"/>
    <n v="26.56248842592322"/>
    <n v="15.56248842592322"/>
    <n v="-1"/>
    <n v="1"/>
  </r>
  <r>
    <s v="Cases &amp; Composites"/>
    <s v="CAS-209903-G9F6B0"/>
    <s v="Dean Catlett"/>
    <s v="Complete"/>
    <s v="Resolved"/>
    <s v="3-Medium"/>
    <n v="4"/>
    <s v="24KC260"/>
    <s v="Repair-EA"/>
    <s v="OTC"/>
    <s v="PW4000"/>
    <s v="OCE"/>
    <m/>
    <d v="2024-03-19T18:03:30"/>
    <d v="2024-06-28T04:00:00"/>
    <d v="2024-06-28T04:00:00"/>
    <x v="65"/>
    <d v="2024-06-14T02:25:54"/>
    <s v="June 2024 Commitment"/>
    <d v="2024-04-29T04:00:00"/>
    <d v="2024-04-29T04:00:00"/>
    <d v="2024-04-29T04:00:00"/>
    <d v="2024-05-30T04:00:00"/>
    <n v="0"/>
    <n v="31"/>
    <n v="31"/>
    <n v="86.414236111108039"/>
    <n v="55.414236111108039"/>
    <n v="0"/>
    <n v="0"/>
    <n v="0"/>
    <n v="0"/>
    <n v="13"/>
    <n v="0"/>
    <n v="0"/>
    <n v="0"/>
    <n v="13"/>
    <n v="73.414236111108039"/>
    <n v="42.414236111108039"/>
    <n v="-14"/>
    <n v="1"/>
  </r>
  <r>
    <s v="Cases &amp; Composites"/>
    <s v="CAS-215084-K2G4L4"/>
    <s v="Robert Thompson"/>
    <s v="Complete"/>
    <s v="Resolved"/>
    <s v="3-Medium"/>
    <n v="4"/>
    <s v="24KC352"/>
    <s v="Repair-EA"/>
    <s v="OTC"/>
    <s v="PW4000"/>
    <s v="AMO"/>
    <s v="75%"/>
    <d v="2024-05-16T11:53:28"/>
    <d v="2024-08-23T04:00:00"/>
    <d v="2024-09-16T04:00:00"/>
    <x v="319"/>
    <d v="2024-09-10T19:58:49"/>
    <m/>
    <d v="2024-06-20T04:00:00"/>
    <d v="2024-08-23T04:00:00"/>
    <d v="2024-08-23T04:00:00"/>
    <d v="2024-09-06T04:00:00"/>
    <n v="64"/>
    <n v="14"/>
    <n v="78"/>
    <n v="116.67120370369958"/>
    <n v="38.671203703699575"/>
    <n v="0"/>
    <n v="13"/>
    <n v="0"/>
    <n v="0"/>
    <n v="0"/>
    <n v="0"/>
    <n v="0"/>
    <n v="0"/>
    <n v="13"/>
    <n v="103.67120370369958"/>
    <n v="25.671203703699575"/>
    <n v="18"/>
    <n v="0"/>
  </r>
  <r>
    <s v="Cases &amp; Composites"/>
    <s v="CAS-182240-L0K8H7"/>
    <s v="Jia Chen"/>
    <s v="Complete"/>
    <s v="Active"/>
    <s v="3-Medium"/>
    <n v="5"/>
    <s v="23CCH59"/>
    <s v="Repair-EA"/>
    <s v="OTC"/>
    <s v="PW1000G"/>
    <s v="24K"/>
    <m/>
    <d v="2023-06-06T16:15:58"/>
    <d v="2023-09-21T04:00:00"/>
    <d v="2024-01-11T05:00:00"/>
    <x v="320"/>
    <d v="2024-01-09T16:37:52"/>
    <s v="JAN"/>
    <d v="2023-08-18T04:00:00"/>
    <d v="2023-08-23T04:00:00"/>
    <d v="2023-08-23T04:00:00"/>
    <d v="2023-11-21T05:00:00"/>
    <n v="5"/>
    <n v="90.041666666671517"/>
    <n v="95.041666666671517"/>
    <n v="216.53057870370685"/>
    <n v="121.48891203703533"/>
    <n v="0"/>
    <n v="0"/>
    <n v="0"/>
    <n v="0"/>
    <n v="0"/>
    <n v="0"/>
    <n v="0"/>
    <n v="0"/>
    <n v="0"/>
    <n v="216.53057870370685"/>
    <n v="121.48891203703533"/>
    <n v="110.04166666667152"/>
    <n v="0"/>
  </r>
  <r>
    <s v="Cases &amp; Composites"/>
    <s v="CAS-189770-Z1K2H2"/>
    <s v="Ferdin Mustafa"/>
    <s v="Complete"/>
    <s v="Resolved"/>
    <s v="3-Medium"/>
    <n v="5"/>
    <s v="23KC493"/>
    <s v="Repair-EA"/>
    <s v="OTC"/>
    <s v="PW4000"/>
    <s v="OCE"/>
    <m/>
    <d v="2023-08-23T06:28:20"/>
    <d v="2024-03-01T05:00:00"/>
    <d v="2024-03-01T05:00:00"/>
    <x v="33"/>
    <d v="2024-02-23T04:52:52"/>
    <s v="KAL ESN P729196"/>
    <d v="2023-09-11T04:00:00"/>
    <d v="2023-09-29T04:00:00"/>
    <d v="2023-09-29T04:00:00"/>
    <d v="2024-01-16T05:00:00"/>
    <n v="18"/>
    <n v="109.04166666667152"/>
    <n v="127.04166666667152"/>
    <n v="182.93865740740875"/>
    <n v="55.896990740737238"/>
    <n v="0"/>
    <n v="0"/>
    <n v="0"/>
    <n v="0"/>
    <n v="0"/>
    <n v="0"/>
    <n v="0"/>
    <n v="0"/>
    <n v="0"/>
    <n v="182.93865740740875"/>
    <n v="55.896990740737238"/>
    <n v="-8"/>
    <n v="1"/>
  </r>
  <r>
    <s v="Cases &amp; Composites"/>
    <s v="CAS-190423-P6S3R8"/>
    <s v="Tyler Abusbah"/>
    <s v="Complete"/>
    <s v="Resolved"/>
    <s v="3-Medium"/>
    <n v="5"/>
    <s v="23CCY08"/>
    <s v="Repair-EA"/>
    <s v="OTC"/>
    <s v="PW1000G"/>
    <s v="30K"/>
    <m/>
    <d v="2023-08-29T17:07:42"/>
    <d v="2024-01-18T05:00:00"/>
    <d v="2024-05-30T04:00:00"/>
    <x v="321"/>
    <d v="2024-05-29T16:32:00"/>
    <s v="TIC Inner - Dents"/>
    <d v="2023-12-15T05:00:00"/>
    <d v="2024-01-16T05:00:00"/>
    <d v="2024-01-16T05:00:00"/>
    <d v="2024-04-22T04:00:00"/>
    <n v="32"/>
    <n v="96.958333333328483"/>
    <n v="128.95833333332848"/>
    <n v="273.45298611110775"/>
    <n v="144.49465277777927"/>
    <n v="0"/>
    <n v="0"/>
    <n v="0"/>
    <n v="0"/>
    <n v="0"/>
    <n v="0"/>
    <n v="0"/>
    <n v="0"/>
    <n v="0"/>
    <n v="273.45298611110775"/>
    <n v="144.49465277777927"/>
    <n v="131.95833333332848"/>
    <n v="0"/>
  </r>
  <r>
    <s v="Cases &amp; Composites"/>
    <s v="CAS-196710-P7R1Z3"/>
    <s v="Pedro Iturrino"/>
    <s v="Complete"/>
    <s v="Resolved"/>
    <s v="3-Medium"/>
    <n v="5"/>
    <s v="24KC003"/>
    <s v="Repair-EA"/>
    <s v="OTC"/>
    <s v="PW4000"/>
    <s v="AMO"/>
    <m/>
    <d v="2023-10-30T15:11:45"/>
    <d v="2024-03-15T04:00:00"/>
    <d v="2024-06-14T04:00:00"/>
    <x v="321"/>
    <d v="2024-05-29T19:04:07"/>
    <m/>
    <d v="2024-04-25T04:00:00"/>
    <d v="2024-05-13T04:00:00"/>
    <d v="2024-05-13T04:00:00"/>
    <d v="2024-05-16T04:00:00"/>
    <n v="18"/>
    <n v="3"/>
    <n v="21"/>
    <n v="211.53350694444089"/>
    <n v="190.53350694444089"/>
    <n v="0"/>
    <n v="0"/>
    <n v="0"/>
    <n v="0"/>
    <n v="0"/>
    <n v="0"/>
    <n v="0"/>
    <n v="0"/>
    <n v="0"/>
    <n v="211.53350694444089"/>
    <n v="190.53350694444089"/>
    <n v="75"/>
    <n v="0"/>
  </r>
  <r>
    <s v="Cases &amp; Composites"/>
    <s v="CAS-184493-M5D2B6"/>
    <s v="Robert Thompson"/>
    <s v="Complete"/>
    <s v="Resolved"/>
    <s v="3-Medium"/>
    <n v="6"/>
    <s v="23CCJ88"/>
    <s v="Repair-EA"/>
    <s v="EM"/>
    <s v="PW1000G"/>
    <s v="24K"/>
    <m/>
    <d v="2023-06-28T15:21:50"/>
    <d v="2024-03-29T04:00:00"/>
    <d v="2024-05-17T04:00:00"/>
    <x v="138"/>
    <d v="2024-05-16T19:50:37"/>
    <m/>
    <m/>
    <m/>
    <m/>
    <m/>
    <s v=""/>
    <s v=""/>
    <n v="0"/>
    <n v="322.52650462962629"/>
    <n v="322.52650462962629"/>
    <n v="0"/>
    <n v="0"/>
    <n v="0"/>
    <n v="0"/>
    <n v="0"/>
    <n v="0"/>
    <n v="0"/>
    <n v="0"/>
    <n v="0"/>
    <n v="322.52650462962629"/>
    <n v="322.52650462962629"/>
    <n v="48"/>
    <n v="0"/>
  </r>
  <r>
    <s v="Cases &amp; Composites"/>
    <s v="CAS-200376-T3W8V8"/>
    <s v="Robert Thompson"/>
    <s v="Complete"/>
    <s v="Resolved"/>
    <s v="3-Medium"/>
    <n v="6"/>
    <s v="17CC450A"/>
    <s v="Repair-EA"/>
    <s v="EM"/>
    <s v="PW1000G"/>
    <s v="24K"/>
    <m/>
    <d v="2023-12-06T15:36:37"/>
    <d v="2024-02-23T05:00:00"/>
    <d v="2024-03-22T04:00:00"/>
    <x v="173"/>
    <d v="2024-03-18T12:18:48"/>
    <s v="Mar2"/>
    <m/>
    <m/>
    <m/>
    <m/>
    <s v=""/>
    <s v=""/>
    <n v="0"/>
    <n v="102.5162384259238"/>
    <n v="102.5162384259238"/>
    <n v="0"/>
    <n v="0"/>
    <n v="0"/>
    <n v="0"/>
    <n v="0"/>
    <n v="0"/>
    <n v="0"/>
    <n v="0"/>
    <n v="0"/>
    <n v="102.5162384259238"/>
    <n v="102.5162384259238"/>
    <n v="23.958333333328483"/>
    <n v="0"/>
  </r>
  <r>
    <s v="Cases &amp; Composites"/>
    <s v="CAS-206203-T9C9K7"/>
    <s v="Jia Chen"/>
    <s v="Complete"/>
    <s v="Resolved"/>
    <s v="3-Medium"/>
    <n v="6"/>
    <s v="24KC085"/>
    <s v="Repair-EA"/>
    <s v="OTC"/>
    <s v="PW4000"/>
    <s v="AMO"/>
    <m/>
    <d v="2024-02-08T20:19:46"/>
    <d v="2024-04-12T04:00:00"/>
    <d v="2024-05-20T04:00:00"/>
    <x v="322"/>
    <d v="2024-05-03T15:05:57"/>
    <s v="May"/>
    <d v="2024-02-22T05:00:00"/>
    <d v="2024-02-29T05:00:00"/>
    <d v="2024-02-29T05:00:00"/>
    <d v="2024-04-04T04:00:00"/>
    <n v="7"/>
    <n v="34.958333333328483"/>
    <n v="41.958333333328483"/>
    <n v="84.319606481476512"/>
    <n v="42.36127314814803"/>
    <n v="0"/>
    <n v="0"/>
    <n v="0"/>
    <n v="0"/>
    <n v="0"/>
    <n v="2"/>
    <n v="0"/>
    <n v="0"/>
    <n v="2"/>
    <n v="82.319606481476512"/>
    <n v="40.36127314814803"/>
    <n v="21"/>
    <n v="0"/>
  </r>
  <r>
    <s v="Cases &amp; Composites"/>
    <s v="CAS-209519-H6S3P4"/>
    <s v="Pedro Iturrino"/>
    <s v="Complete"/>
    <s v="Resolved"/>
    <s v="3-Medium"/>
    <n v="6"/>
    <s v="24VC111"/>
    <s v="Repair-EA"/>
    <s v="OTC"/>
    <s v="V2500"/>
    <s v="V2500"/>
    <m/>
    <d v="2024-03-14T16:29:02"/>
    <d v="2024-05-17T04:00:00"/>
    <d v="2024-05-17T04:00:00"/>
    <x v="85"/>
    <d v="2024-05-09T11:44:40"/>
    <s v="MAY"/>
    <d v="2024-03-28T04:00:00"/>
    <d v="2024-04-03T04:00:00"/>
    <d v="2024-04-03T04:00:00"/>
    <d v="2024-04-15T04:00:00"/>
    <n v="6"/>
    <n v="12"/>
    <n v="18"/>
    <n v="53.47983796295739"/>
    <n v="35.47983796295739"/>
    <n v="0"/>
    <n v="0"/>
    <n v="0"/>
    <n v="0"/>
    <n v="0"/>
    <n v="0"/>
    <n v="0"/>
    <n v="0"/>
    <n v="0"/>
    <n v="53.47983796295739"/>
    <n v="35.47983796295739"/>
    <n v="-10"/>
    <n v="1"/>
  </r>
  <r>
    <s v="Cases &amp; Composites"/>
    <s v="CAS-225449-F6K8S2"/>
    <s v="Jia Chen"/>
    <s v="Complete"/>
    <s v="Resolved"/>
    <s v="3-Medium"/>
    <n v="6"/>
    <s v="24VC343"/>
    <s v="Repair-EA"/>
    <s v="OTC"/>
    <s v="V2500"/>
    <s v="AMO"/>
    <s v="75%"/>
    <d v="2024-08-26T16:46:30"/>
    <d v="2025-01-30T05:00:00"/>
    <d v="2025-01-30T05:00:00"/>
    <x v="97"/>
    <d v="2025-01-10T15:03:33"/>
    <s v="Jan"/>
    <d v="2024-10-24T04:00:00"/>
    <d v="2024-11-05T05:00:00"/>
    <d v="2024-11-05T05:00:00"/>
    <d v="2024-11-26T05:00:00"/>
    <n v="12.041666666671517"/>
    <n v="21"/>
    <n v="33.041666666671517"/>
    <n v="135.50937500000146"/>
    <n v="102.46770833332994"/>
    <n v="13"/>
    <n v="1"/>
    <n v="0"/>
    <n v="0"/>
    <n v="0"/>
    <n v="0"/>
    <n v="0"/>
    <n v="0"/>
    <n v="14"/>
    <n v="121.50937500000146"/>
    <n v="88.467708333329938"/>
    <n v="-21"/>
    <n v="1"/>
  </r>
  <r>
    <s v="Cases &amp; Composites"/>
    <s v="CAS-150161-P2T8F7"/>
    <s v="Orlando Melendez Colon"/>
    <s v="Complete"/>
    <s v="Resolved"/>
    <s v="3-Medium"/>
    <n v="7"/>
    <s v="23VG045"/>
    <s v="Repair-EA"/>
    <s v="EM"/>
    <s v="V2500"/>
    <s v="V2500"/>
    <m/>
    <d v="2022-06-03T15:26:22"/>
    <d v="2023-06-29T04:00:00"/>
    <d v="2024-06-28T04:00:00"/>
    <x v="323"/>
    <d v="2024-06-18T19:06:55"/>
    <s v="Jun"/>
    <m/>
    <m/>
    <m/>
    <m/>
    <s v=""/>
    <s v=""/>
    <n v="0"/>
    <n v="744.52335648147709"/>
    <n v="744.52335648147709"/>
    <n v="0"/>
    <n v="0"/>
    <n v="0"/>
    <n v="0"/>
    <n v="0"/>
    <n v="0"/>
    <n v="0"/>
    <n v="0"/>
    <n v="0"/>
    <n v="744.52335648147709"/>
    <n v="744.52335648147709"/>
    <n v="354"/>
    <n v="0"/>
  </r>
  <r>
    <s v="Cases &amp; Composites"/>
    <s v="CAS-207647-N1B8M8"/>
    <s v="Robert Thompson"/>
    <s v="Complete"/>
    <s v="Resolved"/>
    <s v="3-Medium"/>
    <n v="7"/>
    <s v="24KC123"/>
    <s v="Repair-EA"/>
    <s v="EM"/>
    <s v="PW4000"/>
    <s v="AMO"/>
    <m/>
    <d v="2024-02-23T17:29:56"/>
    <d v="2024-04-30T04:00:00"/>
    <d v="2024-04-12T04:00:00"/>
    <x v="324"/>
    <d v="2024-04-12T19:17:18"/>
    <s v="Apr"/>
    <d v="2024-03-05T05:00:00"/>
    <d v="2024-04-02T04:00:00"/>
    <d v="2024-04-02T04:00:00"/>
    <d v="2024-04-04T04:00:00"/>
    <n v="27.958333333328483"/>
    <n v="2"/>
    <n v="29.958333333328483"/>
    <n v="48.437546296292567"/>
    <n v="18.479212962964084"/>
    <n v="0"/>
    <n v="0"/>
    <n v="0"/>
    <n v="0"/>
    <n v="0"/>
    <n v="0"/>
    <n v="0"/>
    <n v="0"/>
    <n v="0"/>
    <n v="48.437546296292567"/>
    <n v="18.479212962964084"/>
    <n v="-18"/>
    <n v="1"/>
  </r>
  <r>
    <s v="Cases &amp; Composites"/>
    <s v="CAS-221006-B7X0Q2"/>
    <s v="Jia Chen"/>
    <s v="Complete"/>
    <s v="Resolved"/>
    <s v="3-Medium"/>
    <n v="7"/>
    <s v="24KC520"/>
    <s v="Repair-EA"/>
    <s v="OTC"/>
    <s v="PW4000"/>
    <s v="AMO"/>
    <s v="50%"/>
    <d v="2024-07-12T20:26:55"/>
    <d v="2024-11-06T05:00:00"/>
    <d v="2024-11-06T05:00:00"/>
    <x v="281"/>
    <d v="2024-10-18T12:13:15"/>
    <s v="Oct"/>
    <d v="2024-09-16T04:00:00"/>
    <d v="2024-09-24T04:00:00"/>
    <d v="2024-09-24T04:00:00"/>
    <d v="2024-10-02T04:00:00"/>
    <n v="8"/>
    <n v="8"/>
    <n v="16"/>
    <n v="95.314641203702195"/>
    <n v="79.314641203702195"/>
    <n v="0"/>
    <n v="0"/>
    <n v="1"/>
    <n v="0"/>
    <n v="0"/>
    <n v="0"/>
    <n v="0"/>
    <n v="0"/>
    <n v="1"/>
    <n v="94.314641203702195"/>
    <n v="78.314641203702195"/>
    <n v="-21.041666666671517"/>
    <n v="1"/>
  </r>
  <r>
    <s v="Cases &amp; Composites"/>
    <s v="CAS-224557-W2Q3G6"/>
    <s v="Brian K Holland"/>
    <s v="Complete"/>
    <s v="Resolved"/>
    <s v="3-Medium"/>
    <n v="7"/>
    <s v="24CCT07"/>
    <s v="Repair-EA"/>
    <s v="OTC"/>
    <s v="PW1000G"/>
    <s v="AMO"/>
    <m/>
    <d v="2024-08-19T12:39:43"/>
    <d v="2024-10-30T04:00:00"/>
    <d v="2024-10-30T04:00:00"/>
    <x v="247"/>
    <d v="2024-11-12T21:14:45"/>
    <s v="FanR-Cone"/>
    <m/>
    <m/>
    <m/>
    <m/>
    <s v=""/>
    <s v=""/>
    <n v="0"/>
    <n v="84.680752314816345"/>
    <n v="84.680752314816345"/>
    <n v="0"/>
    <n v="0"/>
    <n v="0"/>
    <n v="0"/>
    <n v="0"/>
    <n v="0"/>
    <n v="0"/>
    <n v="0"/>
    <n v="0"/>
    <n v="84.680752314816345"/>
    <n v="84.680752314816345"/>
    <n v="13.041666666671517"/>
    <n v="0"/>
  </r>
  <r>
    <s v="Cases &amp; Composites"/>
    <s v="CAS-148402-Q9J3K8"/>
    <s v="Ferdin Mustafa"/>
    <s v="Complete"/>
    <s v="Resolved"/>
    <s v="3-Medium"/>
    <n v="8"/>
    <s v="23CCF86"/>
    <s v="Repair-EA"/>
    <s v="EM"/>
    <s v="PW800"/>
    <s v="17-24K"/>
    <m/>
    <d v="2022-05-11T20:33:57"/>
    <d v="2023-10-06T04:00:00"/>
    <d v="2024-04-22T04:00:00"/>
    <x v="75"/>
    <d v="2024-04-19T13:23:45"/>
    <s v="Apr - Add PW800 to EA14CC218 helicoil insert replacement OTC -"/>
    <m/>
    <m/>
    <m/>
    <m/>
    <s v=""/>
    <s v=""/>
    <n v="0"/>
    <n v="708.30975694444351"/>
    <n v="708.30975694444351"/>
    <n v="0"/>
    <n v="0"/>
    <n v="0"/>
    <n v="0"/>
    <n v="0"/>
    <n v="0"/>
    <n v="0"/>
    <n v="13.984562395839021"/>
    <n v="13.984562395839021"/>
    <n v="694.32519454860449"/>
    <n v="694.32519454860449"/>
    <n v="196"/>
    <n v="0"/>
  </r>
  <r>
    <s v="Cases &amp; Composites"/>
    <s v="CAS-202950-T4J8X6"/>
    <s v="Pedro Iturrino"/>
    <s v="Complete"/>
    <s v="Resolved"/>
    <s v="3-Medium"/>
    <n v="8"/>
    <s v="24KC033"/>
    <s v="Repair-EA"/>
    <s v="OTC"/>
    <s v="PW4000"/>
    <s v="AMO"/>
    <m/>
    <d v="2024-01-05T19:16:35"/>
    <d v="2024-04-16T04:00:00"/>
    <d v="2024-05-24T04:00:00"/>
    <x v="325"/>
    <d v="2024-05-15T19:33:52"/>
    <s v="MAY"/>
    <d v="2024-02-27T05:00:00"/>
    <d v="2024-02-29T05:00:00"/>
    <d v="2024-02-29T05:00:00"/>
    <d v="2024-02-29T05:00:00"/>
    <n v="2"/>
    <n v="0"/>
    <n v="2"/>
    <n v="129.36348379629635"/>
    <n v="127.36348379629635"/>
    <n v="0"/>
    <n v="0"/>
    <n v="0"/>
    <n v="0"/>
    <n v="0"/>
    <n v="0"/>
    <n v="0"/>
    <n v="0"/>
    <n v="0"/>
    <n v="129.36348379629635"/>
    <n v="127.36348379629635"/>
    <n v="28"/>
    <n v="0"/>
  </r>
  <r>
    <s v="Cases &amp; Composites"/>
    <n v="104660"/>
    <s v="Pedro Iturrino"/>
    <s v="Complete"/>
    <s v="Closed"/>
    <s v="3-Medium"/>
    <n v="8"/>
    <s v="24FC098"/>
    <s v="Repair-EA"/>
    <s v="OTC"/>
    <s v="PW2000"/>
    <s v="AMO"/>
    <m/>
    <d v="2024-03-12T04:00:00"/>
    <d v="2024-07-30T04:00:00"/>
    <d v="2024-06-07T04:00:00"/>
    <x v="110"/>
    <d v="2024-06-04T16:20:32"/>
    <s v="June"/>
    <d v="2024-04-03T04:00:00"/>
    <d v="2024-04-15T04:00:00"/>
    <d v="2024-04-15T04:00:00"/>
    <d v="2024-04-24T04:00:00"/>
    <n v="12"/>
    <n v="9"/>
    <n v="21"/>
    <n v="84"/>
    <n v="63"/>
    <n v="0"/>
    <n v="0"/>
    <n v="0"/>
    <n v="0"/>
    <n v="0"/>
    <n v="0"/>
    <n v="0"/>
    <n v="0"/>
    <n v="0"/>
    <n v="84"/>
    <n v="63"/>
    <n v="-56"/>
    <n v="1"/>
  </r>
  <r>
    <s v="Cases &amp; Composites"/>
    <s v="CAS-221395-Y2J4L0"/>
    <s v="Ferdin Mustafa"/>
    <s v="Complete"/>
    <s v="Resolved"/>
    <s v="3-Medium"/>
    <n v="8"/>
    <s v="24KC484"/>
    <s v="Repair-EA"/>
    <s v="OTC"/>
    <s v="PW4000"/>
    <s v="AMO"/>
    <s v="75%"/>
    <d v="2024-07-17T11:49:32"/>
    <d v="2025-01-07T05:00:00"/>
    <d v="2024-09-18T04:00:00"/>
    <x v="168"/>
    <d v="2024-09-18T01:14:04"/>
    <s v="September"/>
    <d v="2024-08-12T04:00:00"/>
    <d v="2024-08-12T04:00:00"/>
    <d v="2024-08-12T04:00:00"/>
    <d v="2024-08-29T04:00:00"/>
    <n v="0"/>
    <n v="17"/>
    <n v="17"/>
    <n v="61.673935185179289"/>
    <n v="44.673935185179289"/>
    <n v="0"/>
    <n v="0"/>
    <n v="0"/>
    <n v="0"/>
    <n v="0"/>
    <n v="0"/>
    <n v="0"/>
    <n v="0"/>
    <n v="0"/>
    <n v="61.673935185179289"/>
    <n v="44.673935185179289"/>
    <n v="-112.04166666667152"/>
    <n v="1"/>
  </r>
  <r>
    <s v="Cases &amp; Composites"/>
    <n v="107185"/>
    <s v="Jia Chen"/>
    <s v="Complete"/>
    <s v="Closed"/>
    <s v="3-Medium"/>
    <n v="8"/>
    <s v="24FC304"/>
    <s v="Repair-EA"/>
    <s v="OTC"/>
    <s v="PW2000"/>
    <s v="AMO"/>
    <s v="50%"/>
    <d v="2024-07-24T04:00:00"/>
    <d v="2024-11-05T05:00:00"/>
    <d v="2024-11-05T05:00:00"/>
    <x v="326"/>
    <d v="2024-10-07T21:03:39"/>
    <s v="Oct"/>
    <d v="2024-09-19T04:00:00"/>
    <d v="2024-09-25T04:00:00"/>
    <d v="2024-09-25T04:00:00"/>
    <d v="2024-09-27T04:00:00"/>
    <n v="6"/>
    <n v="2"/>
    <n v="8"/>
    <n v="75"/>
    <n v="67"/>
    <n v="4"/>
    <n v="0"/>
    <n v="0"/>
    <n v="0"/>
    <n v="4"/>
    <n v="0"/>
    <n v="0"/>
    <n v="0"/>
    <n v="8"/>
    <n v="67"/>
    <n v="59"/>
    <n v="-29.041666666671517"/>
    <n v="1"/>
  </r>
  <r>
    <s v="Cases &amp; Composites"/>
    <s v="CAS-188654-J5F6P8"/>
    <s v="Robert Thompson"/>
    <s v="Complete"/>
    <s v="Resolved"/>
    <s v="3-Medium"/>
    <n v="9"/>
    <s v="20KC162A"/>
    <s v="Repair-EA"/>
    <s v="EM"/>
    <s v="PW4000"/>
    <s v="AMO"/>
    <m/>
    <d v="2023-08-10T17:21:15"/>
    <d v="2023-09-27T04:00:00"/>
    <d v="2023-12-22T05:00:00"/>
    <x v="139"/>
    <d v="2024-01-03T21:36:30"/>
    <m/>
    <m/>
    <m/>
    <m/>
    <m/>
    <s v=""/>
    <s v=""/>
    <n v="0"/>
    <n v="145.48524305555475"/>
    <n v="145.48524305555475"/>
    <n v="0"/>
    <n v="0"/>
    <n v="0"/>
    <n v="0"/>
    <n v="0"/>
    <n v="0"/>
    <n v="0"/>
    <n v="0"/>
    <n v="0"/>
    <n v="145.48524305555475"/>
    <n v="145.48524305555475"/>
    <n v="98.041666666671517"/>
    <n v="0"/>
  </r>
  <r>
    <s v="Cases &amp; Composites"/>
    <n v="102680"/>
    <s v="Pedro Iturrino"/>
    <s v="Complete"/>
    <s v="Closed"/>
    <s v="3-Medium"/>
    <n v="9"/>
    <s v="24FC016"/>
    <s v="Repair-EA"/>
    <s v="OTC"/>
    <s v="PW2000"/>
    <s v="AMO"/>
    <m/>
    <d v="2023-11-30T05:00:00"/>
    <d v="2024-05-14T04:00:00"/>
    <d v="2024-07-31T04:00:00"/>
    <x v="92"/>
    <d v="2024-07-31T15:02:53"/>
    <s v="July"/>
    <d v="2024-01-26T05:00:00"/>
    <d v="2024-02-07T05:00:00"/>
    <d v="2024-02-07T05:00:00"/>
    <d v="2024-05-24T04:00:00"/>
    <n v="12"/>
    <n v="106.95833333332848"/>
    <n v="118.95833333332848"/>
    <n v="243.95833333332848"/>
    <n v="125"/>
    <n v="0"/>
    <n v="0"/>
    <n v="0"/>
    <n v="0"/>
    <n v="0"/>
    <n v="0"/>
    <n v="0"/>
    <n v="0"/>
    <n v="0"/>
    <n v="243.95833333332848"/>
    <n v="125"/>
    <n v="78"/>
    <n v="0"/>
  </r>
  <r>
    <s v="Cases &amp; Composites"/>
    <s v="CAS-190328-J7B7P5"/>
    <s v="Ferdin Mustafa"/>
    <s v="Complete"/>
    <s v="Resolved"/>
    <s v="3-Medium"/>
    <n v="9"/>
    <s v="24KC285"/>
    <s v="Repair-EA"/>
    <s v="OTC"/>
    <s v="PW4000"/>
    <s v="AMO"/>
    <m/>
    <d v="2023-09-06T14:30:00"/>
    <d v="2024-07-02T04:00:00"/>
    <d v="2024-09-10T04:00:00"/>
    <x v="312"/>
    <d v="2024-09-05T18:44:41"/>
    <s v="September"/>
    <d v="2024-01-11T05:00:00"/>
    <d v="2024-05-03T04:00:00"/>
    <d v="2024-05-03T04:00:00"/>
    <d v="2024-06-24T04:00:00"/>
    <n v="112.95833333332848"/>
    <n v="52"/>
    <n v="164.95833333332848"/>
    <n v="364.5625"/>
    <n v="199.60416666667152"/>
    <n v="0"/>
    <n v="0"/>
    <n v="0"/>
    <n v="0"/>
    <n v="0"/>
    <n v="55"/>
    <n v="0"/>
    <n v="0"/>
    <n v="55"/>
    <n v="309.5625"/>
    <n v="144.60416666667152"/>
    <n v="65"/>
    <n v="0"/>
  </r>
  <r>
    <s v="Cases &amp; Composites"/>
    <s v="CAS-197927-M7N5J8"/>
    <s v="Ferdin Mustafa"/>
    <s v="Complete"/>
    <s v="Resolved"/>
    <s v="3-Medium"/>
    <n v="9"/>
    <s v="24KC048"/>
    <s v="Repair-EA"/>
    <s v="OTC"/>
    <s v="PW4000"/>
    <s v="AMO"/>
    <m/>
    <d v="2023-11-10T13:59:44"/>
    <d v="2024-04-11T04:00:00"/>
    <d v="2024-04-11T04:00:00"/>
    <x v="117"/>
    <d v="2024-03-21T01:32:51"/>
    <m/>
    <d v="2024-01-11T05:00:00"/>
    <d v="2024-01-17T05:00:00"/>
    <d v="2024-01-17T05:00:00"/>
    <d v="2024-02-27T05:00:00"/>
    <n v="6"/>
    <n v="41"/>
    <n v="47"/>
    <n v="130.5835185185133"/>
    <n v="83.583518518513301"/>
    <n v="0"/>
    <n v="0"/>
    <n v="0"/>
    <n v="0"/>
    <n v="0"/>
    <n v="0"/>
    <n v="0"/>
    <n v="0"/>
    <n v="0"/>
    <n v="130.5835185185133"/>
    <n v="83.583518518513301"/>
    <n v="-22"/>
    <n v="1"/>
  </r>
  <r>
    <s v="Cases &amp; Composites"/>
    <s v="CAS-231518-B0W3L1"/>
    <s v="Brian K Holland"/>
    <s v="Complete"/>
    <s v="Resolved"/>
    <s v="3-Medium"/>
    <n v="9"/>
    <s v="24KC692"/>
    <s v="Repair-EA"/>
    <s v="EM"/>
    <s v="PW4000"/>
    <s v="AMO"/>
    <s v="75%"/>
    <d v="2024-10-21T15:20:36"/>
    <d v="2024-11-29T05:00:00"/>
    <d v="2024-11-29T05:00:00"/>
    <x v="184"/>
    <d v="2024-12-03T12:40:09"/>
    <m/>
    <m/>
    <m/>
    <m/>
    <m/>
    <s v=""/>
    <s v=""/>
    <n v="0"/>
    <n v="41.569027777783049"/>
    <n v="41.569027777783049"/>
    <n v="0"/>
    <n v="0"/>
    <n v="0"/>
    <n v="0"/>
    <n v="0"/>
    <n v="0"/>
    <n v="0"/>
    <n v="0"/>
    <n v="0"/>
    <n v="41.569027777783049"/>
    <n v="41.569027777783049"/>
    <n v="3"/>
    <n v="0"/>
  </r>
  <r>
    <s v="Cases &amp; Composites"/>
    <s v="MSG-231025-8D1C23"/>
    <s v="Ferdin Mustafa"/>
    <s v="Complete"/>
    <s v="Complete"/>
    <s v="3-Medium"/>
    <n v="10"/>
    <s v="23CCT88"/>
    <s v="Repair-EA"/>
    <s v="EM"/>
    <s v="PW800"/>
    <s v="17-24K"/>
    <m/>
    <d v="2023-10-25T04:00:00"/>
    <d v="2024-05-16T04:00:00"/>
    <d v="2024-07-08T04:00:00"/>
    <x v="6"/>
    <d v="2024-08-26T19:12:51"/>
    <s v="August - Create a companion EA to remove and replace the locking inserts on the PW812 ODC. "/>
    <m/>
    <m/>
    <m/>
    <m/>
    <s v=""/>
    <s v=""/>
    <n v="0"/>
    <n v="306"/>
    <n v="306"/>
    <n v="0"/>
    <n v="0"/>
    <n v="0"/>
    <n v="0"/>
    <n v="0"/>
    <n v="0"/>
    <n v="0"/>
    <n v="0"/>
    <n v="0"/>
    <n v="306"/>
    <n v="306"/>
    <n v="102"/>
    <n v="0"/>
  </r>
  <r>
    <s v="Cases &amp; Composites"/>
    <s v="CAS-212750-T3V4R5"/>
    <s v="Robert Thompson"/>
    <s v="Complete"/>
    <s v="Resolved"/>
    <s v="3-Medium"/>
    <n v="10"/>
    <s v="24KC265"/>
    <s v="Repair-EA"/>
    <s v="Discretionary"/>
    <s v="PW4000"/>
    <s v="AMO"/>
    <s v="75%"/>
    <d v="2024-04-18T12:49:43"/>
    <d v="2024-05-29T04:00:00"/>
    <d v="2024-08-14T04:00:00"/>
    <x v="289"/>
    <d v="2024-08-12T14:26:57"/>
    <s v="August"/>
    <d v="2024-05-07T04:00:00"/>
    <d v="2024-05-07T04:00:00"/>
    <d v="2024-05-07T04:00:00"/>
    <d v="2024-06-19T04:00:00"/>
    <n v="0"/>
    <n v="43"/>
    <n v="43"/>
    <n v="111.63214120369958"/>
    <n v="68.632141203699575"/>
    <n v="0"/>
    <n v="0"/>
    <n v="0"/>
    <n v="0"/>
    <n v="0"/>
    <n v="23"/>
    <n v="0"/>
    <n v="0"/>
    <n v="23"/>
    <n v="88.632141203699575"/>
    <n v="45.632141203699575"/>
    <n v="71"/>
    <n v="0"/>
  </r>
  <r>
    <s v="Cases &amp; Composites"/>
    <s v="CAS-203327-X3F3Z7"/>
    <s v="Jia Chen"/>
    <s v="Complete"/>
    <s v="Resolved"/>
    <s v="3-Medium"/>
    <n v="11"/>
    <s v="19KC208A"/>
    <s v="Repair-EA"/>
    <s v="OTC"/>
    <s v="PW4000"/>
    <s v="AMO"/>
    <m/>
    <d v="2024-01-10T20:51:19"/>
    <d v="2024-02-15T05:00:00"/>
    <d v="2024-01-31T05:00:00"/>
    <x v="104"/>
    <d v="2024-01-23T20:52:06"/>
    <s v="ref. EA19KC208"/>
    <m/>
    <m/>
    <m/>
    <m/>
    <s v=""/>
    <s v=""/>
    <n v="0"/>
    <n v="12.339363425926422"/>
    <n v="12.339363425926422"/>
    <n v="0"/>
    <n v="0"/>
    <n v="0"/>
    <n v="0"/>
    <n v="0"/>
    <n v="0"/>
    <n v="0"/>
    <n v="0"/>
    <n v="0"/>
    <n v="12.339363425926422"/>
    <n v="12.339363425926422"/>
    <n v="-23"/>
    <n v="1"/>
  </r>
  <r>
    <s v="Cases &amp; Composites"/>
    <s v="MSG-240425-917379"/>
    <s v="Robert Thompson"/>
    <s v="Complete"/>
    <s v="Complete"/>
    <s v="3-Medium"/>
    <n v="11"/>
    <s v="24CCB60"/>
    <s v="Repair-EA"/>
    <s v="EM"/>
    <s v="PW1000G"/>
    <s v="24K"/>
    <s v="75%"/>
    <d v="2024-04-25T04:00:00"/>
    <d v="2024-07-19T04:00:00"/>
    <d v="2024-08-21T04:00:00"/>
    <x v="315"/>
    <d v="2024-08-20T20:08:23"/>
    <s v="create a CIR repair similar to 24CCA00, 24CC837, and RTN17CC494A"/>
    <m/>
    <m/>
    <m/>
    <m/>
    <s v=""/>
    <s v=""/>
    <n v="0"/>
    <n v="117"/>
    <n v="117"/>
    <n v="0"/>
    <n v="0"/>
    <n v="0"/>
    <n v="0"/>
    <n v="0"/>
    <n v="0"/>
    <n v="0"/>
    <n v="0"/>
    <n v="0"/>
    <n v="117"/>
    <n v="117"/>
    <n v="32"/>
    <n v="0"/>
  </r>
  <r>
    <s v="Cases &amp; Composites"/>
    <s v="MSG-231018-74799E"/>
    <s v="Robert Thompson"/>
    <s v="Complete"/>
    <s v="Complete"/>
    <s v="3-Medium"/>
    <n v="12"/>
    <s v="21CCG57B"/>
    <s v="Repair-EA"/>
    <s v="EM"/>
    <s v="PW1000G"/>
    <s v="24K"/>
    <m/>
    <d v="2023-10-18T04:00:00"/>
    <d v="2024-02-16T05:00:00"/>
    <d v="2024-02-29T05:00:00"/>
    <x v="327"/>
    <d v="2024-03-04T15:30:23"/>
    <s v="(Mar1.)Develop a Scrape repair on the Leading Edge KOZ for Fan blade"/>
    <d v="2023-11-13T05:00:00"/>
    <d v="2023-11-13T05:00:00"/>
    <d v="2023-11-13T05:00:00"/>
    <d v="2023-11-15T05:00:00"/>
    <n v="0"/>
    <n v="2"/>
    <n v="2"/>
    <n v="135.04166666667152"/>
    <n v="133.04166666667152"/>
    <n v="0"/>
    <n v="0"/>
    <n v="0"/>
    <n v="0"/>
    <n v="0"/>
    <n v="0"/>
    <n v="0"/>
    <n v="0"/>
    <n v="0"/>
    <n v="135.04166666667152"/>
    <n v="133.04166666667152"/>
    <n v="14"/>
    <n v="0"/>
  </r>
  <r>
    <s v="Cases &amp; Composites"/>
    <s v="CAS-194101-H0Q1P8"/>
    <s v="Pedro Iturrino"/>
    <s v="Complete"/>
    <s v="Resolved"/>
    <s v="3-Medium"/>
    <n v="13"/>
    <s v="23KC216A"/>
    <s v="Repair-EA"/>
    <s v="OTC"/>
    <s v="PW4000"/>
    <s v="AMO"/>
    <m/>
    <d v="2023-10-04T15:54:21"/>
    <d v="2023-12-22T05:00:00"/>
    <d v="2024-01-24T05:00:00"/>
    <x v="309"/>
    <d v="2024-01-19T17:01:33"/>
    <s v="JAN"/>
    <d v="2023-11-08T05:00:00"/>
    <d v="2023-12-01T05:00:00"/>
    <d v="2023-12-01T05:00:00"/>
    <d v="2023-12-12T05:00:00"/>
    <n v="23"/>
    <n v="11"/>
    <n v="34"/>
    <n v="106.54559027778305"/>
    <n v="72.545590277783049"/>
    <n v="0"/>
    <n v="0"/>
    <n v="0"/>
    <n v="0"/>
    <n v="0"/>
    <n v="0"/>
    <n v="0"/>
    <n v="0"/>
    <n v="0"/>
    <n v="106.54559027778305"/>
    <n v="72.545590277783049"/>
    <n v="28"/>
    <n v="0"/>
  </r>
  <r>
    <s v="Cases &amp; Composites"/>
    <s v="CAS-208467-F4R0B7"/>
    <s v="Robert Thompson"/>
    <s v="Complete"/>
    <s v="Resolved"/>
    <s v="3-Medium"/>
    <n v="13"/>
    <s v="13CC672B"/>
    <s v="Repair-EA"/>
    <s v="EM"/>
    <s v="PW1000G"/>
    <s v="24K"/>
    <m/>
    <d v="2024-03-04T14:50:59"/>
    <d v="2024-03-29T04:00:00"/>
    <d v="2024-04-11T04:00:00"/>
    <x v="324"/>
    <d v="2024-04-15T12:36:48"/>
    <s v="Apr"/>
    <m/>
    <m/>
    <m/>
    <m/>
    <s v=""/>
    <s v=""/>
    <n v="0"/>
    <n v="38.547928240739566"/>
    <n v="38.547928240739566"/>
    <n v="0"/>
    <n v="0"/>
    <n v="0"/>
    <n v="0"/>
    <n v="0"/>
    <n v="0"/>
    <n v="0"/>
    <n v="0"/>
    <n v="0"/>
    <n v="38.547928240739566"/>
    <n v="38.547928240739566"/>
    <n v="14"/>
    <n v="0"/>
  </r>
  <r>
    <s v="Cases &amp; Composites"/>
    <n v="95804"/>
    <s v="Jia Chen"/>
    <s v="Complete"/>
    <s v="Open"/>
    <s v="3-Medium"/>
    <n v="14"/>
    <s v="23FC379"/>
    <s v="Repair-EA"/>
    <s v="OTC"/>
    <s v="PW2000"/>
    <s v="AMO"/>
    <m/>
    <d v="2022-12-19T05:00:00"/>
    <d v="2024-01-15T05:00:00"/>
    <d v="2024-01-25T05:00:00"/>
    <x v="104"/>
    <d v="2024-01-23T18:56:44"/>
    <s v="JAN. Equivalent Eaglenet CAS-168582-W2W5G6"/>
    <m/>
    <m/>
    <m/>
    <m/>
    <s v=""/>
    <s v=""/>
    <n v="0"/>
    <n v="400"/>
    <n v="400"/>
    <n v="0"/>
    <n v="0"/>
    <n v="0"/>
    <n v="0"/>
    <n v="0"/>
    <n v="0"/>
    <n v="0"/>
    <n v="0"/>
    <n v="0"/>
    <n v="400"/>
    <n v="400"/>
    <n v="8"/>
    <n v="0"/>
  </r>
  <r>
    <s v="Cases &amp; Composites"/>
    <s v="CAS-147632-G2F3W5"/>
    <s v="Ferdin Mustafa"/>
    <s v="Complete"/>
    <s v="Resolved"/>
    <s v="3-Medium"/>
    <m/>
    <s v="22FC129"/>
    <s v="Repair-EA"/>
    <s v="EM"/>
    <s v="PW2000"/>
    <s v="OCE"/>
    <m/>
    <d v="2022-05-04T14:13:12"/>
    <d v="2024-07-10T04:00:00"/>
    <d v="2024-07-10T04:00:00"/>
    <x v="328"/>
    <d v="2024-06-28T18:28:10"/>
    <s v="June"/>
    <d v="2022-05-09T04:00:00"/>
    <d v="2022-06-09T04:00:00"/>
    <d v="2022-06-09T04:00:00"/>
    <d v="2022-11-30T05:00:00"/>
    <n v="31"/>
    <n v="174.04166666667152"/>
    <n v="205.04166666667152"/>
    <n v="784.57416666666541"/>
    <n v="579.53249999999389"/>
    <n v="0"/>
    <n v="0"/>
    <n v="0"/>
    <n v="0"/>
    <n v="0"/>
    <n v="0"/>
    <n v="0"/>
    <n v="0"/>
    <n v="0"/>
    <n v="784.57416666666541"/>
    <n v="579.53249999999389"/>
    <n v="-13"/>
    <n v="1"/>
  </r>
  <r>
    <s v="Cases &amp; Composites"/>
    <s v="CAS-171328-L1N6V2"/>
    <s v="Robert Thompson"/>
    <s v="Complete"/>
    <s v="Resolved"/>
    <s v="3-Medium"/>
    <m/>
    <s v="17CC823B"/>
    <s v="Repair-EA"/>
    <s v="EM"/>
    <s v="PW1000G"/>
    <s v="24K"/>
    <m/>
    <d v="2023-02-13T02:03:44"/>
    <d v="2024-08-30T04:00:00"/>
    <d v="2024-10-31T04:00:00"/>
    <x v="187"/>
    <d v="2024-11-21T14:42:00"/>
    <m/>
    <m/>
    <m/>
    <m/>
    <m/>
    <s v=""/>
    <s v=""/>
    <n v="0"/>
    <n v="640.12240740741254"/>
    <n v="640.12240740741254"/>
    <n v="0"/>
    <n v="0"/>
    <n v="0"/>
    <n v="0"/>
    <n v="0"/>
    <n v="0"/>
    <n v="0"/>
    <n v="0"/>
    <n v="0"/>
    <n v="640.12240740741254"/>
    <n v="640.12240740741254"/>
    <n v="76.041666666671517"/>
    <n v="0"/>
  </r>
  <r>
    <s v="Cases &amp; Composites"/>
    <s v="MSG-231003-EC44B9"/>
    <s v="Ferdin Mustafa"/>
    <s v="Complete"/>
    <s v="Complete"/>
    <s v="3-Medium"/>
    <m/>
    <s v="23CCX41"/>
    <s v="Repair-EA"/>
    <s v="EM"/>
    <s v="PW1000G"/>
    <s v="PIP"/>
    <m/>
    <d v="2023-10-03T04:00:00"/>
    <d v="2024-05-28T04:00:00"/>
    <d v="2024-10-23T04:00:00"/>
    <x v="294"/>
    <d v="2024-10-21T20:17:13"/>
    <s v="October - Evaluate and substantiate continued viability of subject Cat3a DMCs in EM manual PN 5316992 for applicability GTFA models and run parameters. Ensure 310A and 361A repairable limits are within requirements and evaluate options for limit expa"/>
    <m/>
    <m/>
    <m/>
    <m/>
    <s v=""/>
    <s v=""/>
    <n v="0"/>
    <n v="384"/>
    <n v="384"/>
    <n v="0"/>
    <n v="0"/>
    <n v="0"/>
    <n v="0"/>
    <n v="0"/>
    <n v="0"/>
    <n v="0"/>
    <n v="0"/>
    <n v="0"/>
    <n v="384"/>
    <n v="384"/>
    <n v="146"/>
    <n v="0"/>
  </r>
  <r>
    <s v="Cases &amp; Composites"/>
    <s v="CAS-188278-C5C9R1"/>
    <s v="Orlando Melendez Colon"/>
    <s v="Complete"/>
    <s v="Resolved"/>
    <s v="3-Medium"/>
    <m/>
    <s v="23VG336"/>
    <s v="Repair-EA"/>
    <s v="OTC"/>
    <s v="V2500"/>
    <s v="V2500"/>
    <m/>
    <d v="2023-08-07T13:28:19"/>
    <d v="2024-01-19T05:00:00"/>
    <d v="2024-04-26T04:00:00"/>
    <x v="35"/>
    <d v="2024-04-25T03:07:01"/>
    <s v="April"/>
    <d v="2023-12-13T05:00:00"/>
    <d v="2024-01-17T05:00:00"/>
    <d v="2024-01-17T05:00:00"/>
    <d v="2024-01-17T05:00:00"/>
    <n v="35"/>
    <n v="0"/>
    <n v="35"/>
    <n v="260.6053356481425"/>
    <n v="225.6053356481425"/>
    <n v="0"/>
    <n v="0"/>
    <n v="0"/>
    <n v="0"/>
    <n v="0"/>
    <n v="26"/>
    <n v="0"/>
    <n v="0"/>
    <n v="26"/>
    <n v="234.6053356481425"/>
    <n v="199.6053356481425"/>
    <n v="95.958333333328483"/>
    <n v="0"/>
  </r>
  <r>
    <s v="Cases &amp; Composites"/>
    <s v="MSG-231005-F3894C"/>
    <s v="Orlando Melendez Colon"/>
    <s v="Complete"/>
    <s v="Complete"/>
    <s v="3-Medium"/>
    <m/>
    <s v="23VC481"/>
    <s v="Repair-EA"/>
    <s v="EM"/>
    <s v="V2500"/>
    <s v="V2500"/>
    <m/>
    <d v="2023-10-05T04:00:00"/>
    <d v="2024-01-19T05:00:00"/>
    <d v="2024-05-03T04:00:00"/>
    <x v="2"/>
    <d v="2024-05-03T15:22:26"/>
    <m/>
    <m/>
    <m/>
    <m/>
    <m/>
    <s v=""/>
    <s v=""/>
    <n v="0"/>
    <n v="208"/>
    <n v="208"/>
    <n v="0"/>
    <n v="0"/>
    <n v="0"/>
    <n v="0"/>
    <n v="0"/>
    <n v="0"/>
    <n v="0"/>
    <n v="0"/>
    <n v="0"/>
    <n v="208"/>
    <n v="208"/>
    <n v="101.95833333332848"/>
    <n v="0"/>
  </r>
  <r>
    <s v="Cases &amp; Composites"/>
    <s v="CAS-196553-R6F6Z1"/>
    <s v="Robert Thompson"/>
    <s v="Complete"/>
    <s v="Resolved"/>
    <s v="3-Medium"/>
    <m/>
    <s v="15CCF90H"/>
    <s v="Repair-EA"/>
    <s v="EM"/>
    <s v="PW1000G"/>
    <s v="30K"/>
    <m/>
    <d v="2023-10-27T19:48:13"/>
    <d v="2024-03-15T04:00:00"/>
    <d v="2024-03-28T04:00:00"/>
    <x v="81"/>
    <d v="2024-03-25T18:56:50"/>
    <s v="Mar2FanR-Blade"/>
    <m/>
    <m/>
    <m/>
    <m/>
    <s v=""/>
    <s v=""/>
    <n v="0"/>
    <n v="149.34151620369812"/>
    <n v="149.34151620369812"/>
    <n v="0"/>
    <n v="0"/>
    <n v="0"/>
    <n v="0"/>
    <n v="0"/>
    <n v="0"/>
    <n v="0"/>
    <n v="0"/>
    <n v="0"/>
    <n v="149.34151620369812"/>
    <n v="149.34151620369812"/>
    <n v="10"/>
    <n v="0"/>
  </r>
  <r>
    <s v="Cases &amp; Composites"/>
    <s v="CAS-201595-K8H8V1"/>
    <s v="Robert Thompson"/>
    <s v="Complete"/>
    <s v="Resolved"/>
    <s v="3-Medium"/>
    <m/>
    <s v="23CCN72A"/>
    <s v="Repair-EA"/>
    <s v="EM"/>
    <s v="PW1000G"/>
    <s v="30K"/>
    <m/>
    <d v="2023-12-19T08:03:35"/>
    <d v="2024-05-28T04:00:00"/>
    <d v="2024-05-31T04:00:00"/>
    <x v="89"/>
    <d v="2024-05-31T18:47:11"/>
    <s v="Fan Exit Fairing"/>
    <d v="2024-02-12T05:00:00"/>
    <d v="2024-02-12T05:00:00"/>
    <d v="2024-02-12T05:00:00"/>
    <d v="2024-02-13T05:00:00"/>
    <n v="0"/>
    <n v="1"/>
    <n v="1"/>
    <n v="163.83084490740293"/>
    <n v="162.83084490740293"/>
    <n v="0"/>
    <n v="0"/>
    <n v="0"/>
    <n v="0"/>
    <n v="0"/>
    <n v="0"/>
    <n v="0"/>
    <n v="0"/>
    <n v="0"/>
    <n v="163.83084490740293"/>
    <n v="162.83084490740293"/>
    <n v="3"/>
    <n v="0"/>
  </r>
  <r>
    <s v="Cases &amp; Composites"/>
    <s v="MSG-231220-D8267F"/>
    <s v="Robert Thompson"/>
    <s v="Complete"/>
    <s v="Complete"/>
    <s v="3-Medium"/>
    <m/>
    <s v="23CCN24A"/>
    <s v="Repair-EA"/>
    <s v="EM"/>
    <s v="PW1000G"/>
    <s v="30K"/>
    <m/>
    <d v="2023-12-20T05:00:00"/>
    <d v="2024-05-28T04:00:00"/>
    <d v="2024-06-12T04:00:00"/>
    <x v="121"/>
    <d v="2024-06-11T18:04:43"/>
    <s v="JuneFan Exit Fairing Left"/>
    <d v="2024-02-12T05:00:00"/>
    <d v="2024-02-12T05:00:00"/>
    <d v="2024-02-12T05:00:00"/>
    <d v="2024-02-13T05:00:00"/>
    <n v="0"/>
    <n v="1"/>
    <n v="1"/>
    <n v="172.95833333332848"/>
    <n v="171.95833333332848"/>
    <n v="0"/>
    <n v="0"/>
    <n v="0"/>
    <n v="0"/>
    <n v="0"/>
    <n v="0"/>
    <n v="0"/>
    <n v="0"/>
    <n v="0"/>
    <n v="172.95833333332848"/>
    <n v="171.95833333332848"/>
    <n v="13"/>
    <n v="0"/>
  </r>
  <r>
    <s v="Cases &amp; Composites"/>
    <s v="CAS-203204-V4V8L7"/>
    <s v="Tyler Abusbah"/>
    <s v="Complete"/>
    <s v="Resolved"/>
    <s v="3-Medium"/>
    <m/>
    <s v="24CC077"/>
    <s v="Repair-EA"/>
    <s v="OTC"/>
    <s v="PW1000G"/>
    <s v="30K"/>
    <m/>
    <d v="2024-01-09T17:36:27"/>
    <d v="2024-03-07T05:00:00"/>
    <d v="2024-09-12T04:00:00"/>
    <x v="285"/>
    <d v="2024-08-30T17:46:19"/>
    <s v="TIC Inner. Sept"/>
    <d v="2024-01-11T05:00:00"/>
    <d v="2024-05-07T04:00:00"/>
    <d v="2024-05-07T04:00:00"/>
    <d v="2024-05-17T04:00:00"/>
    <n v="116.95833333332848"/>
    <n v="10"/>
    <n v="126.95833333332848"/>
    <n v="233.43302083333401"/>
    <n v="106.47468750000553"/>
    <n v="0"/>
    <n v="0"/>
    <n v="0"/>
    <n v="0"/>
    <n v="0"/>
    <n v="0"/>
    <n v="0"/>
    <n v="0"/>
    <n v="0"/>
    <n v="233.43302083333401"/>
    <n v="106.47468750000553"/>
    <n v="175.95833333332848"/>
    <n v="0"/>
  </r>
  <r>
    <s v="Cases &amp; Composites"/>
    <s v="MSG-240222-99D6CC"/>
    <s v="Robert Thompson"/>
    <s v="Complete"/>
    <s v="Complete"/>
    <s v="3-Medium"/>
    <m/>
    <s v="24CC604"/>
    <s v="Repair-EA"/>
    <s v="EM"/>
    <s v="PW1000G"/>
    <s v="PIP"/>
    <m/>
    <d v="2024-02-22T05:00:00"/>
    <d v="2024-06-28T04:00:00"/>
    <d v="2024-05-23T04:00:00"/>
    <x v="329"/>
    <d v="2024-05-28T13:58:12"/>
    <s v="Evaluate and substantiate continued viability of subject DMCs in CIR manual PN 5315653 for applicability GTFA models and run parameters.  Make updates to repair encompassing latest best practices. See comments for task details."/>
    <d v="2024-03-11T04:00:00"/>
    <d v="2024-03-26T04:00:00"/>
    <d v="2024-03-26T04:00:00"/>
    <d v="2024-04-22T04:00:00"/>
    <n v="15"/>
    <n v="27"/>
    <n v="42"/>
    <n v="95.958333333328483"/>
    <n v="53.958333333328483"/>
    <n v="0"/>
    <n v="0"/>
    <n v="0"/>
    <n v="0"/>
    <n v="0"/>
    <n v="0"/>
    <n v="0"/>
    <n v="0"/>
    <n v="0"/>
    <n v="95.958333333328483"/>
    <n v="53.958333333328483"/>
    <n v="-31"/>
    <n v="1"/>
  </r>
  <r>
    <s v="Cases &amp; Composites"/>
    <s v="MSG-240222-FC795D"/>
    <s v="Robert Thompson"/>
    <s v="Complete"/>
    <s v="Complete"/>
    <s v="3-Medium"/>
    <m/>
    <s v="24CC663"/>
    <s v="Repair-EA"/>
    <s v="EM"/>
    <s v="PW1000G"/>
    <s v="PIP"/>
    <m/>
    <d v="2024-02-22T05:00:00"/>
    <d v="2024-07-12T04:00:00"/>
    <d v="2024-05-31T04:00:00"/>
    <x v="321"/>
    <d v="2024-05-29T13:50:47"/>
    <s v="MayEvaluate and substantiate continued viability of subject DMCs in CIR manual PN 5315653 for applicability GTFA models and run parameters.  Make updates to repair encompassing latest best practices. See comments for task details."/>
    <d v="2024-03-19T04:00:00"/>
    <d v="2024-03-26T04:00:00"/>
    <d v="2024-03-26T04:00:00"/>
    <d v="2024-04-22T04:00:00"/>
    <n v="7"/>
    <n v="27"/>
    <n v="34"/>
    <n v="96.958333333328483"/>
    <n v="62.958333333328483"/>
    <n v="0"/>
    <n v="0"/>
    <n v="0"/>
    <n v="0"/>
    <n v="0"/>
    <n v="0"/>
    <n v="0"/>
    <n v="0"/>
    <n v="0"/>
    <n v="96.958333333328483"/>
    <n v="62.958333333328483"/>
    <n v="-44"/>
    <n v="1"/>
  </r>
  <r>
    <s v="Cases &amp; Composites"/>
    <s v="CAS-200450-M1N6H5"/>
    <s v="Tyler Abusbah"/>
    <s v="Complete"/>
    <s v="Resolved"/>
    <s v="3-Medium"/>
    <m/>
    <s v="24KC330"/>
    <s v="Repair-EA"/>
    <s v="OTC"/>
    <s v="PW4000"/>
    <s v="AMO"/>
    <m/>
    <d v="2023-12-07T03:17:07"/>
    <d v="2024-08-15T04:00:00"/>
    <d v="2024-09-30T04:00:00"/>
    <x v="95"/>
    <d v="2024-10-01T01:28:28"/>
    <s v="Sept"/>
    <d v="2024-06-03T04:00:00"/>
    <d v="2024-06-10T04:00:00"/>
    <d v="2024-06-10T04:00:00"/>
    <d v="2024-07-11T04:00:00"/>
    <n v="7"/>
    <n v="31"/>
    <n v="38"/>
    <n v="298.02978009259095"/>
    <n v="260.02978009259095"/>
    <n v="0"/>
    <n v="0"/>
    <n v="0"/>
    <n v="114"/>
    <n v="0"/>
    <n v="0"/>
    <n v="0"/>
    <n v="0"/>
    <n v="114"/>
    <n v="184.02978009259095"/>
    <n v="146.02978009259095"/>
    <n v="46"/>
    <n v="0"/>
  </r>
  <r>
    <s v="Cases &amp; Composites"/>
    <s v="CAS-214861-X3X8K1"/>
    <s v="Robert Thompson"/>
    <s v="Complete"/>
    <s v="Resolved"/>
    <s v="3-Medium"/>
    <m/>
    <s v="21CC001B"/>
    <s v="Repair-EA"/>
    <s v="EM"/>
    <s v="PW1000G"/>
    <s v="30K"/>
    <s v="75%"/>
    <d v="2024-05-13T16:24:51"/>
    <d v="2024-05-24T04:00:00"/>
    <d v="2024-05-24T04:00:00"/>
    <x v="72"/>
    <d v="2024-05-20T20:11:43"/>
    <s v="FanR-Cone"/>
    <m/>
    <m/>
    <m/>
    <m/>
    <s v=""/>
    <s v=""/>
    <n v="0"/>
    <n v="6.4827430555524188"/>
    <n v="6.4827430555524188"/>
    <n v="0"/>
    <n v="0"/>
    <n v="0"/>
    <n v="0"/>
    <n v="0"/>
    <n v="0"/>
    <n v="0"/>
    <n v="0"/>
    <n v="0"/>
    <n v="6.4827430555524188"/>
    <n v="6.4827430555524188"/>
    <n v="-4"/>
    <n v="1"/>
  </r>
  <r>
    <s v="Cases &amp; Composites"/>
    <s v="CAS-216697-H2L6H4"/>
    <s v="Robert Thompson"/>
    <s v="Complete"/>
    <s v="Resolved"/>
    <s v="3-Medium"/>
    <m/>
    <s v="24AC048"/>
    <s v="Repair-EA"/>
    <s v="OTC"/>
    <s v="GP7000"/>
    <s v="GP7000"/>
    <s v="75%"/>
    <d v="2024-05-31T18:29:31"/>
    <d v="2024-08-30T04:00:00"/>
    <d v="2024-06-28T04:00:00"/>
    <x v="330"/>
    <d v="2024-06-27T14:39:03"/>
    <m/>
    <d v="2024-06-12T04:00:00"/>
    <d v="2024-06-13T04:00:00"/>
    <d v="2024-06-13T04:00:00"/>
    <d v="2024-06-19T04:00:00"/>
    <n v="1"/>
    <n v="6"/>
    <n v="7"/>
    <n v="25.396168981482333"/>
    <n v="18.396168981482333"/>
    <n v="0"/>
    <n v="0"/>
    <n v="0"/>
    <n v="0"/>
    <n v="0"/>
    <n v="0"/>
    <n v="0"/>
    <n v="0"/>
    <n v="0"/>
    <n v="25.396168981482333"/>
    <n v="18.396168981482333"/>
    <n v="-65"/>
    <n v="1"/>
  </r>
  <r>
    <s v="Cases &amp; Composites"/>
    <n v="104970"/>
    <s v="Robert Thompson"/>
    <s v="Complete"/>
    <s v="Closed"/>
    <s v="3-Medium"/>
    <m/>
    <s v="24FC237"/>
    <s v="Repair-EA"/>
    <s v="EM"/>
    <s v="PW2000"/>
    <s v="AMO"/>
    <s v="75%"/>
    <d v="2024-03-27T04:00:00"/>
    <d v="2024-08-26T04:00:00"/>
    <d v="2024-08-26T04:00:00"/>
    <x v="93"/>
    <d v="2024-08-21T15:02:37"/>
    <m/>
    <d v="2024-07-25T04:00:00"/>
    <d v="2024-08-15T04:00:00"/>
    <d v="2024-08-15T04:00:00"/>
    <d v="2024-08-15T04:00:00"/>
    <n v="21"/>
    <n v="0"/>
    <n v="21"/>
    <n v="147"/>
    <n v="126"/>
    <n v="0"/>
    <n v="0"/>
    <n v="0"/>
    <n v="0"/>
    <n v="0"/>
    <n v="0"/>
    <n v="0"/>
    <n v="0"/>
    <n v="0"/>
    <n v="147"/>
    <n v="126"/>
    <n v="-5"/>
    <n v="1"/>
  </r>
  <r>
    <s v="Cases &amp; Composites"/>
    <s v="CAS-221807-S7V9G3"/>
    <s v="Robert Thompson"/>
    <s v="Complete"/>
    <s v="Resolved"/>
    <s v="3-Medium"/>
    <m/>
    <s v="15CC200B"/>
    <s v="Repair-EA"/>
    <s v="EM"/>
    <s v="PW1000G"/>
    <s v="30K"/>
    <m/>
    <d v="2024-07-22T04:46:47"/>
    <d v="2024-08-23T04:00:00"/>
    <d v="2024-08-23T04:00:00"/>
    <x v="93"/>
    <d v="2024-08-21T13:06:03"/>
    <m/>
    <m/>
    <m/>
    <m/>
    <m/>
    <s v=""/>
    <s v=""/>
    <n v="0"/>
    <n v="29.96751157406834"/>
    <n v="29.96751157406834"/>
    <n v="0"/>
    <n v="0"/>
    <n v="0"/>
    <n v="0"/>
    <n v="0"/>
    <n v="0"/>
    <n v="0"/>
    <n v="0"/>
    <n v="0"/>
    <n v="29.96751157406834"/>
    <n v="29.96751157406834"/>
    <n v="-2"/>
    <n v="1"/>
  </r>
  <r>
    <s v="Cases &amp; Composites"/>
    <s v="CAS-222020-W9L2T2"/>
    <s v="Robert Thompson"/>
    <s v="Complete"/>
    <s v="Resolved"/>
    <s v="3-Medium"/>
    <m/>
    <s v="08AC093C"/>
    <s v="Repair-EA"/>
    <s v="EM"/>
    <s v="GP7000"/>
    <s v="GP7000"/>
    <m/>
    <d v="2024-07-23T13:29:56"/>
    <d v="2024-08-29T04:00:00"/>
    <d v="2024-08-29T04:00:00"/>
    <x v="6"/>
    <d v="2024-08-26T20:09:21"/>
    <m/>
    <m/>
    <m/>
    <m/>
    <m/>
    <s v=""/>
    <s v=""/>
    <n v="0"/>
    <n v="33.604212962964084"/>
    <n v="33.604212962964084"/>
    <n v="0"/>
    <n v="0"/>
    <n v="0"/>
    <n v="0"/>
    <n v="0"/>
    <n v="0"/>
    <n v="0"/>
    <n v="0"/>
    <n v="0"/>
    <n v="33.604212962964084"/>
    <n v="33.604212962964084"/>
    <n v="-3"/>
    <n v="1"/>
  </r>
  <r>
    <s v="Cases &amp; Composites"/>
    <s v="CAS-223735-R4V6W5"/>
    <s v="Robert Thompson"/>
    <s v="Complete"/>
    <s v="Resolved"/>
    <s v="3-Medium"/>
    <m/>
    <s v="24AC071"/>
    <s v="Repair-EA"/>
    <s v="OTC"/>
    <s v="GP7000"/>
    <s v="GP7000"/>
    <m/>
    <d v="2024-08-08T14:06:38"/>
    <d v="2024-12-31T05:00:00"/>
    <d v="2024-10-25T04:00:00"/>
    <x v="234"/>
    <d v="2024-10-29T15:59:15"/>
    <m/>
    <d v="2024-09-04T04:00:00"/>
    <d v="2024-09-25T04:00:00"/>
    <d v="2024-09-25T04:00:00"/>
    <d v="2024-10-14T04:00:00"/>
    <n v="21"/>
    <n v="19"/>
    <n v="40"/>
    <n v="81.578726851847023"/>
    <n v="41.578726851847023"/>
    <n v="0"/>
    <n v="0"/>
    <n v="0"/>
    <n v="0"/>
    <n v="2"/>
    <n v="6"/>
    <n v="0"/>
    <n v="0"/>
    <n v="8"/>
    <n v="73.578726851847023"/>
    <n v="33.578726851847023"/>
    <n v="-63.041666666671517"/>
    <n v="1"/>
  </r>
  <r>
    <s v="Cases &amp; Composites"/>
    <s v="MSG-241003-B75D5C"/>
    <s v="Brian K Holland"/>
    <s v="Complete"/>
    <s v="Complete"/>
    <s v="3-Medium"/>
    <m/>
    <s v="24FC325"/>
    <s v="Repair-EA"/>
    <s v="EM"/>
    <s v="PW2000"/>
    <s v="F117"/>
    <m/>
    <d v="2024-10-03T04:00:00"/>
    <d v="2024-12-20T05:00:00"/>
    <d v="2024-12-20T05:00:00"/>
    <x v="211"/>
    <d v="2024-11-21T16:07:26"/>
    <s v="This MSG-ID is a request to update the retaining plate installation for PW2000 and F117 fan cases. Upon reviewing tech data for MERLIN 108585, Design Metallurgy recommended updating this repair to help increase corrosion resistance. It is used at OEM"/>
    <m/>
    <m/>
    <m/>
    <m/>
    <s v=""/>
    <s v=""/>
    <n v="0"/>
    <n v="49.041666666671517"/>
    <n v="49.041666666671517"/>
    <n v="0"/>
    <n v="0"/>
    <n v="0"/>
    <n v="0"/>
    <n v="0"/>
    <n v="0"/>
    <n v="0"/>
    <n v="0"/>
    <n v="0"/>
    <n v="49.041666666671517"/>
    <n v="49.041666666671517"/>
    <n v="-29"/>
    <n v="1"/>
  </r>
  <r>
    <s v="Cases &amp; Composites"/>
    <s v="CAS-224677-V2R2D9"/>
    <s v="Brian K Holland"/>
    <s v="Complete"/>
    <s v="Resolved"/>
    <s v="3-Medium"/>
    <m/>
    <s v="24FC346"/>
    <s v="Repair-EA"/>
    <s v="OTC"/>
    <s v="PW2000"/>
    <s v="AMO"/>
    <m/>
    <d v="2024-08-19T12:49:11"/>
    <d v="2024-11-19T05:00:00"/>
    <d v="2024-11-19T05:00:00"/>
    <x v="331"/>
    <d v="2024-11-18T15:29:56"/>
    <m/>
    <m/>
    <m/>
    <m/>
    <m/>
    <s v=""/>
    <s v=""/>
    <n v="0"/>
    <n v="90.67417824074073"/>
    <n v="90.67417824074073"/>
    <n v="0"/>
    <n v="0"/>
    <n v="0"/>
    <n v="0"/>
    <n v="0"/>
    <n v="0"/>
    <n v="0"/>
    <n v="0"/>
    <n v="0"/>
    <n v="90.67417824074073"/>
    <n v="90.67417824074073"/>
    <n v="-1"/>
    <n v="1"/>
  </r>
  <r>
    <s v="Cases &amp; Composites"/>
    <s v="CAS-146301-W9F6M7"/>
    <s v="Ferdin Mustafa"/>
    <s v="Complete"/>
    <s v="Active"/>
    <s v="4-Low"/>
    <n v="2"/>
    <s v="22KC450"/>
    <s v="Repair-EA"/>
    <s v="EM"/>
    <s v="PW4000"/>
    <s v="OCE"/>
    <m/>
    <d v="2022-04-21T21:15:53"/>
    <d v="2023-11-10T05:00:00"/>
    <d v="2024-04-23T04:00:00"/>
    <x v="76"/>
    <d v="2024-04-25T13:22:19"/>
    <s v="Apr"/>
    <m/>
    <m/>
    <m/>
    <m/>
    <s v=""/>
    <s v=""/>
    <n v="0"/>
    <n v="734.28063657406892"/>
    <n v="734.28063657406892"/>
    <n v="0"/>
    <n v="0"/>
    <n v="0"/>
    <n v="0"/>
    <n v="0"/>
    <n v="0"/>
    <n v="0"/>
    <n v="0"/>
    <n v="0"/>
    <n v="734.28063657406892"/>
    <n v="734.28063657406892"/>
    <n v="166.95833333332848"/>
    <n v="0"/>
  </r>
  <r>
    <s v="Cases &amp; Composites"/>
    <s v="CAS-206479-F5R6R2"/>
    <s v="Robert Thompson"/>
    <s v="Complete"/>
    <s v="Resolved"/>
    <s v="4-Low"/>
    <n v="2"/>
    <s v="20KC029B"/>
    <s v="Repair-EA"/>
    <s v="EM"/>
    <s v="PW4000"/>
    <s v="AMO"/>
    <m/>
    <d v="2024-02-13T14:18:12"/>
    <d v="2024-04-04T04:00:00"/>
    <d v="2024-04-26T04:00:00"/>
    <x v="75"/>
    <d v="2024-04-22T12:36:02"/>
    <m/>
    <m/>
    <m/>
    <m/>
    <m/>
    <s v=""/>
    <s v=""/>
    <n v="0"/>
    <n v="65.570694444439141"/>
    <n v="65.570694444439141"/>
    <n v="0"/>
    <n v="0"/>
    <n v="0"/>
    <n v="0"/>
    <n v="0"/>
    <n v="0"/>
    <n v="0"/>
    <n v="0"/>
    <n v="0"/>
    <n v="65.570694444439141"/>
    <n v="65.570694444439141"/>
    <n v="15"/>
    <n v="0"/>
  </r>
  <r>
    <s v="Cases &amp; Composites"/>
    <s v="CAS-210576-W1F5G8"/>
    <s v="Jia Chen"/>
    <s v="Complete"/>
    <s v="Resolved"/>
    <s v="4-Low"/>
    <n v="2"/>
    <s v="24FC111"/>
    <s v="Repair-EA"/>
    <s v="Discretionary"/>
    <s v="PW2000"/>
    <s v="AMO"/>
    <m/>
    <d v="2024-03-26T15:56:33"/>
    <d v="2024-06-11T04:00:00"/>
    <d v="2024-06-11T04:00:00"/>
    <x v="314"/>
    <d v="2024-05-30T18:36:47"/>
    <s v="May"/>
    <d v="2024-04-17T04:00:00"/>
    <d v="2024-05-10T04:00:00"/>
    <d v="2024-05-10T04:00:00"/>
    <d v="2024-05-10T04:00:00"/>
    <n v="23"/>
    <n v="0"/>
    <n v="23"/>
    <n v="64.502395833333139"/>
    <n v="41.502395833333139"/>
    <n v="0"/>
    <n v="0"/>
    <n v="0"/>
    <n v="0"/>
    <n v="0"/>
    <n v="0"/>
    <n v="0"/>
    <n v="0"/>
    <n v="0"/>
    <n v="64.502395833333139"/>
    <n v="41.502395833333139"/>
    <n v="-12"/>
    <n v="1"/>
  </r>
  <r>
    <s v="Cases &amp; Composites"/>
    <s v="CAS-211867-R1Q7Z1"/>
    <s v="Jia Chen"/>
    <s v="Complete"/>
    <s v="Resolved"/>
    <s v="4-Low"/>
    <n v="2"/>
    <s v="10KC217A"/>
    <s v="Repair-EA"/>
    <s v="EM"/>
    <s v="PW4000"/>
    <s v="AMO"/>
    <m/>
    <d v="2024-04-09T20:52:17"/>
    <d v="2024-05-10T04:00:00"/>
    <d v="2024-05-23T04:00:00"/>
    <x v="72"/>
    <d v="2024-05-20T18:05:03"/>
    <s v="May"/>
    <m/>
    <m/>
    <m/>
    <m/>
    <s v=""/>
    <s v=""/>
    <n v="0"/>
    <n v="40.297025462961756"/>
    <n v="40.297025462961756"/>
    <n v="0"/>
    <n v="0"/>
    <n v="0"/>
    <n v="0"/>
    <n v="0"/>
    <n v="0"/>
    <n v="0"/>
    <n v="0"/>
    <n v="0"/>
    <n v="40.297025462961756"/>
    <n v="40.297025462961756"/>
    <n v="10"/>
    <n v="0"/>
  </r>
  <r>
    <s v="Cases &amp; Composites"/>
    <s v="CAS-136128-V2S2P5"/>
    <s v="Ferdin Mustafa"/>
    <s v="Complete"/>
    <s v="Resolved"/>
    <s v="4-Low"/>
    <n v="3"/>
    <s v="21FC082"/>
    <s v="Repair-EA"/>
    <s v="EM"/>
    <s v="PW2000"/>
    <s v="OCE"/>
    <m/>
    <d v="2022-01-24T19:47:39"/>
    <d v="2023-11-10T05:00:00"/>
    <d v="2024-01-24T05:00:00"/>
    <x v="104"/>
    <d v="2024-01-24T18:32:24"/>
    <s v="Jan"/>
    <d v="2022-02-21T05:00:00"/>
    <d v="2022-06-09T04:00:00"/>
    <d v="2022-06-09T04:00:00"/>
    <d v="2022-11-30T05:00:00"/>
    <n v="107.95833333332848"/>
    <n v="174.04166666667152"/>
    <n v="282"/>
    <n v="728.38357638889283"/>
    <n v="446.38357638889283"/>
    <n v="0"/>
    <n v="0"/>
    <n v="0"/>
    <n v="0"/>
    <n v="0"/>
    <n v="0"/>
    <n v="0"/>
    <n v="0"/>
    <n v="0"/>
    <n v="728.38357638889283"/>
    <n v="446.38357638889283"/>
    <n v="74"/>
    <n v="0"/>
  </r>
  <r>
    <s v="Cases &amp; Composites"/>
    <s v="CAS-200224-Z0W3H1"/>
    <s v="Robert Thompson"/>
    <s v="Complete"/>
    <s v="Resolved"/>
    <s v="4-Low"/>
    <n v="3"/>
    <s v="23CCX71"/>
    <s v="Repair-EA"/>
    <s v="OTC"/>
    <s v="PW1000G"/>
    <s v="30K"/>
    <m/>
    <d v="2023-12-05T10:09:19"/>
    <d v="2024-02-02T05:00:00"/>
    <d v="2024-02-09T05:00:00"/>
    <x v="120"/>
    <d v="2024-02-13T13:43:03"/>
    <s v="Feb."/>
    <d v="2024-01-16T05:00:00"/>
    <d v="2024-01-16T05:00:00"/>
    <d v="2024-01-16T05:00:00"/>
    <d v="2024-01-17T05:00:00"/>
    <n v="0"/>
    <n v="1"/>
    <n v="1"/>
    <n v="68.785196759265091"/>
    <n v="67.785196759265091"/>
    <n v="0"/>
    <n v="0"/>
    <n v="0"/>
    <n v="0"/>
    <n v="0"/>
    <n v="0"/>
    <n v="0"/>
    <n v="0"/>
    <n v="0"/>
    <n v="68.785196759265091"/>
    <n v="67.785196759265091"/>
    <n v="10"/>
    <n v="0"/>
  </r>
  <r>
    <s v="Cases &amp; Composites"/>
    <s v="CAS-203862-B4J4J6"/>
    <s v="Robert Thompson"/>
    <s v="Complete"/>
    <s v="Resolved"/>
    <s v="4-Low"/>
    <n v="4"/>
    <s v="24CC153"/>
    <s v="Repair-EA"/>
    <s v="OTC"/>
    <s v="PW1000G"/>
    <s v="30K"/>
    <m/>
    <d v="2024-01-16T15:28:19"/>
    <d v="2024-02-09T05:00:00"/>
    <d v="2024-02-09T05:00:00"/>
    <x v="277"/>
    <d v="2024-02-21T11:52:57"/>
    <s v="Feb."/>
    <d v="2024-01-18T05:00:00"/>
    <d v="2024-01-25T05:00:00"/>
    <d v="2024-01-25T05:00:00"/>
    <d v="2024-01-25T05:00:00"/>
    <n v="7"/>
    <n v="0"/>
    <n v="7"/>
    <n v="34.563668981485534"/>
    <n v="27.563668981485534"/>
    <n v="0"/>
    <n v="0"/>
    <n v="0"/>
    <n v="0"/>
    <n v="0"/>
    <n v="0"/>
    <n v="0"/>
    <n v="0"/>
    <n v="0"/>
    <n v="34.563668981485534"/>
    <n v="27.563668981485534"/>
    <n v="11"/>
    <n v="0"/>
  </r>
  <r>
    <s v="Cases &amp; Composites"/>
    <s v="CAS-142872-H4Y8T4"/>
    <s v="Robert Thompson"/>
    <s v="Complete"/>
    <s v="Resolved"/>
    <s v="4-Low"/>
    <n v="5"/>
    <s v="22CCB60"/>
    <s v="Repair-EA"/>
    <s v="EM"/>
    <s v="PW1000G"/>
    <s v="24K"/>
    <m/>
    <d v="2022-03-23T18:05:16"/>
    <d v="2024-05-24T04:00:00"/>
    <d v="2024-06-28T04:00:00"/>
    <x v="282"/>
    <d v="2024-06-25T13:42:01"/>
    <m/>
    <m/>
    <m/>
    <m/>
    <m/>
    <s v=""/>
    <s v=""/>
    <n v="0"/>
    <n v="823.41300925926043"/>
    <n v="823.41300925926043"/>
    <n v="0"/>
    <n v="0"/>
    <n v="0"/>
    <n v="0"/>
    <n v="0"/>
    <n v="0"/>
    <n v="0"/>
    <n v="0"/>
    <n v="0"/>
    <n v="823.41300925926043"/>
    <n v="823.41300925926043"/>
    <n v="31"/>
    <n v="0"/>
  </r>
  <r>
    <s v="Cases &amp; Composites"/>
    <s v="CAS-175126-V8D0D5"/>
    <s v="Robert Thompson"/>
    <s v="Complete"/>
    <s v="Resolved"/>
    <s v="4-Low"/>
    <n v="5"/>
    <s v="23KC221"/>
    <s v="Repair-EA"/>
    <s v="OTC"/>
    <s v="PW4000"/>
    <s v="OCE"/>
    <m/>
    <d v="2023-03-21T20:35:19"/>
    <d v="2024-06-07T04:00:00"/>
    <d v="2024-10-11T04:00:00"/>
    <x v="294"/>
    <d v="2024-10-21T17:37:55"/>
    <m/>
    <d v="2023-06-12T04:00:00"/>
    <d v="2023-06-13T04:00:00"/>
    <d v="2023-06-13T04:00:00"/>
    <d v="2024-07-31T04:00:00"/>
    <n v="1"/>
    <n v="414"/>
    <n v="415"/>
    <n v="579.30880787036585"/>
    <n v="164.30880787036585"/>
    <n v="0"/>
    <n v="0"/>
    <n v="0"/>
    <n v="0"/>
    <n v="0"/>
    <n v="0"/>
    <n v="0"/>
    <n v="0"/>
    <n v="0"/>
    <n v="579.30880787036585"/>
    <n v="164.30880787036585"/>
    <n v="136"/>
    <n v="0"/>
  </r>
  <r>
    <s v="Cases &amp; Composites"/>
    <s v="CAS-205295-M4K8G8"/>
    <s v="Robert Thompson"/>
    <s v="Complete"/>
    <s v="Resolved"/>
    <s v="4-Low"/>
    <n v="5"/>
    <s v="24CC503"/>
    <s v="Repair-EA"/>
    <s v="OTC"/>
    <s v="PW1000G"/>
    <s v="AMO"/>
    <m/>
    <d v="2024-01-30T22:12:29"/>
    <d v="2024-02-29T05:00:00"/>
    <d v="2024-03-28T04:00:00"/>
    <x v="81"/>
    <d v="2024-03-26T12:34:00"/>
    <s v="Mar2"/>
    <d v="2024-02-27T05:00:00"/>
    <d v="2024-03-04T05:00:00"/>
    <d v="2024-03-04T05:00:00"/>
    <d v="2024-03-04T05:00:00"/>
    <n v="6"/>
    <n v="0"/>
    <n v="6"/>
    <n v="54.241331018514757"/>
    <n v="48.241331018514757"/>
    <n v="0"/>
    <n v="0"/>
    <n v="0"/>
    <n v="0"/>
    <n v="0"/>
    <n v="0"/>
    <n v="0"/>
    <n v="0"/>
    <n v="0"/>
    <n v="54.241331018514757"/>
    <n v="48.241331018514757"/>
    <n v="24.958333333328483"/>
    <n v="0"/>
  </r>
  <r>
    <s v="Cases &amp; Composites"/>
    <s v="CAS-209262-D0F3M3"/>
    <s v="Pedro Iturrino"/>
    <s v="Complete"/>
    <s v="Resolved"/>
    <s v="4-Low"/>
    <n v="5"/>
    <s v="24KC161"/>
    <s v="Repair-EA"/>
    <s v="OTC"/>
    <s v="PW4000"/>
    <s v="AMO"/>
    <m/>
    <d v="2024-03-15T19:51:17"/>
    <d v="2024-07-12T04:00:00"/>
    <d v="2024-07-12T04:00:00"/>
    <x v="110"/>
    <d v="2024-06-05T18:02:50"/>
    <s v="June"/>
    <d v="2024-04-19T04:00:00"/>
    <d v="2024-05-07T04:00:00"/>
    <d v="2024-05-07T04:00:00"/>
    <d v="2024-05-07T04:00:00"/>
    <n v="18"/>
    <n v="0"/>
    <n v="18"/>
    <n v="80.339386574072705"/>
    <n v="62.339386574072705"/>
    <n v="0"/>
    <n v="0"/>
    <n v="0"/>
    <n v="0"/>
    <n v="0"/>
    <n v="0"/>
    <n v="0"/>
    <n v="0"/>
    <n v="0"/>
    <n v="80.339386574072705"/>
    <n v="62.339386574072705"/>
    <n v="-38"/>
    <n v="1"/>
  </r>
  <r>
    <s v="Cases &amp; Composites"/>
    <s v="CAS-210160-T9P9C8"/>
    <s v="Pedro Iturrino"/>
    <s v="Complete"/>
    <s v="Resolved"/>
    <s v="4-Low"/>
    <n v="5"/>
    <s v="24KC210"/>
    <s v="Repair-EA"/>
    <s v="OTC"/>
    <s v="PW4000"/>
    <s v="AMO"/>
    <m/>
    <d v="2024-03-21T14:26:12"/>
    <d v="2024-06-27T04:00:00"/>
    <d v="2024-07-17T04:00:00"/>
    <x v="284"/>
    <d v="2024-06-28T19:29:05"/>
    <s v="June"/>
    <d v="2024-05-09T04:00:00"/>
    <d v="2024-05-16T04:00:00"/>
    <d v="2024-05-16T04:00:00"/>
    <d v="2024-05-16T04:00:00"/>
    <n v="7"/>
    <n v="0"/>
    <n v="7"/>
    <n v="98.565138888887304"/>
    <n v="91.565138888887304"/>
    <n v="0"/>
    <n v="0"/>
    <n v="0"/>
    <n v="0"/>
    <n v="0"/>
    <n v="0"/>
    <n v="0"/>
    <n v="0"/>
    <n v="0"/>
    <n v="98.565138888887304"/>
    <n v="91.565138888887304"/>
    <n v="1"/>
    <n v="0"/>
  </r>
  <r>
    <s v="Cases &amp; Composites"/>
    <s v="CAS-209264-H3Q9P9"/>
    <s v="Robert Thompson"/>
    <s v="Complete"/>
    <s v="Resolved"/>
    <s v="4-Low"/>
    <n v="6"/>
    <s v="19AC009A"/>
    <s v="Repair-EA"/>
    <s v="EM"/>
    <s v="GP7000"/>
    <s v="GP7000"/>
    <m/>
    <d v="2024-03-12T16:20:42"/>
    <d v="2024-05-10T04:00:00"/>
    <d v="2024-05-10T04:00:00"/>
    <x v="332"/>
    <d v="2024-05-07T12:04:57"/>
    <m/>
    <m/>
    <m/>
    <m/>
    <m/>
    <s v=""/>
    <s v=""/>
    <n v="0"/>
    <n v="54.485625000001164"/>
    <n v="54.485625000001164"/>
    <n v="0"/>
    <n v="0"/>
    <n v="0"/>
    <n v="0"/>
    <n v="0"/>
    <n v="0"/>
    <n v="0"/>
    <n v="0"/>
    <n v="0"/>
    <n v="54.485625000001164"/>
    <n v="54.485625000001164"/>
    <n v="-4"/>
    <n v="1"/>
  </r>
  <r>
    <s v="Cases &amp; Composites"/>
    <s v="CAS-211668-N0W8Y6"/>
    <s v="Jia Chen"/>
    <s v="Complete"/>
    <s v="Resolved"/>
    <s v="4-Low"/>
    <n v="6"/>
    <s v="24FC119"/>
    <s v="Repair-EA"/>
    <s v="OTC"/>
    <s v="PW2000"/>
    <s v="AMO"/>
    <m/>
    <d v="2024-04-08T11:42:35"/>
    <d v="2024-07-10T04:00:00"/>
    <d v="2024-07-10T04:00:00"/>
    <x v="314"/>
    <d v="2024-05-30T20:01:40"/>
    <s v="May"/>
    <d v="2024-04-18T04:00:00"/>
    <d v="2024-05-03T04:00:00"/>
    <d v="2024-05-03T04:00:00"/>
    <d v="2024-05-09T04:00:00"/>
    <n v="15"/>
    <n v="6"/>
    <n v="21"/>
    <n v="51.678761574068631"/>
    <n v="30.678761574068631"/>
    <n v="0"/>
    <n v="0"/>
    <n v="0"/>
    <n v="0"/>
    <n v="0"/>
    <n v="0"/>
    <n v="0"/>
    <n v="0"/>
    <n v="0"/>
    <n v="51.678761574068631"/>
    <n v="30.678761574068631"/>
    <n v="-41"/>
    <n v="1"/>
  </r>
  <r>
    <s v="Cases &amp; Composites"/>
    <n v="103235"/>
    <s v="Robert Thompson"/>
    <s v="Complete"/>
    <s v="Closed"/>
    <s v="4-Low"/>
    <n v="7"/>
    <s v="24FC033"/>
    <s v="Repair-EA"/>
    <s v="OTC"/>
    <s v="PW2000"/>
    <s v="AMO"/>
    <m/>
    <d v="2024-01-04T05:00:00"/>
    <d v="2024-03-29T04:00:00"/>
    <d v="2024-02-27T05:00:00"/>
    <x v="31"/>
    <d v="2024-02-26T18:06:35"/>
    <m/>
    <d v="2024-02-14T05:00:00"/>
    <d v="2024-02-15T05:00:00"/>
    <d v="2024-02-15T05:00:00"/>
    <d v="2024-02-22T05:00:00"/>
    <n v="1"/>
    <n v="7"/>
    <n v="8"/>
    <n v="53"/>
    <n v="45"/>
    <n v="0"/>
    <n v="0"/>
    <n v="0"/>
    <n v="0"/>
    <n v="0"/>
    <n v="0"/>
    <n v="0"/>
    <n v="0"/>
    <n v="0"/>
    <n v="53"/>
    <n v="45"/>
    <n v="-31.958333333328483"/>
    <n v="1"/>
  </r>
  <r>
    <s v="Cases &amp; Composites"/>
    <s v="CAS-211672-W5Y1S9"/>
    <s v="Jia Chen"/>
    <s v="Complete"/>
    <s v="Resolved"/>
    <s v="4-Low"/>
    <n v="7"/>
    <s v="24FC126"/>
    <s v="Repair-EA"/>
    <s v="OTC"/>
    <s v="PW2000"/>
    <s v="AMO"/>
    <m/>
    <d v="2024-04-08T12:30:26"/>
    <d v="2024-07-10T04:00:00"/>
    <d v="2024-05-31T04:00:00"/>
    <x v="314"/>
    <d v="2024-05-30T20:42:20"/>
    <s v="May"/>
    <d v="2024-04-18T04:00:00"/>
    <d v="2024-05-03T04:00:00"/>
    <d v="2024-05-03T04:00:00"/>
    <d v="2024-05-03T04:00:00"/>
    <n v="15"/>
    <n v="0"/>
    <n v="15"/>
    <n v="51.645532407404971"/>
    <n v="36.645532407404971"/>
    <n v="0"/>
    <n v="0"/>
    <n v="0"/>
    <n v="0"/>
    <n v="0"/>
    <n v="0"/>
    <n v="0"/>
    <n v="0"/>
    <n v="0"/>
    <n v="51.645532407404971"/>
    <n v="36.645532407404971"/>
    <n v="-41"/>
    <n v="1"/>
  </r>
  <r>
    <s v="Cases &amp; Composites"/>
    <s v="CAS-211709-M8Z7F3"/>
    <s v="Pedro Iturrino"/>
    <s v="Complete"/>
    <s v="Resolved"/>
    <s v="4-Low"/>
    <n v="7"/>
    <s v="24KC217"/>
    <s v="Repair-EA"/>
    <s v="OTC"/>
    <s v="PW4000"/>
    <s v="AMO"/>
    <m/>
    <d v="2024-04-08T15:47:28"/>
    <d v="2024-05-31T04:00:00"/>
    <d v="2024-06-10T04:00:00"/>
    <x v="89"/>
    <d v="2024-05-31T15:02:20"/>
    <m/>
    <d v="2024-04-18T04:00:00"/>
    <d v="2024-04-25T04:00:00"/>
    <d v="2024-04-25T04:00:00"/>
    <d v="2024-04-29T04:00:00"/>
    <n v="7"/>
    <n v="4"/>
    <n v="11"/>
    <n v="52.50870370370103"/>
    <n v="41.50870370370103"/>
    <n v="0"/>
    <n v="0"/>
    <n v="0"/>
    <n v="0"/>
    <n v="0"/>
    <n v="0"/>
    <n v="0"/>
    <n v="0"/>
    <n v="0"/>
    <n v="52.50870370370103"/>
    <n v="41.50870370370103"/>
    <n v="0"/>
    <n v="1"/>
  </r>
  <r>
    <s v="Cases &amp; Composites"/>
    <s v="CAS-194329-P1D2M5"/>
    <s v="Jia Chen"/>
    <s v="Complete"/>
    <s v="Resolved"/>
    <s v="4-Low"/>
    <n v="7"/>
    <s v="24KC286"/>
    <s v="Repair-EA"/>
    <s v="OTC"/>
    <s v="PW4000"/>
    <s v="AMO"/>
    <s v="75%"/>
    <d v="2023-10-06T15:41:11"/>
    <d v="2024-07-17T04:00:00"/>
    <d v="2024-08-28T04:00:00"/>
    <x v="174"/>
    <d v="2024-08-06T20:08:30"/>
    <s v="Aug."/>
    <d v="2024-05-30T04:00:00"/>
    <d v="2024-05-30T04:00:00"/>
    <d v="2024-05-30T04:00:00"/>
    <d v="2024-05-31T04:00:00"/>
    <n v="0"/>
    <n v="1"/>
    <n v="1"/>
    <n v="304.51306712962833"/>
    <n v="303.51306712962833"/>
    <n v="0"/>
    <n v="0"/>
    <n v="0"/>
    <n v="185"/>
    <n v="41"/>
    <n v="0"/>
    <n v="0"/>
    <n v="0"/>
    <n v="226"/>
    <n v="78.513067129628325"/>
    <n v="77.513067129628325"/>
    <n v="20"/>
    <n v="0"/>
  </r>
  <r>
    <s v="Cases &amp; Composites"/>
    <s v="CAS-193361-Y3K7D4"/>
    <s v="Jia Chen"/>
    <s v="Complete"/>
    <s v="Resolved"/>
    <s v="4-Low"/>
    <n v="8"/>
    <s v="24VG003"/>
    <s v="Repair-EA"/>
    <s v="OTC"/>
    <s v="V2500"/>
    <s v="V2500"/>
    <m/>
    <d v="2023-09-26T18:13:10"/>
    <d v="2024-02-14T05:00:00"/>
    <d v="2024-02-21T05:00:00"/>
    <x v="125"/>
    <d v="2024-02-19T16:02:39"/>
    <s v="Damaged Stage 5 anti-rotation pin. FEB1"/>
    <m/>
    <m/>
    <m/>
    <m/>
    <s v=""/>
    <s v=""/>
    <n v="0"/>
    <n v="142.44918981481896"/>
    <n v="142.44918981481896"/>
    <n v="0"/>
    <n v="0"/>
    <n v="0"/>
    <n v="0"/>
    <n v="0"/>
    <n v="0"/>
    <n v="0"/>
    <n v="0"/>
    <n v="0"/>
    <n v="142.44918981481896"/>
    <n v="142.44918981481896"/>
    <n v="2"/>
    <n v="0"/>
  </r>
  <r>
    <s v="Cases &amp; Composites"/>
    <n v="102863"/>
    <s v="Jia Chen"/>
    <s v="Complete"/>
    <s v="Open"/>
    <s v="4-Low"/>
    <n v="8"/>
    <s v="23FC052C"/>
    <s v="Repair-EA"/>
    <s v="OTC"/>
    <s v="PW2000"/>
    <s v="AMO"/>
    <m/>
    <d v="2023-12-08T05:00:00"/>
    <d v="2024-02-27T05:00:00"/>
    <d v="2024-02-27T05:00:00"/>
    <x v="277"/>
    <d v="2024-02-20T19:06:53"/>
    <s v="F117 HPC Front Case"/>
    <d v="2024-01-02T05:00:00"/>
    <d v="2024-01-25T05:00:00"/>
    <d v="2024-01-25T05:00:00"/>
    <d v="2024-02-08T05:00:00"/>
    <n v="23"/>
    <n v="14"/>
    <n v="37"/>
    <n v="74"/>
    <n v="37"/>
    <n v="0"/>
    <n v="0"/>
    <n v="0"/>
    <n v="0"/>
    <n v="0"/>
    <n v="0"/>
    <n v="0"/>
    <n v="0"/>
    <n v="0"/>
    <n v="74"/>
    <n v="37"/>
    <n v="-7"/>
    <n v="1"/>
  </r>
  <r>
    <s v="Cases &amp; Composites"/>
    <n v="103122"/>
    <s v="Pedro Iturrino"/>
    <s v="Complete"/>
    <s v="Closed"/>
    <s v="4-Low"/>
    <n v="8"/>
    <s v="24FC069"/>
    <s v="Repair-EA"/>
    <s v="OTC"/>
    <s v="PW2000"/>
    <s v="AMO"/>
    <m/>
    <d v="2023-12-21T05:00:00"/>
    <d v="2024-08-22T04:00:00"/>
    <d v="2024-08-22T04:00:00"/>
    <x v="91"/>
    <d v="2024-07-30T17:23:53"/>
    <m/>
    <d v="2024-04-03T04:00:00"/>
    <d v="2024-04-12T04:00:00"/>
    <d v="2024-04-12T04:00:00"/>
    <d v="2024-06-28T04:00:00"/>
    <n v="9"/>
    <n v="77"/>
    <n v="86"/>
    <n v="221.95833333332848"/>
    <n v="135.95833333332848"/>
    <n v="0"/>
    <n v="0"/>
    <n v="0"/>
    <n v="0"/>
    <n v="0"/>
    <n v="0"/>
    <n v="36"/>
    <n v="0"/>
    <n v="36"/>
    <n v="185.95833333332848"/>
    <n v="99.958333333328483"/>
    <n v="-23"/>
    <n v="1"/>
  </r>
  <r>
    <s v="Cases &amp; Composites"/>
    <n v="104930"/>
    <s v="Jia Chen"/>
    <s v="Complete"/>
    <s v="Closed"/>
    <s v="4-Low"/>
    <n v="8"/>
    <s v="24FC105"/>
    <s v="Repair-EA"/>
    <s v="OTC"/>
    <s v="PW2000"/>
    <s v="AMO"/>
    <m/>
    <d v="2024-03-26T04:00:00"/>
    <d v="2024-05-15T04:00:00"/>
    <d v="2024-05-15T04:00:00"/>
    <x v="123"/>
    <d v="2024-05-02T18:46:12"/>
    <s v="May"/>
    <d v="2024-04-04T04:00:00"/>
    <d v="2024-04-17T04:00:00"/>
    <d v="2024-04-17T04:00:00"/>
    <d v="2024-04-18T04:00:00"/>
    <n v="13"/>
    <n v="1"/>
    <n v="14"/>
    <n v="37"/>
    <n v="23"/>
    <n v="0"/>
    <n v="0"/>
    <n v="0"/>
    <n v="0"/>
    <n v="0"/>
    <n v="0"/>
    <n v="0"/>
    <n v="0"/>
    <n v="0"/>
    <n v="37"/>
    <n v="23"/>
    <n v="-13"/>
    <n v="1"/>
  </r>
  <r>
    <s v="Cases &amp; Composites"/>
    <s v="CAS-212433-Z5V5H1"/>
    <s v="Robert Thompson"/>
    <s v="Complete"/>
    <s v="Resolved"/>
    <s v="4-Low"/>
    <n v="8"/>
    <s v="14CC326D"/>
    <s v="Repair-EA"/>
    <s v="EM"/>
    <s v="PW1000G"/>
    <m/>
    <m/>
    <d v="2024-04-16T06:21:17"/>
    <d v="2024-05-15T04:00:00"/>
    <d v="2024-05-24T04:00:00"/>
    <x v="133"/>
    <d v="2024-05-22T14:00:35"/>
    <m/>
    <m/>
    <m/>
    <m/>
    <m/>
    <s v=""/>
    <s v=""/>
    <n v="0"/>
    <n v="34.901886574072705"/>
    <n v="34.901886574072705"/>
    <n v="0"/>
    <n v="0"/>
    <n v="0"/>
    <n v="0"/>
    <n v="0"/>
    <n v="0"/>
    <n v="0"/>
    <n v="0"/>
    <n v="0"/>
    <n v="34.901886574072705"/>
    <n v="34.901886574072705"/>
    <n v="6"/>
    <n v="0"/>
  </r>
  <r>
    <s v="Cases &amp; Composites"/>
    <s v="CAS-209275-J5G4Y8"/>
    <s v="Robert Thompson"/>
    <s v="Complete"/>
    <s v="Resolved"/>
    <s v="4-Low"/>
    <n v="9"/>
    <s v="15KC385A"/>
    <s v="Repair-EA"/>
    <s v="EM"/>
    <s v="PW4000"/>
    <s v="AMO"/>
    <m/>
    <d v="2024-03-12T18:50:27"/>
    <d v="2024-06-06T04:00:00"/>
    <d v="2024-06-06T04:00:00"/>
    <x v="332"/>
    <d v="2024-05-07T12:05:04"/>
    <s v="May"/>
    <m/>
    <m/>
    <m/>
    <m/>
    <s v=""/>
    <s v=""/>
    <n v="0"/>
    <n v="54.381631944444962"/>
    <n v="54.381631944444962"/>
    <n v="0"/>
    <n v="0"/>
    <n v="0"/>
    <n v="0"/>
    <n v="0"/>
    <n v="0"/>
    <n v="0"/>
    <n v="0"/>
    <n v="0"/>
    <n v="54.381631944444962"/>
    <n v="54.381631944444962"/>
    <n v="-31"/>
    <n v="1"/>
  </r>
  <r>
    <s v="Cases &amp; Composites"/>
    <n v="104024"/>
    <s v="Robert Thompson"/>
    <s v="Complete"/>
    <s v="Closed"/>
    <s v="4-Low"/>
    <n v="10"/>
    <s v="24FC083"/>
    <s v="Repair-EA"/>
    <s v="OTC"/>
    <s v="PW2000"/>
    <s v="AMO"/>
    <m/>
    <d v="2024-02-12T05:00:00"/>
    <d v="2024-05-03T04:00:00"/>
    <d v="2024-03-28T04:00:00"/>
    <x v="154"/>
    <d v="2024-03-27T18:25:09"/>
    <s v="Mar2"/>
    <d v="2024-03-13T04:00:00"/>
    <d v="2024-03-22T04:00:00"/>
    <d v="2024-03-22T04:00:00"/>
    <d v="2024-03-25T04:00:00"/>
    <n v="9"/>
    <n v="3"/>
    <n v="12"/>
    <n v="43.958333333328483"/>
    <n v="31.958333333328483"/>
    <n v="0"/>
    <n v="0"/>
    <n v="0"/>
    <n v="0"/>
    <n v="0"/>
    <n v="0"/>
    <n v="0"/>
    <n v="0"/>
    <n v="0"/>
    <n v="43.958333333328483"/>
    <n v="31.958333333328483"/>
    <n v="-37"/>
    <n v="1"/>
  </r>
  <r>
    <s v="Cases &amp; Composites"/>
    <s v="CAS-216540-J4N1V2"/>
    <s v="Robert Thompson"/>
    <s v="Complete"/>
    <s v="Resolved"/>
    <s v="4-Low"/>
    <n v="10"/>
    <s v="24KC332"/>
    <s v="Repair-EA"/>
    <s v="OTC"/>
    <s v="PW4000"/>
    <s v="AMO"/>
    <s v="75%"/>
    <d v="2024-05-30T13:49:17"/>
    <d v="2024-07-31T04:00:00"/>
    <d v="2024-08-16T04:00:00"/>
    <x v="86"/>
    <d v="2024-08-16T16:41:46"/>
    <m/>
    <d v="2024-06-11T04:00:00"/>
    <d v="2024-06-24T04:00:00"/>
    <d v="2024-06-24T04:00:00"/>
    <d v="2024-07-01T04:00:00"/>
    <n v="13"/>
    <n v="7"/>
    <n v="20"/>
    <n v="77.590775462958845"/>
    <n v="57.590775462958845"/>
    <n v="0"/>
    <n v="0"/>
    <n v="0"/>
    <n v="0"/>
    <n v="0"/>
    <n v="0"/>
    <n v="0"/>
    <n v="0"/>
    <n v="0"/>
    <n v="77.590775462958845"/>
    <n v="57.590775462958845"/>
    <n v="16"/>
    <n v="0"/>
  </r>
  <r>
    <s v="Cases &amp; Composites"/>
    <s v="CAS-201883-Q5S8R2"/>
    <s v="Tyler Abusbah"/>
    <s v="Complete"/>
    <s v="Resolved"/>
    <s v="4-Low"/>
    <n v="11"/>
    <s v="24KC279"/>
    <s v="Repair-EA"/>
    <s v="OTC"/>
    <s v="PW4000"/>
    <s v="AMO"/>
    <m/>
    <d v="2023-12-21T15:56:31"/>
    <d v="2024-08-09T04:00:00"/>
    <d v="2024-09-06T04:00:00"/>
    <x v="285"/>
    <d v="2024-09-02T01:49:37"/>
    <s v="Sept"/>
    <d v="2024-05-10T04:00:00"/>
    <d v="2024-05-10T04:00:00"/>
    <d v="2024-05-10T04:00:00"/>
    <d v="2024-06-25T04:00:00"/>
    <n v="0"/>
    <n v="46"/>
    <n v="46"/>
    <n v="252.50241898147942"/>
    <n v="206.50241898147942"/>
    <n v="0"/>
    <n v="0"/>
    <n v="0"/>
    <n v="0"/>
    <n v="21"/>
    <n v="0"/>
    <n v="8"/>
    <n v="0"/>
    <n v="29"/>
    <n v="223.50241898147942"/>
    <n v="177.50241898147942"/>
    <n v="21"/>
    <n v="0"/>
  </r>
  <r>
    <s v="Cases &amp; Composites"/>
    <s v="CAS-206911-R6K5S7"/>
    <s v="Robert Thompson"/>
    <s v="Complete"/>
    <s v="Resolved"/>
    <s v="4-Low"/>
    <m/>
    <s v="14CC728D"/>
    <s v="Repair-EA"/>
    <s v="EM"/>
    <s v="PW1000G"/>
    <s v="30K"/>
    <m/>
    <d v="2024-02-16T11:36:24"/>
    <d v="2024-05-14T04:00:00"/>
    <d v="2024-06-19T04:00:00"/>
    <x v="167"/>
    <d v="2024-06-20T20:32:21"/>
    <s v="FanR-Blade"/>
    <d v="2024-03-06T05:00:00"/>
    <d v="2024-04-08T04:00:00"/>
    <d v="2024-04-08T04:00:00"/>
    <d v="2024-06-03T04:00:00"/>
    <n v="32.958333333328483"/>
    <n v="56"/>
    <n v="88.958333333328483"/>
    <n v="123.6830555555498"/>
    <n v="34.724722222221317"/>
    <n v="0"/>
    <n v="0"/>
    <n v="0"/>
    <n v="0"/>
    <n v="0"/>
    <n v="0"/>
    <n v="49.140442754629476"/>
    <n v="0"/>
    <n v="49.140442754629476"/>
    <n v="74.542612800920324"/>
    <n v="-14.415720532408159"/>
    <n v="36"/>
    <n v="0"/>
  </r>
  <r>
    <s v="Cases &amp; Composites"/>
    <s v="MSG-240313-FF23DC"/>
    <s v="Robert Thompson"/>
    <s v="Complete"/>
    <s v="Complete"/>
    <s v="4-Low"/>
    <m/>
    <s v="19CC210B"/>
    <s v="Repair-EA"/>
    <s v="EM"/>
    <s v="PW1000G"/>
    <s v="PIP"/>
    <m/>
    <d v="2024-03-13T04:00:00"/>
    <d v="2024-03-29T04:00:00"/>
    <d v="2024-07-31T04:00:00"/>
    <x v="5"/>
    <d v="2024-08-05T14:10:22"/>
    <s v="August Validates the applicability of DMC PW1000G-C-72-21-0421-02A-920A-C (RTN19CC210) for GTFA use.  DDM ID associated with EA needs revision driving this task separate from MSG-240222-FC795D"/>
    <d v="2024-05-07T04:00:00"/>
    <d v="2024-05-07T04:00:00"/>
    <d v="2024-05-07T04:00:00"/>
    <d v="2024-05-08T04:00:00"/>
    <n v="0"/>
    <n v="1"/>
    <n v="1"/>
    <n v="145"/>
    <n v="144"/>
    <n v="0"/>
    <n v="0"/>
    <n v="0"/>
    <n v="0"/>
    <n v="0"/>
    <n v="0"/>
    <n v="0"/>
    <n v="0"/>
    <n v="0"/>
    <n v="145"/>
    <n v="144"/>
    <n v="129"/>
    <n v="0"/>
  </r>
  <r>
    <s v="Cases &amp; Composites"/>
    <s v="MSG-240404-BFDCA6"/>
    <s v="Robert Thompson"/>
    <s v="Complete"/>
    <s v="Complete"/>
    <s v="4-Low"/>
    <m/>
    <s v="17CC494C"/>
    <s v="Repair-EA"/>
    <s v="EM"/>
    <s v="PW1000G"/>
    <s v="30K"/>
    <m/>
    <d v="2024-04-04T04:00:00"/>
    <d v="2024-05-29T04:00:00"/>
    <d v="2024-05-29T04:00:00"/>
    <x v="333"/>
    <d v="2024-06-03T20:09:48"/>
    <s v="JuneFanR-Blade"/>
    <m/>
    <m/>
    <m/>
    <m/>
    <s v=""/>
    <s v=""/>
    <n v="0"/>
    <n v="60"/>
    <n v="60"/>
    <n v="0"/>
    <n v="0"/>
    <n v="0"/>
    <n v="0"/>
    <n v="0"/>
    <n v="0"/>
    <n v="0"/>
    <n v="0"/>
    <n v="0"/>
    <n v="60"/>
    <n v="60"/>
    <n v="5"/>
    <n v="0"/>
  </r>
  <r>
    <s v="Cases &amp; Composites"/>
    <s v="CAS-211955-R2D9R1"/>
    <s v="Robert Thompson"/>
    <s v="Complete"/>
    <s v="Resolved"/>
    <s v="4-Low"/>
    <m/>
    <s v="24CC966"/>
    <s v="Repair-EA"/>
    <s v="OTC"/>
    <s v="PW1000G"/>
    <s v="30K CIPT"/>
    <m/>
    <d v="2024-04-10T19:08:34"/>
    <d v="2024-04-30T04:00:00"/>
    <d v="2024-04-30T04:00:00"/>
    <x v="2"/>
    <d v="2024-04-30T17:00:23"/>
    <s v="Apr"/>
    <d v="2024-04-11T04:00:00"/>
    <d v="2024-04-11T04:00:00"/>
    <d v="2024-04-11T04:00:00"/>
    <d v="2024-04-12T04:00:00"/>
    <n v="0"/>
    <n v="1"/>
    <n v="1"/>
    <n v="19.369050925924967"/>
    <n v="18.369050925924967"/>
    <n v="0"/>
    <n v="0"/>
    <n v="0"/>
    <n v="0"/>
    <n v="0"/>
    <n v="0"/>
    <n v="0"/>
    <n v="0"/>
    <n v="0"/>
    <n v="19.369050925924967"/>
    <n v="18.369050925924967"/>
    <n v="0"/>
    <n v="1"/>
  </r>
  <r>
    <s v="Cases &amp; Composites"/>
    <s v="CAS-212076-M1Z9M3"/>
    <s v="Jia Chen"/>
    <s v="Complete"/>
    <s v="Active"/>
    <s v="4-Low"/>
    <m/>
    <s v="24CCB02"/>
    <s v="Repair-EA"/>
    <s v="OTC"/>
    <s v="PW1000G"/>
    <s v="24K"/>
    <s v="50%"/>
    <d v="2024-04-11T11:21:42"/>
    <d v="2024-09-12T04:00:00"/>
    <d v="2024-11-13T05:00:00"/>
    <x v="212"/>
    <d v="2024-11-04T16:56:39"/>
    <s v="Nov"/>
    <d v="2024-04-25T04:00:00"/>
    <d v="2024-06-19T04:00:00"/>
    <d v="2024-06-19T04:00:00"/>
    <d v="2024-10-22T04:00:00"/>
    <n v="55"/>
    <n v="125"/>
    <n v="180"/>
    <n v="206.73493055555446"/>
    <n v="26.734930555554456"/>
    <n v="0"/>
    <n v="0"/>
    <n v="0"/>
    <n v="0"/>
    <n v="0"/>
    <n v="0"/>
    <n v="0"/>
    <n v="0"/>
    <n v="0"/>
    <n v="206.73493055555446"/>
    <n v="26.734930555554456"/>
    <n v="53.041666666671517"/>
    <n v="0"/>
  </r>
  <r>
    <s v="Cases &amp; Composites"/>
    <s v="CAS-213046-W6N7N4"/>
    <s v="Robert Thompson"/>
    <s v="Complete"/>
    <s v="Resolved"/>
    <s v="4-Low"/>
    <m/>
    <s v="24CCB06"/>
    <s v="Repair-EA"/>
    <s v="OTC"/>
    <s v="PW1000G"/>
    <s v="30K"/>
    <m/>
    <d v="2024-04-24T12:42:33"/>
    <d v="2024-06-03T04:00:00"/>
    <d v="2024-06-03T04:00:00"/>
    <x v="134"/>
    <d v="2024-06-06T12:00:30"/>
    <s v="JuneFanR-Blade"/>
    <d v="2024-04-25T04:00:00"/>
    <d v="2024-05-09T04:00:00"/>
    <d v="2024-05-09T04:00:00"/>
    <d v="2024-05-29T04:00:00"/>
    <n v="14"/>
    <n v="20"/>
    <n v="34"/>
    <n v="41.637118055550673"/>
    <n v="7.6371180555506726"/>
    <n v="0"/>
    <n v="0"/>
    <n v="0"/>
    <n v="0"/>
    <n v="0"/>
    <n v="0"/>
    <n v="0"/>
    <n v="0"/>
    <n v="0"/>
    <n v="41.637118055550673"/>
    <n v="7.6371180555506726"/>
    <n v="2"/>
    <n v="0"/>
  </r>
  <r>
    <s v="Cases &amp; Composites"/>
    <s v="CAS-215639-C4Y7T4"/>
    <s v="Robert Thompson"/>
    <s v="Complete"/>
    <s v="Resolved"/>
    <s v="4-Low"/>
    <m/>
    <s v="24CCE01"/>
    <s v="Repair-EA"/>
    <s v="OTC"/>
    <s v="PW1000G"/>
    <s v="AMO"/>
    <s v="50%"/>
    <d v="2024-05-21T17:38:24"/>
    <d v="2024-09-27T04:00:00"/>
    <d v="2024-07-19T04:00:00"/>
    <x v="148"/>
    <d v="2024-07-17T20:40:15"/>
    <m/>
    <d v="2024-06-07T04:00:00"/>
    <d v="2024-06-28T04:00:00"/>
    <d v="2024-06-28T04:00:00"/>
    <d v="2024-06-28T04:00:00"/>
    <n v="21"/>
    <n v="0"/>
    <n v="21"/>
    <n v="56.431666666663659"/>
    <n v="35.431666666663659"/>
    <n v="0"/>
    <n v="0"/>
    <n v="0"/>
    <n v="0"/>
    <n v="0"/>
    <n v="0"/>
    <n v="0"/>
    <n v="0"/>
    <n v="0"/>
    <n v="56.431666666663659"/>
    <n v="35.431666666663659"/>
    <n v="-72"/>
    <n v="1"/>
  </r>
  <r>
    <s v="Cases &amp; Composites"/>
    <s v="CAS-216687-V4Z4V6"/>
    <s v="Robert Thompson"/>
    <s v="Complete"/>
    <s v="Resolved"/>
    <s v="4-Low"/>
    <m/>
    <s v="20AC089A"/>
    <s v="Repair-EA"/>
    <s v="EM"/>
    <s v="GP7000"/>
    <s v="GP7000"/>
    <s v="75%"/>
    <d v="2024-05-31T16:03:22"/>
    <d v="2024-08-30T04:00:00"/>
    <d v="2024-07-12T04:00:00"/>
    <x v="140"/>
    <d v="2024-07-10T14:00:42"/>
    <s v="July"/>
    <m/>
    <m/>
    <m/>
    <m/>
    <s v=""/>
    <s v=""/>
    <n v="0"/>
    <n v="39.497662037036207"/>
    <n v="39.497662037036207"/>
    <n v="0"/>
    <n v="0"/>
    <n v="0"/>
    <n v="0"/>
    <n v="0"/>
    <n v="0"/>
    <n v="0"/>
    <n v="0"/>
    <n v="0"/>
    <n v="39.497662037036207"/>
    <n v="39.497662037036207"/>
    <n v="-51"/>
    <n v="1"/>
  </r>
  <r>
    <s v="Cases &amp; Composites"/>
    <s v="CAS-217675-C2B4M8"/>
    <s v="Robert Thompson"/>
    <s v="Complete"/>
    <s v="Resolved"/>
    <s v="4-Low"/>
    <m/>
    <s v="24CCF26"/>
    <s v="Repair-EA"/>
    <s v="OTC"/>
    <s v="PW1000G"/>
    <s v="30K"/>
    <s v="75%"/>
    <d v="2024-06-11T11:02:28"/>
    <d v="2024-08-30T04:00:00"/>
    <d v="2024-07-31T04:00:00"/>
    <x v="163"/>
    <d v="2024-07-23T12:52:00"/>
    <m/>
    <d v="2024-06-18T04:00:00"/>
    <d v="2024-06-25T04:00:00"/>
    <d v="2024-06-25T04:00:00"/>
    <d v="2024-07-01T04:00:00"/>
    <n v="7"/>
    <n v="6"/>
    <n v="13"/>
    <n v="40.706620370365272"/>
    <n v="27.706620370365272"/>
    <n v="0"/>
    <n v="0"/>
    <n v="0"/>
    <n v="0"/>
    <n v="0"/>
    <n v="0"/>
    <n v="0"/>
    <n v="0"/>
    <n v="0"/>
    <n v="40.706620370365272"/>
    <n v="27.706620370365272"/>
    <n v="-39"/>
    <n v="1"/>
  </r>
  <r>
    <s v="Cases &amp; Composites"/>
    <s v="MSG-240612-F5D401"/>
    <s v="Robert Thompson"/>
    <s v="Complete"/>
    <s v="Complete"/>
    <s v="4-Low"/>
    <m/>
    <s v="24CCG69"/>
    <s v="Repair-EA"/>
    <s v="OTC"/>
    <s v="PW1000G"/>
    <s v="30K"/>
    <s v="50%"/>
    <d v="2024-06-12T04:00:00"/>
    <d v="2024-08-28T04:00:00"/>
    <d v="2024-09-27T04:00:00"/>
    <x v="334"/>
    <d v="2024-09-12T19:48:17"/>
    <s v="Sept.Follow up to CAS-216877-B8Y3P8, CTS did not move forward with adding an AAI to the inspection for this damage."/>
    <d v="2024-07-10T04:00:00"/>
    <d v="2024-08-08T04:00:00"/>
    <d v="2024-08-08T04:00:00"/>
    <d v="2024-09-03T04:00:00"/>
    <n v="29"/>
    <n v="26"/>
    <n v="55"/>
    <n v="92"/>
    <n v="37"/>
    <n v="0"/>
    <n v="0"/>
    <n v="0"/>
    <n v="0"/>
    <n v="0"/>
    <n v="0"/>
    <n v="0"/>
    <n v="0"/>
    <n v="0"/>
    <n v="92"/>
    <n v="37"/>
    <n v="15"/>
    <n v="0"/>
  </r>
  <r>
    <s v="Cases &amp; Composites"/>
    <s v="CAS-220551-Z6L1T8"/>
    <s v="Tyler Abusbah"/>
    <s v="Complete"/>
    <s v="Resolved"/>
    <s v="4-Low"/>
    <m/>
    <s v="24CCK82"/>
    <s v="Repair-EA"/>
    <s v="OTC"/>
    <s v="PW1000G"/>
    <s v="30K"/>
    <s v="75%"/>
    <d v="2024-07-09T16:25:07"/>
    <d v="2024-08-29T04:00:00"/>
    <d v="2024-08-29T04:00:00"/>
    <x v="335"/>
    <d v="2024-08-07T14:57:35"/>
    <s v="TIC Inner. Aug"/>
    <m/>
    <m/>
    <m/>
    <m/>
    <s v=""/>
    <s v=""/>
    <n v="0"/>
    <n v="28.4825578703676"/>
    <n v="28.4825578703676"/>
    <n v="0"/>
    <n v="0"/>
    <n v="0"/>
    <n v="0"/>
    <n v="0"/>
    <n v="0"/>
    <n v="0"/>
    <n v="0"/>
    <n v="0"/>
    <n v="28.4825578703676"/>
    <n v="28.4825578703676"/>
    <n v="-22"/>
    <n v="1"/>
  </r>
  <r>
    <s v="Cases &amp; Composites"/>
    <s v="MSG-241009-D1FAAB"/>
    <s v="Brian K Holland"/>
    <s v="Complete"/>
    <s v="Complete"/>
    <s v="4-Low"/>
    <m/>
    <s v="15CCH27E"/>
    <s v="Repair-EA"/>
    <s v="EM"/>
    <s v="PW1000G"/>
    <s v="24K"/>
    <s v="75%"/>
    <d v="2024-10-09T04:00:00"/>
    <d v="2024-11-08T05:00:00"/>
    <d v="2024-11-08T05:00:00"/>
    <x v="211"/>
    <d v="2024-11-21T18:31:26"/>
    <s v="Change P05-437 to P05-493A or B"/>
    <m/>
    <m/>
    <m/>
    <m/>
    <s v=""/>
    <s v=""/>
    <n v="0"/>
    <n v="43.041666666671517"/>
    <n v="43.041666666671517"/>
    <n v="0"/>
    <n v="0"/>
    <n v="0"/>
    <n v="0"/>
    <n v="0"/>
    <n v="0"/>
    <n v="0"/>
    <n v="0"/>
    <n v="0"/>
    <n v="43.041666666671517"/>
    <n v="43.041666666671517"/>
    <n v="13"/>
    <n v="0"/>
  </r>
  <r>
    <s v="Cases &amp; Composites"/>
    <s v="CAS-236198-R9S6M5"/>
    <s v="Francisco Astiasaran"/>
    <s v="Complete"/>
    <s v="Resolved"/>
    <s v="4-Low"/>
    <m/>
    <s v="24CCX72"/>
    <s v="Repair-EA"/>
    <s v="OTC"/>
    <s v="PW1000G"/>
    <s v="AMO"/>
    <m/>
    <d v="2024-12-04T18:51:53"/>
    <d v="2024-12-23T05:00:00"/>
    <d v="2024-12-23T05:00:00"/>
    <x v="44"/>
    <d v="2024-12-16T18:30:54"/>
    <m/>
    <m/>
    <m/>
    <m/>
    <m/>
    <s v=""/>
    <s v=""/>
    <n v="0"/>
    <n v="11.42230324074626"/>
    <n v="11.42230324074626"/>
    <n v="0"/>
    <n v="0"/>
    <n v="0"/>
    <n v="0"/>
    <n v="0"/>
    <n v="0"/>
    <n v="0"/>
    <n v="0"/>
    <n v="0"/>
    <n v="11.42230324074626"/>
    <n v="11.42230324074626"/>
    <n v="-7"/>
    <n v="1"/>
  </r>
  <r>
    <s v="Cases &amp; Composites"/>
    <s v="CAS-201529-L3G9F6"/>
    <s v="Pedro Iturrino"/>
    <s v="Complete"/>
    <s v="Resolved"/>
    <s v="Hold"/>
    <n v="6"/>
    <s v="24KC053"/>
    <s v="Repair-EA"/>
    <s v="OTC"/>
    <s v="PW4000"/>
    <s v="AMO"/>
    <m/>
    <d v="2023-12-18T17:01:53"/>
    <d v="2024-05-15T04:00:00"/>
    <d v="2024-08-07T04:00:00"/>
    <x v="336"/>
    <d v="2024-07-26T14:54:41"/>
    <s v="July"/>
    <d v="2024-03-20T04:00:00"/>
    <d v="2024-06-21T04:00:00"/>
    <d v="2024-06-21T04:00:00"/>
    <d v="2024-06-27T04:00:00"/>
    <n v="93"/>
    <n v="6"/>
    <n v="99"/>
    <n v="220.45702546295797"/>
    <n v="121.45702546295797"/>
    <n v="0"/>
    <n v="0"/>
    <n v="0"/>
    <n v="0"/>
    <n v="0"/>
    <n v="24"/>
    <n v="0"/>
    <n v="0"/>
    <n v="24"/>
    <n v="196.45702546295797"/>
    <n v="97.457025462957972"/>
    <n v="72"/>
    <n v="0"/>
  </r>
  <r>
    <s v="Cases &amp; Composites"/>
    <s v="CAS-234143-V0Z5L9"/>
    <s v="Francisco Astiasaran"/>
    <s v="Complete"/>
    <s v="Resolved"/>
    <s v="Backlog"/>
    <n v="2"/>
    <s v="24KC573A"/>
    <s v="Repair-EA"/>
    <s v="OTC"/>
    <s v="PW4000"/>
    <s v="AMO"/>
    <m/>
    <d v="2024-11-14T14:26:44"/>
    <m/>
    <m/>
    <x v="70"/>
    <d v="2024-12-20T14:35:45"/>
    <m/>
    <m/>
    <m/>
    <m/>
    <m/>
    <s v=""/>
    <s v=""/>
    <n v="0"/>
    <n v="34.606435185189184"/>
    <n v="34.606435185189184"/>
    <n v="0"/>
    <n v="0"/>
    <n v="0"/>
    <n v="0"/>
    <n v="0"/>
    <n v="0"/>
    <n v="0"/>
    <n v="0"/>
    <n v="0"/>
    <n v="34.606435185189184"/>
    <n v="34.606435185189184"/>
    <n v="45645.208333333336"/>
    <n v="1"/>
  </r>
  <r>
    <s v="Cases &amp; Composites"/>
    <s v="MSG-ID-20220725154448800-536"/>
    <s v="Robert Thompson"/>
    <s v="Complete"/>
    <s v="Complete"/>
    <s v="Backlog"/>
    <m/>
    <s v="10CC087D"/>
    <s v="Repair-EA"/>
    <s v="EM"/>
    <s v="PW1000G"/>
    <s v="24K"/>
    <m/>
    <d v="2022-07-25T04:00:00"/>
    <m/>
    <m/>
    <x v="102"/>
    <d v="2024-03-11T15:07:16"/>
    <s v="Mar1"/>
    <m/>
    <m/>
    <m/>
    <m/>
    <s v=""/>
    <s v=""/>
    <n v="0"/>
    <n v="595"/>
    <n v="595"/>
    <n v="0"/>
    <n v="0"/>
    <n v="0"/>
    <n v="0"/>
    <n v="0"/>
    <n v="0"/>
    <n v="0"/>
    <n v="0"/>
    <n v="0"/>
    <n v="595"/>
    <n v="595"/>
    <n v="45362.166666666664"/>
    <n v="1"/>
  </r>
  <r>
    <s v="Cases &amp; Composites"/>
    <s v="CAS-163681-W5N7W1"/>
    <s v="Robert Thompson"/>
    <s v="Complete"/>
    <s v="Resolved"/>
    <s v="Backlog"/>
    <m/>
    <s v="22CCN53"/>
    <s v="Repair-EA"/>
    <s v="EM"/>
    <s v="PW1000G"/>
    <s v="24K"/>
    <m/>
    <d v="2022-11-17T12:01:01"/>
    <d v="2022-11-30T05:00:00"/>
    <m/>
    <x v="337"/>
    <d v="2024-02-05T20:29:19"/>
    <m/>
    <m/>
    <m/>
    <m/>
    <m/>
    <s v=""/>
    <s v=""/>
    <n v="0"/>
    <n v="444.70762731481955"/>
    <n v="444.70762731481955"/>
    <n v="0"/>
    <n v="0"/>
    <n v="0"/>
    <n v="0"/>
    <n v="0"/>
    <n v="0"/>
    <n v="0"/>
    <n v="0"/>
    <n v="0"/>
    <n v="444.70762731481955"/>
    <n v="444.70762731481955"/>
    <n v="432"/>
    <n v="0"/>
  </r>
  <r>
    <s v="Cases &amp; Composites"/>
    <s v="CAS-190168-Q2Y7Y1"/>
    <s v="Robert Thompson"/>
    <s v="Complete"/>
    <s v="Resolved"/>
    <s v="Backlog"/>
    <m/>
    <s v="23KC474"/>
    <s v="Repair-EA"/>
    <s v="OTC"/>
    <s v="PW4000"/>
    <s v="OCE"/>
    <m/>
    <d v="2023-08-26T08:02:30"/>
    <m/>
    <m/>
    <x v="152"/>
    <d v="2024-03-05T15:53:57"/>
    <s v="RDAF"/>
    <m/>
    <m/>
    <m/>
    <m/>
    <s v=""/>
    <s v=""/>
    <n v="0"/>
    <n v="191.87326388889051"/>
    <n v="191.87326388889051"/>
    <n v="0"/>
    <n v="0"/>
    <n v="0"/>
    <n v="0"/>
    <n v="0"/>
    <n v="0"/>
    <n v="0"/>
    <n v="0"/>
    <n v="0"/>
    <n v="191.87326388889051"/>
    <n v="191.87326388889051"/>
    <n v="45356.208333333336"/>
    <n v="1"/>
  </r>
  <r>
    <s v="Cases &amp; Composites"/>
    <s v="MSG-230905-1D4ABA"/>
    <s v="Robert Thompson"/>
    <s v="Complete"/>
    <s v="Complete"/>
    <s v="Backlog"/>
    <m/>
    <s v="23CCP97"/>
    <s v="Repair-EA"/>
    <s v="EM"/>
    <s v="PW1000G"/>
    <s v="24K"/>
    <m/>
    <d v="2023-09-05T04:00:00"/>
    <m/>
    <m/>
    <x v="286"/>
    <d v="2024-07-30T11:33:44"/>
    <s v="JulyThis MSG-ID is created to continue the work on developing a Wear Pad Seal Repair based on a request originating in ENC CAS-185905-L6Z0R8"/>
    <m/>
    <m/>
    <m/>
    <m/>
    <s v=""/>
    <s v=""/>
    <n v="0"/>
    <n v="328"/>
    <n v="328"/>
    <n v="0"/>
    <n v="0"/>
    <n v="0"/>
    <n v="0"/>
    <n v="0"/>
    <n v="0"/>
    <n v="0"/>
    <n v="0"/>
    <n v="0"/>
    <n v="328"/>
    <n v="328"/>
    <n v="45502.166666666664"/>
    <n v="1"/>
  </r>
  <r>
    <s v="Cases &amp; Composites"/>
    <s v="CAS-189836-N5D0L1"/>
    <s v="Robert Thompson"/>
    <s v="Complete"/>
    <s v="Resolved"/>
    <s v="Backlog"/>
    <m/>
    <s v="13CC675F"/>
    <s v="Repair-EA"/>
    <s v="MR"/>
    <s v="PW1000G"/>
    <s v="24K"/>
    <m/>
    <d v="2023-08-28T14:27:18"/>
    <m/>
    <m/>
    <x v="125"/>
    <d v="2024-02-19T23:01:23"/>
    <m/>
    <m/>
    <m/>
    <m/>
    <m/>
    <s v=""/>
    <s v=""/>
    <n v="0"/>
    <n v="171.60604166666599"/>
    <n v="171.60604166666599"/>
    <n v="0"/>
    <n v="0"/>
    <n v="0"/>
    <n v="0"/>
    <n v="0"/>
    <n v="0"/>
    <n v="0"/>
    <n v="0"/>
    <n v="0"/>
    <n v="171.60604166666599"/>
    <n v="171.60604166666599"/>
    <n v="45338.208333333336"/>
    <n v="1"/>
  </r>
  <r>
    <s v="Cases &amp; Composites"/>
    <s v="CAS-190578-K8M1F2"/>
    <s v="Robert Thompson"/>
    <s v="Complete"/>
    <s v="Resolved"/>
    <s v="Backlog"/>
    <m/>
    <s v="23CCO56"/>
    <s v="Repair-EA"/>
    <s v="Discretionary"/>
    <s v="PW1000G"/>
    <s v="30K"/>
    <m/>
    <d v="2023-08-30T18:15:40"/>
    <m/>
    <m/>
    <x v="275"/>
    <d v="2024-01-11T11:54:47"/>
    <m/>
    <m/>
    <m/>
    <m/>
    <m/>
    <s v=""/>
    <s v=""/>
    <n v="0"/>
    <n v="132.44745370370947"/>
    <n v="132.44745370370947"/>
    <n v="0"/>
    <n v="0"/>
    <n v="0"/>
    <n v="0"/>
    <n v="0"/>
    <n v="0"/>
    <n v="0"/>
    <n v="0"/>
    <n v="0"/>
    <n v="132.44745370370947"/>
    <n v="132.44745370370947"/>
    <n v="45301.208333333336"/>
    <n v="1"/>
  </r>
  <r>
    <s v="Cases &amp; Composites"/>
    <s v="CAS-192997-Q2K8Z7"/>
    <s v="Robert Thompson"/>
    <s v="Complete"/>
    <s v="Resolved"/>
    <s v="Backlog"/>
    <m/>
    <s v="15CC612F"/>
    <s v="Repair-EA"/>
    <s v="EM"/>
    <s v="PW1000G"/>
    <s v="30K"/>
    <m/>
    <d v="2023-09-25T13:02:02"/>
    <m/>
    <m/>
    <x v="311"/>
    <d v="2024-06-20T20:00:03"/>
    <s v="FanR-Blade_x000a__x000a_June"/>
    <m/>
    <m/>
    <m/>
    <m/>
    <s v=""/>
    <s v=""/>
    <n v="0"/>
    <n v="268.6235879629603"/>
    <n v="268.6235879629603"/>
    <n v="0"/>
    <n v="0"/>
    <n v="0"/>
    <n v="0"/>
    <n v="0"/>
    <n v="0"/>
    <n v="0"/>
    <n v="0"/>
    <n v="0"/>
    <n v="268.6235879629603"/>
    <n v="268.6235879629603"/>
    <n v="45463.166666666664"/>
    <n v="1"/>
  </r>
  <r>
    <s v="Cases &amp; Composites"/>
    <s v="CAS-195063-K0C5X3"/>
    <s v="Robert Thompson"/>
    <s v="Complete"/>
    <s v="Resolved"/>
    <s v="Backlog"/>
    <m/>
    <s v="22CCB58A"/>
    <s v="Repair-EA"/>
    <s v="EM"/>
    <s v="PW1000G"/>
    <s v="30K"/>
    <m/>
    <d v="2023-10-13T17:44:44"/>
    <m/>
    <m/>
    <x v="211"/>
    <d v="2024-11-22T12:27:13"/>
    <s v="FanR-Blade"/>
    <m/>
    <m/>
    <m/>
    <m/>
    <s v=""/>
    <s v=""/>
    <n v="0"/>
    <n v="404.46893518518482"/>
    <n v="404.46893518518482"/>
    <n v="0"/>
    <n v="0"/>
    <n v="0"/>
    <n v="0"/>
    <n v="0"/>
    <n v="0"/>
    <n v="0"/>
    <n v="0"/>
    <n v="0"/>
    <n v="404.46893518518482"/>
    <n v="404.46893518518482"/>
    <n v="45617.208333333336"/>
    <n v="1"/>
  </r>
  <r>
    <s v="Cases &amp; Composites"/>
    <s v="CAS-193989-L2V7Q4"/>
    <s v="Robert Thompson"/>
    <s v="Complete"/>
    <s v="Resolved"/>
    <s v="Backlog"/>
    <m/>
    <s v="23FC338"/>
    <s v="Repair-EA"/>
    <s v="Discretionary"/>
    <s v="PW2000"/>
    <s v="OCE"/>
    <m/>
    <d v="2023-10-03T17:28:37"/>
    <m/>
    <m/>
    <x v="276"/>
    <d v="2024-02-06T14:54:51"/>
    <s v="Jan."/>
    <d v="2023-10-27T04:00:00"/>
    <d v="2023-12-12T05:00:00"/>
    <d v="2023-12-12T05:00:00"/>
    <d v="2023-12-14T05:00:00"/>
    <n v="46.041666666671517"/>
    <n v="2"/>
    <n v="48.041666666671517"/>
    <n v="125.48012731481867"/>
    <n v="77.438460648147156"/>
    <n v="0"/>
    <n v="0"/>
    <n v="0"/>
    <n v="0"/>
    <n v="0"/>
    <n v="0"/>
    <n v="0"/>
    <n v="0"/>
    <n v="0"/>
    <n v="125.48012731481867"/>
    <n v="77.438460648147156"/>
    <n v="45328.208333333336"/>
    <n v="1"/>
  </r>
  <r>
    <s v="Cases &amp; Composites"/>
    <s v="CAS-196123-M2Q5N6"/>
    <s v="Robert Thompson"/>
    <s v="Complete"/>
    <s v="Resolved"/>
    <s v="Backlog"/>
    <m/>
    <s v="15CC383B"/>
    <s v="Repair-EA"/>
    <s v="EM"/>
    <s v="PW1000G"/>
    <s v="24K"/>
    <m/>
    <d v="2023-10-24T14:31:20"/>
    <m/>
    <m/>
    <x v="338"/>
    <d v="2024-03-07T20:49:16"/>
    <s v="Mar1"/>
    <m/>
    <m/>
    <m/>
    <m/>
    <s v=""/>
    <s v=""/>
    <n v="0"/>
    <n v="134.60324074074015"/>
    <n v="134.60324074074015"/>
    <n v="0"/>
    <n v="0"/>
    <n v="0"/>
    <n v="0"/>
    <n v="0"/>
    <n v="0"/>
    <n v="0"/>
    <n v="0"/>
    <n v="0"/>
    <n v="134.60324074074015"/>
    <n v="134.60324074074015"/>
    <n v="45358.208333333336"/>
    <n v="1"/>
  </r>
  <r>
    <s v="Cases &amp; Composites"/>
    <s v="CAS-196181-R5Y2K7"/>
    <s v="Robert Thompson"/>
    <s v="Complete"/>
    <s v="Resolved"/>
    <s v="Backlog"/>
    <m/>
    <s v="17CCE87B"/>
    <s v="Repair-EA"/>
    <s v="EM"/>
    <s v="PW1000G"/>
    <s v="24K"/>
    <m/>
    <d v="2023-10-25T08:21:12"/>
    <m/>
    <m/>
    <x v="147"/>
    <d v="2024-06-24T12:59:48"/>
    <s v="June"/>
    <m/>
    <m/>
    <m/>
    <m/>
    <s v=""/>
    <s v=""/>
    <n v="0"/>
    <n v="239.81861111110629"/>
    <n v="239.81861111110629"/>
    <n v="0"/>
    <n v="0"/>
    <n v="0"/>
    <n v="0"/>
    <n v="0"/>
    <n v="0"/>
    <n v="0"/>
    <n v="0"/>
    <n v="0"/>
    <n v="239.81861111110629"/>
    <n v="239.81861111110629"/>
    <n v="45464.166666666664"/>
    <n v="1"/>
  </r>
  <r>
    <s v="Cases &amp; Composites"/>
    <s v="CAS-197431-M7V7W9"/>
    <s v="Robert Thompson"/>
    <s v="Complete"/>
    <s v="Resolved"/>
    <s v="Backlog"/>
    <m/>
    <s v="23KC597"/>
    <s v="Repair-EA"/>
    <s v="OTC"/>
    <s v="PW4000"/>
    <s v="OCE"/>
    <m/>
    <d v="2023-11-06T20:21:08"/>
    <m/>
    <m/>
    <x v="31"/>
    <d v="2024-02-27T14:22:45"/>
    <s v="RDAF"/>
    <m/>
    <m/>
    <m/>
    <m/>
    <s v=""/>
    <s v=""/>
    <n v="0"/>
    <n v="111.36032407407765"/>
    <n v="111.36032407407765"/>
    <n v="0"/>
    <n v="0"/>
    <n v="0"/>
    <n v="0"/>
    <n v="0"/>
    <n v="0"/>
    <n v="0"/>
    <n v="0"/>
    <n v="0"/>
    <n v="111.36032407407765"/>
    <n v="111.36032407407765"/>
    <n v="45348.208333333336"/>
    <n v="1"/>
  </r>
  <r>
    <s v="Cases &amp; Composites"/>
    <s v="CAS-199094-M1P4B8"/>
    <s v="Jia Chen"/>
    <s v="Complete"/>
    <s v="Resolved"/>
    <s v="Backlog"/>
    <m/>
    <s v="23KC627"/>
    <s v="Repair-EA"/>
    <s v="OTC"/>
    <s v="PW4000"/>
    <s v="AMO"/>
    <m/>
    <d v="2023-11-22T20:50:55"/>
    <m/>
    <m/>
    <x v="337"/>
    <d v="2024-02-06T14:09:31"/>
    <s v="FEB1"/>
    <d v="2023-12-05T05:00:00"/>
    <d v="2023-12-08T05:00:00"/>
    <d v="2023-12-08T05:00:00"/>
    <d v="2023-12-12T05:00:00"/>
    <n v="3"/>
    <n v="4"/>
    <n v="7"/>
    <n v="74.33964120370365"/>
    <n v="67.33964120370365"/>
    <n v="0"/>
    <n v="0"/>
    <n v="0"/>
    <n v="0"/>
    <n v="0"/>
    <n v="0"/>
    <n v="0"/>
    <n v="0"/>
    <n v="0"/>
    <n v="74.33964120370365"/>
    <n v="67.33964120370365"/>
    <n v="45327.208333333336"/>
    <n v="1"/>
  </r>
  <r>
    <s v="Cases &amp; Composites"/>
    <s v="CAS-200364-Y6Y1L5"/>
    <s v="Robert Thompson"/>
    <s v="Complete"/>
    <s v="Resolved"/>
    <s v="Backlog"/>
    <m/>
    <s v="23KC645"/>
    <s v="Repair-EA"/>
    <s v="OTC"/>
    <s v="PW4000"/>
    <s v="OCE"/>
    <m/>
    <d v="2023-12-06T13:59:42"/>
    <m/>
    <m/>
    <x v="137"/>
    <d v="2024-01-09T14:51:20"/>
    <s v="RDAF"/>
    <m/>
    <m/>
    <m/>
    <m/>
    <s v=""/>
    <s v=""/>
    <n v="0"/>
    <n v="26.625208333338378"/>
    <n v="26.625208333338378"/>
    <n v="0"/>
    <n v="0"/>
    <n v="0"/>
    <n v="0"/>
    <n v="0"/>
    <n v="0"/>
    <n v="0"/>
    <n v="0"/>
    <n v="0"/>
    <n v="26.625208333338378"/>
    <n v="26.625208333338378"/>
    <n v="45293.208333333336"/>
    <n v="1"/>
  </r>
  <r>
    <s v="Cases &amp; Composites"/>
    <s v="CAS-200981-C9W1J4"/>
    <s v="Robert Thompson"/>
    <s v="Complete"/>
    <s v="Resolved"/>
    <s v="Backlog"/>
    <m/>
    <s v="23CCX87"/>
    <s v="Repair-EA"/>
    <s v="OTC"/>
    <s v="PW1000G"/>
    <m/>
    <m/>
    <d v="2023-12-12T12:55:53"/>
    <m/>
    <m/>
    <x v="61"/>
    <d v="2024-01-31T20:27:21"/>
    <s v="Jan."/>
    <d v="2023-12-18T05:00:00"/>
    <d v="2023-12-18T05:00:00"/>
    <d v="2023-12-18T05:00:00"/>
    <d v="2023-12-18T05:00:00"/>
    <n v="0"/>
    <n v="0"/>
    <n v="0"/>
    <n v="49.669525462966703"/>
    <n v="49.669525462966703"/>
    <n v="0"/>
    <n v="0"/>
    <n v="0"/>
    <n v="0"/>
    <n v="0"/>
    <n v="0"/>
    <n v="0"/>
    <n v="0"/>
    <n v="0"/>
    <n v="49.669525462966703"/>
    <n v="49.669525462966703"/>
    <n v="45322.208333333336"/>
    <n v="1"/>
  </r>
  <r>
    <s v="Cases &amp; Composites"/>
    <s v="MSG-231220-C6870A"/>
    <s v="Robert Thompson"/>
    <s v="Complete"/>
    <s v="Complete"/>
    <s v="Backlog"/>
    <m/>
    <s v="23CC383A"/>
    <s v="Repair-EA"/>
    <s v="EM"/>
    <s v="PW1000G"/>
    <s v="24K"/>
    <m/>
    <d v="2023-12-20T05:00:00"/>
    <m/>
    <m/>
    <x v="154"/>
    <d v="2024-03-27T20:43:49"/>
    <s v="Mar2"/>
    <m/>
    <m/>
    <m/>
    <m/>
    <s v=""/>
    <s v=""/>
    <n v="0"/>
    <n v="97.958333333328483"/>
    <n v="97.958333333328483"/>
    <n v="0"/>
    <n v="0"/>
    <n v="0"/>
    <n v="0"/>
    <n v="0"/>
    <n v="0"/>
    <n v="0"/>
    <n v="0"/>
    <n v="0"/>
    <n v="97.958333333328483"/>
    <n v="97.958333333328483"/>
    <n v="45378.166666666664"/>
    <n v="1"/>
  </r>
  <r>
    <s v="Cases &amp; Composites"/>
    <s v="CAS-201875-Q7H5X8"/>
    <s v="Robert Thompson"/>
    <s v="Complete"/>
    <s v="Resolved"/>
    <s v="Backlog"/>
    <m/>
    <s v="23CCY37"/>
    <s v="Repair-EA"/>
    <s v="OTC"/>
    <s v="PW1000G"/>
    <s v="30K CIPT"/>
    <m/>
    <d v="2023-12-21T14:43:21"/>
    <m/>
    <m/>
    <x v="339"/>
    <d v="2024-02-13T21:39:32"/>
    <s v="Feb."/>
    <d v="2023-12-22T05:00:00"/>
    <d v="2024-01-19T05:00:00"/>
    <d v="2024-01-19T05:00:00"/>
    <d v="2024-01-19T05:00:00"/>
    <n v="28"/>
    <n v="0"/>
    <n v="28"/>
    <n v="53.594895833339251"/>
    <n v="25.594895833339251"/>
    <n v="0"/>
    <n v="0"/>
    <n v="0"/>
    <n v="0"/>
    <n v="0"/>
    <n v="0"/>
    <n v="0"/>
    <n v="0"/>
    <n v="0"/>
    <n v="53.594895833339251"/>
    <n v="25.594895833339251"/>
    <n v="45335.208333333336"/>
    <n v="1"/>
  </r>
  <r>
    <s v="Cases &amp; Composites"/>
    <s v="CAS-201672-D5D5Z7"/>
    <s v="Robert Thompson"/>
    <s v="Complete"/>
    <s v="Resolved"/>
    <s v="Backlog"/>
    <m/>
    <s v="24CC085"/>
    <s v="Repair-EA"/>
    <s v="OTC"/>
    <s v="PW1000G"/>
    <s v="30K"/>
    <m/>
    <d v="2023-12-19T20:42:37"/>
    <m/>
    <m/>
    <x v="69"/>
    <d v="2024-01-26T15:25:52"/>
    <m/>
    <d v="2024-01-11T05:00:00"/>
    <d v="2024-01-11T05:00:00"/>
    <d v="2024-01-11T05:00:00"/>
    <d v="2024-01-11T05:00:00"/>
    <n v="0"/>
    <n v="0"/>
    <n v="0"/>
    <n v="37.345405092593865"/>
    <n v="37.345405092593865"/>
    <n v="0"/>
    <n v="0"/>
    <n v="0"/>
    <n v="0"/>
    <n v="0"/>
    <n v="0"/>
    <n v="0"/>
    <n v="0"/>
    <n v="0"/>
    <n v="37.345405092593865"/>
    <n v="37.345405092593865"/>
    <n v="45317.208333333336"/>
    <n v="1"/>
  </r>
  <r>
    <s v="Cases &amp; Composites"/>
    <s v="CAS-201974-X4W2D2"/>
    <s v="Robert Thompson"/>
    <s v="Complete"/>
    <s v="Resolved"/>
    <s v="Backlog"/>
    <m/>
    <s v="24KC014"/>
    <s v="Repair-EA"/>
    <s v="OTC"/>
    <s v="PW4000"/>
    <s v="OCE"/>
    <m/>
    <d v="2023-12-22T08:10:01"/>
    <m/>
    <m/>
    <x v="76"/>
    <d v="2024-04-25T12:41:38"/>
    <s v="RDAF"/>
    <m/>
    <m/>
    <m/>
    <m/>
    <s v=""/>
    <s v=""/>
    <n v="0"/>
    <n v="124.82637731481373"/>
    <n v="124.82637731481373"/>
    <n v="0"/>
    <n v="0"/>
    <n v="0"/>
    <n v="0"/>
    <n v="0"/>
    <n v="0"/>
    <n v="0"/>
    <n v="0"/>
    <n v="0"/>
    <n v="124.82637731481373"/>
    <n v="124.82637731481373"/>
    <n v="45407.166666666664"/>
    <n v="1"/>
  </r>
  <r>
    <s v="Cases &amp; Composites"/>
    <s v="CAS-202964-S0K0C8"/>
    <s v="Robert Thompson"/>
    <s v="Complete"/>
    <s v="Resolved"/>
    <s v="Backlog"/>
    <m/>
    <s v="24KC018"/>
    <s v="Repair-EA"/>
    <s v="OTC"/>
    <s v="PW4000"/>
    <s v="OCE"/>
    <m/>
    <d v="2024-01-06T01:19:02"/>
    <m/>
    <m/>
    <x v="339"/>
    <d v="2024-02-19T14:58:47"/>
    <s v="RDAF"/>
    <m/>
    <m/>
    <m/>
    <m/>
    <s v=""/>
    <s v=""/>
    <n v="0"/>
    <n v="38.15344907407416"/>
    <n v="38.15344907407416"/>
    <n v="0"/>
    <n v="0"/>
    <n v="0"/>
    <n v="0"/>
    <n v="0"/>
    <n v="0"/>
    <n v="0"/>
    <n v="0"/>
    <n v="0"/>
    <n v="38.15344907407416"/>
    <n v="38.15344907407416"/>
    <n v="45335.208333333336"/>
    <n v="1"/>
  </r>
  <r>
    <s v="Cases &amp; Composites"/>
    <s v="CAS-200108-D4X8T4"/>
    <s v="Robert Thompson"/>
    <s v="Complete"/>
    <s v="Resolved"/>
    <s v="Backlog"/>
    <m/>
    <s v="24FC011"/>
    <s v="Repair-EA"/>
    <s v="EM"/>
    <s v="PW2000"/>
    <s v="OCE"/>
    <m/>
    <d v="2023-12-04T13:52:30"/>
    <m/>
    <m/>
    <x v="340"/>
    <d v="2024-01-17T21:57:30"/>
    <m/>
    <m/>
    <m/>
    <m/>
    <m/>
    <s v=""/>
    <s v=""/>
    <n v="0"/>
    <n v="43.630208333335759"/>
    <n v="43.630208333335759"/>
    <n v="0"/>
    <n v="0"/>
    <n v="0"/>
    <n v="0"/>
    <n v="0"/>
    <n v="0"/>
    <n v="0"/>
    <n v="0"/>
    <n v="0"/>
    <n v="43.630208333335759"/>
    <n v="43.630208333335759"/>
    <n v="45308.208333333336"/>
    <n v="1"/>
  </r>
  <r>
    <s v="Cases &amp; Composites"/>
    <s v="CAS-203872-S8Q2T0"/>
    <s v="Robert Thompson"/>
    <s v="Complete"/>
    <s v="Resolved"/>
    <s v="Backlog"/>
    <m/>
    <s v="20KC183F"/>
    <s v="Repair-EA"/>
    <s v="EM"/>
    <s v="PW4000"/>
    <s v="AMO"/>
    <m/>
    <d v="2024-01-16T16:20:52"/>
    <m/>
    <m/>
    <x v="309"/>
    <d v="2024-01-19T16:48:16"/>
    <m/>
    <m/>
    <m/>
    <m/>
    <m/>
    <s v=""/>
    <s v=""/>
    <n v="0"/>
    <n v="2.5271759259267128"/>
    <n v="2.5271759259267128"/>
    <n v="0"/>
    <n v="0"/>
    <n v="0"/>
    <n v="0"/>
    <n v="0"/>
    <n v="0"/>
    <n v="0"/>
    <n v="0"/>
    <n v="0"/>
    <n v="2.5271759259267128"/>
    <n v="2.5271759259267128"/>
    <n v="45310.208333333336"/>
    <n v="1"/>
  </r>
  <r>
    <s v="Cases &amp; Composites"/>
    <s v="MSG-240502-0C6C4D"/>
    <s v="Camille M Henriquez"/>
    <s v="Complete"/>
    <s v="Complete"/>
    <s v="Backlog"/>
    <m/>
    <s v="24VC031"/>
    <s v="Repair-EA"/>
    <s v="OTC"/>
    <s v="V2500"/>
    <m/>
    <m/>
    <d v="2024-05-02T04:00:00"/>
    <m/>
    <m/>
    <x v="30"/>
    <d v="2024-05-02T14:28:55"/>
    <m/>
    <m/>
    <m/>
    <m/>
    <m/>
    <s v=""/>
    <s v=""/>
    <n v="0"/>
    <n v="-100.95833333332848"/>
    <n v="-100.95833333332848"/>
    <n v="0"/>
    <n v="0"/>
    <n v="0"/>
    <n v="0"/>
    <n v="0"/>
    <n v="0"/>
    <n v="0"/>
    <n v="0"/>
    <n v="0"/>
    <n v="-100.95833333332848"/>
    <n v="-100.95833333332848"/>
    <n v="45313.208333333336"/>
    <n v="1"/>
  </r>
  <r>
    <s v="Cases &amp; Composites"/>
    <s v="MSG-240502-3BF5BF"/>
    <s v="Camille M Henriquez"/>
    <s v="Complete"/>
    <s v="Complete"/>
    <s v="Backlog"/>
    <m/>
    <s v="24VC032"/>
    <s v="Repair-EA"/>
    <s v="OTC"/>
    <s v="V2500"/>
    <m/>
    <m/>
    <d v="2024-05-02T04:00:00"/>
    <m/>
    <m/>
    <x v="30"/>
    <d v="2024-05-02T14:30:33"/>
    <m/>
    <m/>
    <m/>
    <m/>
    <m/>
    <s v=""/>
    <s v=""/>
    <n v="0"/>
    <n v="-100.95833333332848"/>
    <n v="-100.95833333332848"/>
    <n v="0"/>
    <n v="0"/>
    <n v="0"/>
    <n v="0"/>
    <n v="0"/>
    <n v="0"/>
    <n v="0"/>
    <n v="0"/>
    <n v="0"/>
    <n v="-100.95833333332848"/>
    <n v="-100.95833333332848"/>
    <n v="45313.208333333336"/>
    <n v="1"/>
  </r>
  <r>
    <s v="Cases &amp; Composites"/>
    <s v="CAS-203574-W5R9S2"/>
    <s v="Robert Thompson"/>
    <s v="Complete"/>
    <s v="Resolved"/>
    <s v="Backlog"/>
    <m/>
    <s v="24CC329"/>
    <s v="Repair-EA"/>
    <s v="OTC"/>
    <s v="PW1000G"/>
    <s v="AMO"/>
    <m/>
    <d v="2024-01-12T18:13:47"/>
    <m/>
    <m/>
    <x v="341"/>
    <d v="2024-02-26T14:43:35"/>
    <m/>
    <d v="2024-02-05T05:00:00"/>
    <d v="2024-02-07T05:00:00"/>
    <d v="2024-02-07T05:00:00"/>
    <d v="2024-02-14T05:00:00"/>
    <n v="2"/>
    <n v="7"/>
    <n v="9"/>
    <n v="42.448761574079981"/>
    <n v="33.448761574079981"/>
    <n v="0"/>
    <n v="0"/>
    <n v="0"/>
    <n v="0"/>
    <n v="0"/>
    <n v="0"/>
    <n v="0"/>
    <n v="0"/>
    <n v="0"/>
    <n v="42.448761574079981"/>
    <n v="33.448761574079981"/>
    <n v="45346.208333333336"/>
    <n v="1"/>
  </r>
  <r>
    <s v="Cases &amp; Composites"/>
    <s v="MSG-240130-5480EF"/>
    <s v="Robert Thompson"/>
    <s v="Complete"/>
    <s v="Complete"/>
    <s v="Backlog"/>
    <m/>
    <s v="24CC157"/>
    <s v="Repair-EA"/>
    <s v="OTC"/>
    <s v="PW1000G"/>
    <m/>
    <m/>
    <d v="2024-01-30T05:00:00"/>
    <m/>
    <m/>
    <x v="61"/>
    <d v="2024-01-31T20:27:28"/>
    <s v="This MSG ID was created to replace CAS-204131-M8J3D1. The original ENC was submitted under the wrong Engine Model."/>
    <m/>
    <m/>
    <m/>
    <m/>
    <s v=""/>
    <s v=""/>
    <n v="0"/>
    <n v="1"/>
    <n v="1"/>
    <n v="0"/>
    <n v="0"/>
    <n v="0"/>
    <n v="0"/>
    <n v="0"/>
    <n v="0"/>
    <n v="0"/>
    <n v="0"/>
    <n v="0"/>
    <n v="1"/>
    <n v="1"/>
    <n v="45322.208333333336"/>
    <n v="1"/>
  </r>
  <r>
    <s v="Cases &amp; Composites"/>
    <s v="CAS-205390-N9W1H7"/>
    <s v="Robert Thompson"/>
    <s v="Complete"/>
    <s v="Resolved"/>
    <s v="Backlog"/>
    <m/>
    <s v="24CC354"/>
    <s v="Repair-EA"/>
    <s v="OTC"/>
    <s v="PW1000G"/>
    <m/>
    <m/>
    <d v="2024-01-31T15:54:14"/>
    <m/>
    <m/>
    <x v="339"/>
    <d v="2024-02-13T21:34:47"/>
    <s v="Feb."/>
    <m/>
    <m/>
    <m/>
    <m/>
    <s v=""/>
    <s v=""/>
    <n v="0"/>
    <n v="12.545671296298678"/>
    <n v="12.545671296298678"/>
    <n v="0"/>
    <n v="0"/>
    <n v="0"/>
    <n v="0"/>
    <n v="0"/>
    <n v="0"/>
    <n v="0"/>
    <n v="0"/>
    <n v="0"/>
    <n v="12.545671296298678"/>
    <n v="12.545671296298678"/>
    <n v="45335.208333333336"/>
    <n v="1"/>
  </r>
  <r>
    <s v="Cases &amp; Composites"/>
    <s v="CAS-205339-J3L0Y5"/>
    <s v="Robert Thompson"/>
    <s v="Complete"/>
    <s v="Resolved"/>
    <s v="Backlog"/>
    <m/>
    <s v="24KC066"/>
    <s v="Repair-EA"/>
    <s v="OTC"/>
    <s v="PW4000"/>
    <s v="OCE"/>
    <m/>
    <d v="2024-01-31T09:09:04"/>
    <m/>
    <m/>
    <x v="316"/>
    <d v="2024-04-10T13:27:29"/>
    <s v="RDAF"/>
    <m/>
    <m/>
    <m/>
    <m/>
    <s v=""/>
    <s v=""/>
    <n v="0"/>
    <n v="69.785370370365854"/>
    <n v="69.785370370365854"/>
    <n v="0"/>
    <n v="0"/>
    <n v="0"/>
    <n v="0"/>
    <n v="0"/>
    <n v="0"/>
    <n v="0"/>
    <n v="0"/>
    <n v="0"/>
    <n v="69.785370370365854"/>
    <n v="69.785370370365854"/>
    <n v="45392.166666666664"/>
    <n v="1"/>
  </r>
  <r>
    <s v="Cases &amp; Composites"/>
    <s v="MSG-240201-9E2A9C"/>
    <s v="Robert Thompson"/>
    <s v="Complete"/>
    <s v="Complete"/>
    <s v="Backlog"/>
    <m/>
    <s v="24FC038"/>
    <s v="Repair-EA"/>
    <s v="EM"/>
    <s v="PW2000"/>
    <s v="OCE"/>
    <m/>
    <d v="2024-02-01T05:00:00"/>
    <m/>
    <m/>
    <x v="338"/>
    <d v="2024-03-07T15:55:01"/>
    <s v="(Mar1.)This request came in from the PW2000 Program to add a blend repair for the 1B0240-01 and 1B0241-01 Titanium liners to the engine manual."/>
    <m/>
    <m/>
    <m/>
    <m/>
    <s v=""/>
    <s v=""/>
    <n v="0"/>
    <n v="35"/>
    <n v="35"/>
    <n v="0"/>
    <n v="0"/>
    <n v="0"/>
    <n v="0"/>
    <n v="0"/>
    <n v="0"/>
    <n v="0"/>
    <n v="0"/>
    <n v="0"/>
    <n v="35"/>
    <n v="35"/>
    <n v="45358.208333333336"/>
    <n v="1"/>
  </r>
  <r>
    <s v="Cases &amp; Composites"/>
    <s v="CAS-205836-W0G9Y2"/>
    <s v="Robert Thompson"/>
    <s v="Complete"/>
    <s v="Resolved"/>
    <s v="Backlog"/>
    <m/>
    <s v="24CC467"/>
    <s v="Repair-EA"/>
    <s v="OTC"/>
    <s v="PW1000G"/>
    <s v="30K"/>
    <m/>
    <d v="2024-02-05T20:32:09"/>
    <m/>
    <m/>
    <x v="210"/>
    <d v="2024-12-04T21:39:18"/>
    <s v="FanR-Cone"/>
    <d v="2024-10-30T04:00:00"/>
    <d v="2024-11-11T05:00:00"/>
    <d v="2024-11-11T05:00:00"/>
    <d v="2024-11-15T05:00:00"/>
    <n v="12.041666666671517"/>
    <n v="4"/>
    <n v="16.041666666671517"/>
    <n v="302.35267361111619"/>
    <n v="286.31100694444467"/>
    <n v="0"/>
    <n v="0"/>
    <n v="0"/>
    <n v="0"/>
    <n v="0"/>
    <n v="195.98075018518284"/>
    <n v="0"/>
    <n v="0"/>
    <n v="195.98075018518284"/>
    <n v="106.37192342593335"/>
    <n v="90.330256759261829"/>
    <n v="45630.208333333336"/>
    <n v="1"/>
  </r>
  <r>
    <s v="Cases &amp; Composites"/>
    <s v="CAS-206240-P6K8B0"/>
    <s v="Robert Thompson"/>
    <s v="Complete"/>
    <s v="Resolved"/>
    <s v="Backlog"/>
    <m/>
    <s v="24CC381"/>
    <s v="Repair-EA"/>
    <s v="OTC"/>
    <s v="PW1000G"/>
    <s v="30K CIPT"/>
    <m/>
    <d v="2024-02-08T17:32:55"/>
    <m/>
    <m/>
    <x v="31"/>
    <d v="2024-02-27T15:43:00"/>
    <m/>
    <d v="2024-02-12T05:00:00"/>
    <d v="2024-02-14T05:00:00"/>
    <d v="2024-02-14T05:00:00"/>
    <d v="2024-02-14T05:00:00"/>
    <n v="2"/>
    <n v="0"/>
    <n v="2"/>
    <n v="17.477141203708015"/>
    <n v="15.477141203708015"/>
    <n v="0"/>
    <n v="0"/>
    <n v="0"/>
    <n v="0"/>
    <n v="0"/>
    <n v="0"/>
    <n v="0"/>
    <n v="0"/>
    <n v="0"/>
    <n v="17.477141203708015"/>
    <n v="15.477141203708015"/>
    <n v="45348.208333333336"/>
    <n v="1"/>
  </r>
  <r>
    <s v="Cases &amp; Composites"/>
    <s v="CAS-206357-L1V0V7"/>
    <s v="Jia Chen"/>
    <s v="Complete"/>
    <s v="Resolved"/>
    <s v="Backlog"/>
    <m/>
    <s v="24KC082"/>
    <s v="Repair-EA"/>
    <s v="OTC"/>
    <s v="PW4000"/>
    <s v="AMO"/>
    <m/>
    <d v="2024-02-09T21:44:21"/>
    <m/>
    <m/>
    <x v="154"/>
    <d v="2024-03-27T21:01:20"/>
    <s v="mar2"/>
    <d v="2024-02-14T05:00:00"/>
    <d v="2024-02-16T05:00:00"/>
    <d v="2024-02-16T05:00:00"/>
    <d v="2024-02-16T05:00:00"/>
    <n v="2"/>
    <n v="0"/>
    <n v="2"/>
    <n v="46.260868055549508"/>
    <n v="44.260868055549508"/>
    <n v="0"/>
    <n v="0"/>
    <n v="0"/>
    <n v="0"/>
    <n v="0"/>
    <n v="0"/>
    <n v="0"/>
    <n v="0"/>
    <n v="0"/>
    <n v="46.260868055549508"/>
    <n v="44.260868055549508"/>
    <n v="45378.166666666664"/>
    <n v="1"/>
  </r>
  <r>
    <s v="Cases &amp; Composites"/>
    <s v="CAS-206794-Z8P7K6"/>
    <s v="Robert Thompson"/>
    <s v="Complete"/>
    <s v="Resolved"/>
    <s v="Backlog"/>
    <m/>
    <s v="24CC429"/>
    <s v="Repair-EA"/>
    <s v="OTC"/>
    <s v="PW1000G"/>
    <m/>
    <m/>
    <d v="2024-02-15T13:54:05"/>
    <m/>
    <m/>
    <x v="338"/>
    <d v="2024-03-07T20:59:18"/>
    <s v="Mar1"/>
    <d v="2024-02-20T05:00:00"/>
    <d v="2024-02-20T05:00:00"/>
    <d v="2024-02-20T05:00:00"/>
    <d v="2024-02-20T05:00:00"/>
    <n v="0"/>
    <n v="0"/>
    <n v="0"/>
    <n v="20.62910879629635"/>
    <n v="20.62910879629635"/>
    <n v="0"/>
    <n v="0"/>
    <n v="0"/>
    <n v="0"/>
    <n v="0"/>
    <n v="0"/>
    <n v="0"/>
    <n v="0"/>
    <n v="0"/>
    <n v="20.62910879629635"/>
    <n v="20.62910879629635"/>
    <n v="45358.208333333336"/>
    <n v="1"/>
  </r>
  <r>
    <s v="Cases &amp; Composites"/>
    <n v="104000"/>
    <s v="Robert Thompson"/>
    <s v="Complete"/>
    <s v="Closed"/>
    <s v="Backlog"/>
    <m/>
    <s v="24FC061"/>
    <s v="Repair-EA"/>
    <s v="OTC"/>
    <s v="PW2000"/>
    <s v="AMO"/>
    <m/>
    <d v="2024-02-09T05:00:00"/>
    <m/>
    <m/>
    <x v="274"/>
    <d v="2024-02-28T17:44:39"/>
    <m/>
    <d v="2024-02-20T05:00:00"/>
    <d v="2024-02-22T05:00:00"/>
    <d v="2024-02-22T05:00:00"/>
    <d v="2024-02-27T05:00:00"/>
    <n v="2"/>
    <n v="5"/>
    <n v="7"/>
    <n v="19"/>
    <n v="12"/>
    <n v="0"/>
    <n v="0"/>
    <n v="0"/>
    <n v="0"/>
    <n v="0"/>
    <n v="0"/>
    <n v="0"/>
    <n v="0"/>
    <n v="0"/>
    <n v="19"/>
    <n v="12"/>
    <n v="45350.208333333336"/>
    <n v="1"/>
  </r>
  <r>
    <s v="Cases &amp; Composites"/>
    <s v="CAS-206848-X0V7W4"/>
    <s v="Robert Thompson"/>
    <s v="Complete"/>
    <s v="Resolved"/>
    <s v="Backlog"/>
    <m/>
    <s v="24CC453"/>
    <s v="Repair-EA"/>
    <s v="OTC"/>
    <s v="PW1000G"/>
    <s v="30K CIPT"/>
    <m/>
    <d v="2024-02-15T20:57:07"/>
    <m/>
    <m/>
    <x v="127"/>
    <d v="2024-02-29T20:09:47"/>
    <m/>
    <d v="2024-02-20T05:00:00"/>
    <d v="2024-02-20T05:00:00"/>
    <d v="2024-02-20T05:00:00"/>
    <d v="2024-02-20T05:00:00"/>
    <n v="0"/>
    <n v="0"/>
    <n v="0"/>
    <n v="13.335335648152977"/>
    <n v="13.335335648152977"/>
    <n v="0"/>
    <n v="0"/>
    <n v="0"/>
    <n v="0"/>
    <n v="0"/>
    <n v="0"/>
    <n v="0"/>
    <n v="0"/>
    <n v="0"/>
    <n v="13.335335648152977"/>
    <n v="13.335335648152977"/>
    <n v="45351.208333333336"/>
    <n v="1"/>
  </r>
  <r>
    <s v="Cases &amp; Composites"/>
    <s v="CAS-207956-H5G9V9"/>
    <s v="Robert Thompson"/>
    <s v="Complete"/>
    <s v="Resolved"/>
    <s v="Backlog"/>
    <m/>
    <s v="24CC534"/>
    <s v="Repair-EA"/>
    <s v="OTC"/>
    <s v="PW1000G"/>
    <s v="30K CIPT"/>
    <m/>
    <d v="2024-02-27T16:59:20"/>
    <m/>
    <m/>
    <x v="342"/>
    <d v="2024-03-13T20:56:53"/>
    <s v="Mar1"/>
    <d v="2024-03-04T05:00:00"/>
    <d v="2024-03-04T05:00:00"/>
    <d v="2024-03-04T05:00:00"/>
    <d v="2024-03-04T05:00:00"/>
    <n v="0"/>
    <n v="0"/>
    <n v="0"/>
    <n v="14.458796296290529"/>
    <n v="14.458796296290529"/>
    <n v="0"/>
    <n v="0"/>
    <n v="0"/>
    <n v="0"/>
    <n v="0"/>
    <n v="0"/>
    <n v="0"/>
    <n v="0"/>
    <n v="0"/>
    <n v="14.458796296290529"/>
    <n v="14.458796296290529"/>
    <n v="45364.166666666664"/>
    <n v="1"/>
  </r>
  <r>
    <s v="Cases &amp; Composites"/>
    <s v="CAS-207971-S0Z5Z5"/>
    <s v="Robert Thompson"/>
    <s v="Complete"/>
    <s v="Resolved"/>
    <s v="Backlog"/>
    <m/>
    <s v="22KC329D"/>
    <s v="Repair-EA"/>
    <s v="EM"/>
    <s v="PW4000"/>
    <s v="AMO"/>
    <m/>
    <d v="2024-02-27T20:24:50"/>
    <m/>
    <m/>
    <x v="312"/>
    <d v="2024-09-09T16:17:14"/>
    <s v="Sept"/>
    <m/>
    <m/>
    <m/>
    <m/>
    <s v=""/>
    <s v=""/>
    <n v="0"/>
    <n v="190.31608796295768"/>
    <n v="190.31608796295768"/>
    <n v="0"/>
    <n v="0"/>
    <n v="0"/>
    <n v="0"/>
    <n v="0"/>
    <n v="0"/>
    <n v="0"/>
    <n v="0"/>
    <n v="0"/>
    <n v="190.31608796295768"/>
    <n v="190.31608796295768"/>
    <n v="45540.166666666664"/>
    <n v="1"/>
  </r>
  <r>
    <s v="Cases &amp; Composites"/>
    <s v="CAS-209784-W6T9T3"/>
    <s v="Robert Thompson"/>
    <s v="Complete"/>
    <s v="Resolved"/>
    <s v="Backlog"/>
    <m/>
    <s v="15CCB11E"/>
    <s v="Repair-EA"/>
    <s v="EM"/>
    <s v="PW1000G"/>
    <s v="30K"/>
    <m/>
    <d v="2024-03-18T19:11:41"/>
    <m/>
    <m/>
    <x v="195"/>
    <d v="2024-06-27T10:43:24"/>
    <s v="JuneFanR-Blade"/>
    <m/>
    <m/>
    <m/>
    <m/>
    <s v=""/>
    <s v=""/>
    <n v="0"/>
    <n v="98.366886574069213"/>
    <n v="98.366886574069213"/>
    <n v="0"/>
    <n v="0"/>
    <n v="0"/>
    <n v="0"/>
    <n v="0"/>
    <n v="0"/>
    <n v="0"/>
    <n v="0"/>
    <n v="0"/>
    <n v="98.366886574069213"/>
    <n v="98.366886574069213"/>
    <n v="45468.166666666664"/>
    <n v="1"/>
  </r>
  <r>
    <s v="Cases &amp; Composites"/>
    <s v="CAS-209256-W2R0P6"/>
    <s v="Robert Thompson"/>
    <s v="Complete"/>
    <s v="Resolved"/>
    <s v="Backlog"/>
    <m/>
    <s v="24FC096"/>
    <s v="Repair-EA"/>
    <s v="EM"/>
    <s v="PW2000"/>
    <s v="OCE"/>
    <m/>
    <d v="2024-03-12T14:38:09"/>
    <m/>
    <m/>
    <x v="108"/>
    <d v="2024-04-18T19:50:47"/>
    <s v="Apr"/>
    <m/>
    <m/>
    <m/>
    <m/>
    <s v=""/>
    <s v=""/>
    <n v="0"/>
    <n v="35.556840277778974"/>
    <n v="35.556840277778974"/>
    <n v="0"/>
    <n v="0"/>
    <n v="0"/>
    <n v="0"/>
    <n v="0"/>
    <n v="0"/>
    <n v="0"/>
    <n v="0"/>
    <n v="0"/>
    <n v="35.556840277778974"/>
    <n v="35.556840277778974"/>
    <n v="45399.166666666664"/>
    <n v="1"/>
  </r>
  <r>
    <s v="Cases &amp; Composites"/>
    <s v="CAS-209627-C1Y5F6"/>
    <s v="Robert Thompson"/>
    <s v="Complete"/>
    <s v="Resolved"/>
    <s v="Backlog"/>
    <m/>
    <s v="24CC779"/>
    <s v="Repair-EA"/>
    <s v="OTC"/>
    <s v="PW1000G"/>
    <s v="30K"/>
    <m/>
    <d v="2024-03-18T19:46:23"/>
    <m/>
    <m/>
    <x v="343"/>
    <d v="2024-05-13T12:36:12"/>
    <s v="MayFanR-Cone"/>
    <m/>
    <m/>
    <m/>
    <m/>
    <s v=""/>
    <s v=""/>
    <n v="0"/>
    <n v="51.342789351852844"/>
    <n v="51.342789351852844"/>
    <n v="0"/>
    <n v="0"/>
    <n v="0"/>
    <n v="0"/>
    <n v="0"/>
    <n v="0"/>
    <n v="0"/>
    <n v="0"/>
    <n v="0"/>
    <n v="51.342789351852844"/>
    <n v="51.342789351852844"/>
    <n v="45421.166666666664"/>
    <n v="1"/>
  </r>
  <r>
    <s v="Cases &amp; Composites"/>
    <s v="CAS-209929-W1N0F7"/>
    <s v="Robert Thompson"/>
    <s v="Complete"/>
    <s v="Resolved"/>
    <s v="Backlog"/>
    <m/>
    <s v="14CC214G"/>
    <s v="Repair-EA"/>
    <s v="EM"/>
    <s v="PW1000G"/>
    <s v="24K"/>
    <m/>
    <d v="2024-03-19T21:15:50"/>
    <m/>
    <m/>
    <x v="284"/>
    <d v="2024-06-28T19:42:17"/>
    <s v="June"/>
    <m/>
    <m/>
    <m/>
    <m/>
    <s v=""/>
    <s v=""/>
    <n v="0"/>
    <n v="100.28067129629198"/>
    <n v="100.28067129629198"/>
    <n v="0"/>
    <n v="0"/>
    <n v="0"/>
    <n v="0"/>
    <n v="0"/>
    <n v="0"/>
    <n v="0"/>
    <n v="0"/>
    <n v="0"/>
    <n v="100.28067129629198"/>
    <n v="100.28067129629198"/>
    <n v="45471.166666666664"/>
    <n v="1"/>
  </r>
  <r>
    <s v="Cases &amp; Composites"/>
    <s v="CAS-210050-V2F9D8"/>
    <s v="Robert Thompson"/>
    <s v="Complete"/>
    <s v="Resolved"/>
    <s v="Backlog"/>
    <m/>
    <s v="24KC179"/>
    <s v="Repair-EA"/>
    <s v="Discretionary"/>
    <s v="PW4000"/>
    <s v="AMO"/>
    <m/>
    <d v="2024-03-20T19:15:12"/>
    <m/>
    <m/>
    <x v="344"/>
    <d v="2024-08-01T17:53:40"/>
    <s v="August"/>
    <d v="2024-04-02T04:00:00"/>
    <d v="2024-07-17T04:00:00"/>
    <d v="2024-07-17T04:00:00"/>
    <d v="2024-07-29T04:00:00"/>
    <n v="106"/>
    <n v="12"/>
    <n v="118"/>
    <n v="133.36444444444351"/>
    <n v="15.364444444443507"/>
    <n v="0"/>
    <n v="0"/>
    <n v="0"/>
    <n v="0"/>
    <n v="0"/>
    <n v="1"/>
    <n v="0"/>
    <n v="0"/>
    <n v="1"/>
    <n v="132.36444444444351"/>
    <n v="14.364444444443507"/>
    <n v="45505.166666666664"/>
    <n v="1"/>
  </r>
  <r>
    <s v="Cases &amp; Composites"/>
    <s v="CAS-211034-P1F1L6"/>
    <s v="Robert Thompson"/>
    <s v="Complete"/>
    <s v="Resolved"/>
    <s v="Backlog"/>
    <m/>
    <s v="24KC216"/>
    <s v="Repair-EA"/>
    <s v="Discretionary"/>
    <s v="PW4000"/>
    <s v="AMO"/>
    <m/>
    <d v="2024-04-01T13:28:19"/>
    <m/>
    <m/>
    <x v="314"/>
    <d v="2024-05-30T20:25:46"/>
    <m/>
    <m/>
    <m/>
    <m/>
    <m/>
    <s v=""/>
    <s v=""/>
    <n v="0"/>
    <n v="58.6053356481425"/>
    <n v="58.6053356481425"/>
    <n v="0"/>
    <n v="0"/>
    <n v="0"/>
    <n v="0"/>
    <n v="0"/>
    <n v="0"/>
    <n v="0"/>
    <n v="0"/>
    <n v="0"/>
    <n v="58.6053356481425"/>
    <n v="58.6053356481425"/>
    <n v="45442.166666666664"/>
    <n v="1"/>
  </r>
  <r>
    <s v="Cases &amp; Composites"/>
    <s v="CAS-211037-F6R8P6"/>
    <s v="Robert Thompson"/>
    <s v="Complete"/>
    <s v="Resolved"/>
    <s v="Backlog"/>
    <m/>
    <s v="24KC219"/>
    <s v="Repair-EA"/>
    <s v="EM"/>
    <s v="PW4000"/>
    <s v="AMO"/>
    <m/>
    <d v="2024-04-01T13:40:27"/>
    <m/>
    <m/>
    <x v="345"/>
    <d v="2024-06-18T16:34:57"/>
    <s v="June"/>
    <d v="2024-04-16T04:00:00"/>
    <d v="2024-04-16T04:00:00"/>
    <d v="2024-04-16T04:00:00"/>
    <d v="2024-05-14T04:00:00"/>
    <n v="0"/>
    <n v="28"/>
    <n v="28"/>
    <n v="70.596909722218697"/>
    <n v="42.596909722218697"/>
    <n v="0"/>
    <n v="0"/>
    <n v="0"/>
    <n v="0"/>
    <n v="0"/>
    <n v="0"/>
    <n v="0"/>
    <n v="0"/>
    <n v="0"/>
    <n v="70.596909722218697"/>
    <n v="42.596909722218697"/>
    <n v="45454.166666666664"/>
    <n v="1"/>
  </r>
  <r>
    <s v="Cases &amp; Composites"/>
    <s v="CAS-211300-T1H8H2"/>
    <s v="Robert Thompson"/>
    <s v="Complete"/>
    <s v="Resolved"/>
    <s v="Backlog"/>
    <m/>
    <s v="24CC889"/>
    <s v="Repair-EA"/>
    <s v="OTC"/>
    <s v="PW1000G"/>
    <m/>
    <m/>
    <d v="2024-04-03T19:44:34"/>
    <m/>
    <m/>
    <x v="2"/>
    <d v="2024-04-30T13:55:40"/>
    <s v="Apr"/>
    <d v="2024-04-09T04:00:00"/>
    <d v="2024-04-12T04:00:00"/>
    <d v="2024-04-12T04:00:00"/>
    <d v="2024-04-12T04:00:00"/>
    <n v="3"/>
    <n v="0"/>
    <n v="3"/>
    <n v="26.344050925923511"/>
    <n v="23.344050925923511"/>
    <n v="0"/>
    <n v="0"/>
    <n v="0"/>
    <n v="0"/>
    <n v="0"/>
    <n v="0"/>
    <n v="0"/>
    <n v="0"/>
    <n v="0"/>
    <n v="26.344050925923511"/>
    <n v="23.344050925923511"/>
    <n v="45412.166666666664"/>
    <n v="1"/>
  </r>
  <r>
    <s v="Cases &amp; Composites"/>
    <s v="CAS-210811-B5T3S7"/>
    <s v="Robert Thompson"/>
    <s v="Complete"/>
    <s v="Resolved"/>
    <s v="Backlog"/>
    <m/>
    <s v="24CC955"/>
    <s v="Repair-EA"/>
    <s v="OTC"/>
    <s v="PW1000G"/>
    <s v="30K CIPT"/>
    <m/>
    <d v="2024-03-28T12:54:47"/>
    <m/>
    <m/>
    <x v="346"/>
    <d v="2024-04-19T14:25:21"/>
    <s v="DDM: 2410329NLE"/>
    <d v="2024-04-10T04:00:00"/>
    <d v="2024-04-11T04:00:00"/>
    <d v="2024-04-11T04:00:00"/>
    <d v="2024-04-12T04:00:00"/>
    <n v="1"/>
    <n v="1"/>
    <n v="2"/>
    <n v="20.628622685180744"/>
    <n v="18.628622685180744"/>
    <n v="0"/>
    <n v="0"/>
    <n v="0"/>
    <n v="0"/>
    <n v="0"/>
    <n v="0"/>
    <n v="0"/>
    <n v="0"/>
    <n v="0"/>
    <n v="20.628622685180744"/>
    <n v="18.628622685180744"/>
    <n v="45400.166666666664"/>
    <n v="1"/>
  </r>
  <r>
    <s v="Cases &amp; Composites"/>
    <s v="CAS-211868-H8M0G0"/>
    <s v="Jia Chen"/>
    <s v="Complete"/>
    <s v="Resolved"/>
    <s v="Backlog"/>
    <m/>
    <s v="10KC218A"/>
    <s v="Repair-EA"/>
    <s v="EM"/>
    <s v="PW4000"/>
    <s v="AMO"/>
    <m/>
    <d v="2024-04-09T20:59:38"/>
    <m/>
    <m/>
    <x v="323"/>
    <d v="2024-06-17T18:33:05"/>
    <s v="June"/>
    <m/>
    <m/>
    <m/>
    <m/>
    <s v=""/>
    <s v=""/>
    <n v="0"/>
    <n v="68.291921296295186"/>
    <n v="68.291921296295186"/>
    <n v="0"/>
    <n v="0"/>
    <n v="0"/>
    <n v="0"/>
    <n v="0"/>
    <n v="0"/>
    <n v="0"/>
    <n v="0"/>
    <n v="0"/>
    <n v="68.291921296295186"/>
    <n v="68.291921296295186"/>
    <n v="45460.166666666664"/>
    <n v="1"/>
  </r>
  <r>
    <s v="Cases &amp; Composites"/>
    <s v="CAS-212236-S9W7F9"/>
    <s v="Pedro Iturrino"/>
    <s v="Complete"/>
    <s v="Resolved"/>
    <s v="Backlog"/>
    <m/>
    <s v="24KC322"/>
    <s v="Repair-EA"/>
    <s v="OTC"/>
    <s v="PW4000"/>
    <s v="AMO"/>
    <m/>
    <d v="2024-04-12T19:29:09"/>
    <m/>
    <m/>
    <x v="317"/>
    <d v="2024-09-10T12:53:51"/>
    <s v="SEP"/>
    <d v="2024-06-28T04:00:00"/>
    <d v="2024-07-17T04:00:00"/>
    <d v="2024-07-17T04:00:00"/>
    <d v="2024-07-19T04:00:00"/>
    <n v="19"/>
    <n v="2"/>
    <n v="21"/>
    <n v="149.35475694444176"/>
    <n v="128.35475694444176"/>
    <n v="0"/>
    <n v="0"/>
    <n v="0"/>
    <n v="11"/>
    <n v="0"/>
    <n v="0"/>
    <n v="0"/>
    <n v="0"/>
    <n v="11"/>
    <n v="138.35475694444176"/>
    <n v="117.35475694444176"/>
    <n v="45544.166666666664"/>
    <n v="1"/>
  </r>
  <r>
    <s v="Cases &amp; Composites"/>
    <s v="CAS-212540-D9D1J7"/>
    <s v="Jia Chen"/>
    <s v="Complete"/>
    <s v="Resolved"/>
    <s v="Backlog"/>
    <m/>
    <s v="24KC227"/>
    <s v="Repair-EA"/>
    <s v="OTC"/>
    <s v="PW4000"/>
    <s v="AMO"/>
    <m/>
    <d v="2024-04-16T18:08:17"/>
    <m/>
    <m/>
    <x v="310"/>
    <d v="2024-05-08T20:16:38"/>
    <s v="May"/>
    <m/>
    <m/>
    <m/>
    <m/>
    <s v=""/>
    <s v=""/>
    <n v="0"/>
    <n v="21.410914351850806"/>
    <n v="21.410914351850806"/>
    <n v="0"/>
    <n v="0"/>
    <n v="0"/>
    <n v="0"/>
    <n v="0"/>
    <n v="0"/>
    <n v="0"/>
    <n v="0"/>
    <n v="0"/>
    <n v="21.410914351850806"/>
    <n v="21.410914351850806"/>
    <n v="45420.166666666664"/>
    <n v="1"/>
  </r>
  <r>
    <s v="Cases &amp; Composites"/>
    <s v="CAS-212758-Q2W2C0"/>
    <s v="Robert Thompson"/>
    <s v="Complete"/>
    <s v="Resolved"/>
    <s v="Backlog"/>
    <m/>
    <s v="24CCA25"/>
    <s v="Repair-EA"/>
    <s v="OTC"/>
    <s v="PW1000G"/>
    <m/>
    <m/>
    <d v="2024-04-18T13:43:28"/>
    <m/>
    <m/>
    <x v="132"/>
    <d v="2024-04-29T18:33:22"/>
    <s v="DDM ID: 24109T9YNE_x0009_"/>
    <m/>
    <m/>
    <m/>
    <m/>
    <s v=""/>
    <s v=""/>
    <n v="0"/>
    <n v="10.59481481480907"/>
    <n v="10.59481481480907"/>
    <n v="0"/>
    <n v="0"/>
    <n v="0"/>
    <n v="0"/>
    <n v="0"/>
    <n v="0"/>
    <n v="0"/>
    <n v="0"/>
    <n v="0"/>
    <n v="10.59481481480907"/>
    <n v="10.59481481480907"/>
    <n v="45411.166666666664"/>
    <n v="1"/>
  </r>
  <r>
    <s v="Cases &amp; Composites"/>
    <s v="CAS-213852-Y4W4P6"/>
    <s v="Robert Thompson"/>
    <s v="Complete"/>
    <s v="Resolved"/>
    <s v="Backlog"/>
    <m/>
    <s v="24CCB62"/>
    <s v="Repair-EA"/>
    <s v="OTC"/>
    <s v="PW1000G"/>
    <s v="30K CIPT"/>
    <s v="75%"/>
    <d v="2024-05-01T12:12:32"/>
    <m/>
    <m/>
    <x v="78"/>
    <d v="2024-05-14T11:20:28"/>
    <m/>
    <d v="2024-05-07T04:00:00"/>
    <d v="2024-05-08T04:00:00"/>
    <d v="2024-05-08T04:00:00"/>
    <d v="2024-05-08T04:00:00"/>
    <n v="1"/>
    <n v="0"/>
    <n v="1"/>
    <n v="11.657962962963211"/>
    <n v="10.657962962963211"/>
    <n v="0"/>
    <n v="0"/>
    <n v="0"/>
    <n v="0"/>
    <n v="0"/>
    <n v="0"/>
    <n v="0"/>
    <n v="0"/>
    <n v="0"/>
    <n v="11.657962962963211"/>
    <n v="10.657962962963211"/>
    <n v="45425.166666666664"/>
    <n v="1"/>
  </r>
  <r>
    <s v="Cases &amp; Composites"/>
    <s v="MSG-240503-E8C473"/>
    <s v="Robert Thompson"/>
    <s v="Complete"/>
    <s v="Complete"/>
    <s v="Backlog"/>
    <m/>
    <s v="24KC209A"/>
    <s v="Repair-EA"/>
    <s v="OTC"/>
    <s v="PW4000"/>
    <s v="AMO"/>
    <s v="75%"/>
    <d v="2024-05-03T04:00:00"/>
    <m/>
    <m/>
    <x v="332"/>
    <d v="2024-05-06T13:40:52"/>
    <s v="This task is to revise a typo in the part marking step for 24KC209"/>
    <m/>
    <m/>
    <m/>
    <m/>
    <s v=""/>
    <s v=""/>
    <n v="0"/>
    <n v="3"/>
    <n v="3"/>
    <n v="0"/>
    <n v="0"/>
    <n v="0"/>
    <n v="0"/>
    <n v="0"/>
    <n v="0"/>
    <n v="0"/>
    <n v="0"/>
    <n v="0"/>
    <n v="3"/>
    <n v="3"/>
    <n v="45418.166666666664"/>
    <n v="1"/>
  </r>
  <r>
    <s v="Cases &amp; Composites"/>
    <s v="CAS-211677-T7S6M2"/>
    <s v="Jia Chen"/>
    <s v="Complete"/>
    <s v="Resolved"/>
    <s v="Backlog"/>
    <m/>
    <s v="24CCC09"/>
    <s v="Repair-EA"/>
    <s v="OTC"/>
    <s v="PW1000G"/>
    <s v="24K"/>
    <s v="75%"/>
    <d v="2024-04-08T12:58:12"/>
    <m/>
    <m/>
    <x v="89"/>
    <d v="2024-05-31T19:21:58"/>
    <m/>
    <d v="2024-05-23T04:00:00"/>
    <d v="2024-05-23T04:00:00"/>
    <d v="2024-05-23T04:00:00"/>
    <d v="2024-05-24T04:00:00"/>
    <n v="0"/>
    <n v="1"/>
    <n v="1"/>
    <n v="52.626250000001164"/>
    <n v="51.626250000001164"/>
    <n v="0"/>
    <n v="0"/>
    <n v="0"/>
    <n v="31.849544907410746"/>
    <n v="0"/>
    <n v="0"/>
    <n v="0"/>
    <n v="0"/>
    <n v="31.849544907410746"/>
    <n v="20.776705092590419"/>
    <n v="19.776705092590419"/>
    <n v="45443.166666666664"/>
    <n v="1"/>
  </r>
  <r>
    <s v="Cases &amp; Composites"/>
    <s v="CAS-213657-J0Z8Z5"/>
    <s v="Robert Thompson"/>
    <s v="Complete"/>
    <s v="Resolved"/>
    <s v="Backlog"/>
    <m/>
    <s v="24CCC96"/>
    <s v="Repair-EA"/>
    <s v="OTC"/>
    <s v="PW1000G"/>
    <s v="24K"/>
    <s v="50%"/>
    <d v="2024-04-29T12:28:27"/>
    <m/>
    <m/>
    <x v="282"/>
    <d v="2024-06-25T13:48:28"/>
    <s v="June"/>
    <d v="2024-05-20T04:00:00"/>
    <d v="2024-06-04T04:00:00"/>
    <d v="2024-06-04T04:00:00"/>
    <d v="2024-06-04T04:00:00"/>
    <n v="15"/>
    <n v="0"/>
    <n v="15"/>
    <n v="55.646909722221608"/>
    <n v="40.646909722221608"/>
    <n v="0"/>
    <n v="0"/>
    <n v="0"/>
    <n v="0"/>
    <n v="0"/>
    <n v="0"/>
    <n v="0"/>
    <n v="0"/>
    <n v="0"/>
    <n v="55.646909722221608"/>
    <n v="40.646909722221608"/>
    <n v="45467.166666666664"/>
    <n v="1"/>
  </r>
  <r>
    <s v="Cases &amp; Composites"/>
    <s v="CAS-214997-T5R6J8"/>
    <s v="Robert Thompson"/>
    <s v="Complete"/>
    <s v="Resolved"/>
    <s v="Backlog"/>
    <m/>
    <s v="24KC299"/>
    <s v="Repair-EA"/>
    <s v="Discretionary"/>
    <s v="PW4000"/>
    <s v="AMO"/>
    <s v="75%"/>
    <d v="2024-05-14T20:25:02"/>
    <m/>
    <m/>
    <x v="279"/>
    <d v="2024-06-18T15:21:37"/>
    <m/>
    <m/>
    <m/>
    <m/>
    <m/>
    <s v=""/>
    <s v=""/>
    <n v="0"/>
    <n v="34.315949074072705"/>
    <n v="34.315949074072705"/>
    <n v="0"/>
    <n v="0"/>
    <n v="0"/>
    <n v="0"/>
    <n v="0"/>
    <n v="0"/>
    <n v="0"/>
    <n v="0"/>
    <n v="0"/>
    <n v="34.315949074072705"/>
    <n v="34.315949074072705"/>
    <n v="45461.166666666664"/>
    <n v="1"/>
  </r>
  <r>
    <s v="Cases &amp; Composites"/>
    <s v="CAS-211912-F1J1D6"/>
    <s v="Jia Chen"/>
    <s v="Complete"/>
    <s v="Resolved"/>
    <s v="Backlog"/>
    <m/>
    <s v="24CCC67"/>
    <s v="Repair-EA"/>
    <s v="OTC"/>
    <s v="PW1000G"/>
    <s v="24K"/>
    <m/>
    <d v="2024-04-10T11:55:01"/>
    <m/>
    <m/>
    <x v="297"/>
    <d v="2024-12-09T17:09:31"/>
    <s v="Dec"/>
    <d v="2024-06-13T04:00:00"/>
    <d v="2024-06-20T04:00:00"/>
    <d v="2024-06-20T04:00:00"/>
    <d v="2024-11-25T05:00:00"/>
    <n v="7"/>
    <n v="158.04166666667152"/>
    <n v="165.04166666667152"/>
    <n v="242.71179398148524"/>
    <n v="77.670127314813726"/>
    <n v="0"/>
    <n v="0"/>
    <n v="0"/>
    <n v="22.933908900464303"/>
    <n v="0"/>
    <n v="0"/>
    <n v="0"/>
    <n v="0"/>
    <n v="22.933908900464303"/>
    <n v="219.77788508102094"/>
    <n v="54.736218414349423"/>
    <n v="45635.208333333336"/>
    <n v="1"/>
  </r>
  <r>
    <s v="Cases &amp; Composites"/>
    <n v="105874"/>
    <s v="Jia Chen"/>
    <s v="Complete"/>
    <s v="Closed"/>
    <s v="Backlog"/>
    <m/>
    <s v="24FC175"/>
    <s v="Repair-EA"/>
    <s v="OTC"/>
    <s v="PW2000"/>
    <s v="AMO"/>
    <s v="75%"/>
    <d v="2024-05-13T04:00:00"/>
    <m/>
    <m/>
    <x v="107"/>
    <d v="2024-07-16T20:13:25"/>
    <s v="HPC REAR OUTER CASE - 14TH STAGE TURBINE COOLING AIR BOSS - PLASMA REPAIR-13 LIMIT EXTENSION"/>
    <d v="2024-06-14T04:00:00"/>
    <d v="2024-06-28T04:00:00"/>
    <d v="2024-06-28T04:00:00"/>
    <d v="2024-07-01T04:00:00"/>
    <n v="14"/>
    <n v="3"/>
    <n v="17"/>
    <n v="64"/>
    <n v="47"/>
    <n v="0"/>
    <n v="0"/>
    <n v="0"/>
    <n v="0"/>
    <n v="0"/>
    <n v="0"/>
    <n v="0"/>
    <n v="0"/>
    <n v="0"/>
    <n v="64"/>
    <n v="47"/>
    <n v="45489.166666666664"/>
    <n v="1"/>
  </r>
  <r>
    <s v="Cases &amp; Composites"/>
    <s v="CAS-215334-H5D3P9"/>
    <s v="Robert Thompson"/>
    <s v="Complete"/>
    <s v="Resolved"/>
    <s v="Backlog"/>
    <m/>
    <s v="24CCC94"/>
    <s v="Repair-EA"/>
    <s v="OTC"/>
    <s v="PW1000G"/>
    <s v="30K CIPT"/>
    <s v="75%"/>
    <d v="2024-05-17T12:49:36"/>
    <m/>
    <m/>
    <x v="314"/>
    <d v="2024-05-30T14:08:40"/>
    <m/>
    <d v="2024-05-20T04:00:00"/>
    <d v="2024-05-21T04:00:00"/>
    <d v="2024-05-21T04:00:00"/>
    <d v="2024-05-21T04:00:00"/>
    <n v="1"/>
    <n v="0"/>
    <n v="1"/>
    <n v="12.632222222222481"/>
    <n v="11.632222222222481"/>
    <n v="0"/>
    <n v="0"/>
    <n v="0"/>
    <n v="0"/>
    <n v="0"/>
    <n v="0"/>
    <n v="0"/>
    <n v="0"/>
    <n v="0"/>
    <n v="12.632222222222481"/>
    <n v="11.632222222222481"/>
    <n v="45442.166666666664"/>
    <n v="1"/>
  </r>
  <r>
    <s v="Cases &amp; Composites"/>
    <s v="CAS-213274-M6L9G9"/>
    <s v="Jia Chen"/>
    <s v="Complete"/>
    <s v="Resolved"/>
    <s v="Backlog"/>
    <m/>
    <s v="24CCD63"/>
    <s v="Repair-EA"/>
    <s v="OTC"/>
    <s v="PW1000G"/>
    <s v="24K"/>
    <s v="75%"/>
    <d v="2024-04-24T11:47:29"/>
    <m/>
    <m/>
    <x v="268"/>
    <d v="2025-01-21T20:52:35"/>
    <s v="DIFFUSER INNER CASE ASSEMBLY - OUTER W-SEAL CHAMFER BLEND REPAIR - PLASMA COAT REPAIR MR21CCM16B LIMIT EXTENSION. Jan"/>
    <d v="2024-07-03T04:00:00"/>
    <d v="2024-07-11T04:00:00"/>
    <d v="2024-07-11T04:00:00"/>
    <d v="2024-11-25T05:00:00"/>
    <n v="8"/>
    <n v="137.04166666667152"/>
    <n v="145.04166666667152"/>
    <n v="270.71702546296729"/>
    <n v="125.67535879629577"/>
    <n v="8.1177294444496511"/>
    <n v="0"/>
    <n v="0"/>
    <n v="0"/>
    <n v="0"/>
    <n v="0"/>
    <n v="0"/>
    <n v="0"/>
    <n v="8.1177294444496511"/>
    <n v="262.59929601851763"/>
    <n v="117.55762935184612"/>
    <n v="45677.208333333336"/>
    <n v="1"/>
  </r>
  <r>
    <s v="Cases &amp; Composites"/>
    <s v="CAS-217571-Z9S8K1"/>
    <s v="Robert Thompson"/>
    <s v="Complete"/>
    <s v="Resolved"/>
    <s v="Backlog"/>
    <m/>
    <s v="24CCE35"/>
    <s v="Repair-EA"/>
    <s v="OTC"/>
    <s v="PW1000G"/>
    <m/>
    <s v="75%"/>
    <d v="2024-06-10T13:19:13"/>
    <m/>
    <m/>
    <x v="147"/>
    <d v="2024-06-21T14:02:48"/>
    <m/>
    <d v="2024-06-10T04:00:00"/>
    <d v="2024-06-11T04:00:00"/>
    <d v="2024-06-11T04:00:00"/>
    <d v="2024-06-11T04:00:00"/>
    <n v="1"/>
    <n v="0"/>
    <n v="1"/>
    <n v="10.611655092587171"/>
    <n v="9.6116550925871707"/>
    <n v="0"/>
    <n v="0"/>
    <n v="0"/>
    <n v="0"/>
    <n v="0"/>
    <n v="0"/>
    <n v="0"/>
    <n v="0"/>
    <n v="0"/>
    <n v="10.611655092587171"/>
    <n v="9.6116550925871707"/>
    <n v="45464.166666666664"/>
    <n v="1"/>
  </r>
  <r>
    <s v="Cases &amp; Composites"/>
    <s v="CAS-213687-B8X9B9"/>
    <s v="Tyler Abusbah"/>
    <s v="Complete"/>
    <s v="Resolved"/>
    <s v="Backlog"/>
    <m/>
    <s v="24KC327"/>
    <s v="Repair-EA"/>
    <s v="OTC"/>
    <s v="PW4000"/>
    <s v="AMO"/>
    <s v="75%"/>
    <d v="2024-05-01T17:56:32"/>
    <m/>
    <m/>
    <x v="323"/>
    <d v="2024-06-17T14:56:20"/>
    <s v="June"/>
    <m/>
    <m/>
    <m/>
    <m/>
    <s v=""/>
    <s v=""/>
    <n v="0"/>
    <n v="46.41907407407416"/>
    <n v="46.41907407407416"/>
    <n v="9"/>
    <n v="0"/>
    <n v="0"/>
    <n v="0"/>
    <n v="0"/>
    <n v="0"/>
    <n v="0"/>
    <n v="0"/>
    <n v="9"/>
    <n v="37.41907407407416"/>
    <n v="37.41907407407416"/>
    <n v="45460.166666666664"/>
    <n v="1"/>
  </r>
  <r>
    <s v="Cases &amp; Composites"/>
    <s v="CAS-216873-P8V6Q5"/>
    <s v="Robert Thompson"/>
    <s v="Complete"/>
    <s v="Resolved"/>
    <s v="Backlog"/>
    <m/>
    <s v="24CCD90"/>
    <s v="Repair-EA"/>
    <s v="OTC"/>
    <s v="PW1000G"/>
    <m/>
    <s v="75%"/>
    <d v="2024-06-03T19:49:52"/>
    <m/>
    <m/>
    <x v="328"/>
    <d v="2024-06-27T19:30:06"/>
    <m/>
    <d v="2024-06-20T04:00:00"/>
    <d v="2024-06-20T04:00:00"/>
    <d v="2024-06-20T04:00:00"/>
    <d v="2024-06-20T04:00:00"/>
    <n v="0"/>
    <n v="0"/>
    <n v="0"/>
    <n v="23.340370370366145"/>
    <n v="23.340370370366145"/>
    <n v="0"/>
    <n v="0"/>
    <n v="0"/>
    <n v="0"/>
    <n v="0"/>
    <n v="0"/>
    <n v="0"/>
    <n v="0"/>
    <n v="0"/>
    <n v="23.340370370366145"/>
    <n v="23.340370370366145"/>
    <n v="45470.166666666664"/>
    <n v="1"/>
  </r>
  <r>
    <s v="Cases &amp; Composites"/>
    <n v="106031"/>
    <s v="Jia Chen"/>
    <s v="Complete"/>
    <s v="Closed"/>
    <s v="Backlog"/>
    <m/>
    <s v="24FC199"/>
    <s v="Repair-EA"/>
    <s v="OTC"/>
    <s v="PW2000"/>
    <s v="AMO"/>
    <s v="50%"/>
    <d v="2024-05-21T04:00:00"/>
    <m/>
    <m/>
    <x v="208"/>
    <d v="2024-10-17T19:38:46"/>
    <m/>
    <d v="2024-06-20T04:00:00"/>
    <d v="2024-06-27T04:00:00"/>
    <d v="2024-06-27T04:00:00"/>
    <d v="2024-07-29T04:00:00"/>
    <n v="7"/>
    <n v="32"/>
    <n v="39"/>
    <n v="149"/>
    <n v="110"/>
    <n v="5"/>
    <n v="0"/>
    <n v="0"/>
    <n v="0"/>
    <n v="0"/>
    <n v="0"/>
    <n v="0"/>
    <n v="0"/>
    <n v="5"/>
    <n v="144"/>
    <n v="105"/>
    <n v="45582.166666666664"/>
    <n v="1"/>
  </r>
  <r>
    <s v="Cases &amp; Composites"/>
    <n v="106268"/>
    <s v="Robert Thompson"/>
    <s v="Complete"/>
    <s v="Closed"/>
    <s v="Backlog"/>
    <m/>
    <s v="24FC202"/>
    <s v="Repair-EA"/>
    <s v="OTC"/>
    <s v="PW2000"/>
    <s v="AMO"/>
    <s v="75%"/>
    <d v="2024-06-03T04:00:00"/>
    <m/>
    <m/>
    <x v="94"/>
    <d v="2024-08-29T14:30:18"/>
    <m/>
    <d v="2024-06-11T04:00:00"/>
    <d v="2024-08-14T04:00:00"/>
    <d v="2024-08-14T04:00:00"/>
    <d v="2024-08-15T04:00:00"/>
    <n v="64"/>
    <n v="1"/>
    <n v="65"/>
    <n v="86"/>
    <n v="21"/>
    <n v="0"/>
    <n v="0"/>
    <n v="0"/>
    <n v="0"/>
    <n v="0"/>
    <n v="0"/>
    <n v="0"/>
    <n v="0"/>
    <n v="0"/>
    <n v="86"/>
    <n v="21"/>
    <n v="45532.166666666664"/>
    <n v="1"/>
  </r>
  <r>
    <s v="Cases &amp; Composites"/>
    <s v="CAS-217394-P8P8B6"/>
    <s v="Robert Thompson"/>
    <s v="Complete"/>
    <s v="Resolved"/>
    <s v="Backlog"/>
    <m/>
    <s v="11CC024B"/>
    <s v="Repair-EA"/>
    <s v="EM"/>
    <s v="PW1000G"/>
    <m/>
    <s v="75%"/>
    <d v="2024-06-07T12:32:00"/>
    <m/>
    <m/>
    <x v="9"/>
    <d v="2024-08-23T18:14:10"/>
    <s v="August"/>
    <m/>
    <m/>
    <m/>
    <m/>
    <s v=""/>
    <s v=""/>
    <n v="0"/>
    <n v="76.644444444442343"/>
    <n v="76.644444444442343"/>
    <n v="0"/>
    <n v="0"/>
    <n v="0"/>
    <n v="0"/>
    <n v="0"/>
    <n v="0"/>
    <n v="0"/>
    <n v="0"/>
    <n v="0"/>
    <n v="76.644444444442343"/>
    <n v="76.644444444442343"/>
    <n v="45527.166666666664"/>
    <n v="1"/>
  </r>
  <r>
    <s v="Cases &amp; Composites"/>
    <s v="CAS-217591-X5X7V3"/>
    <s v="Robert Thompson"/>
    <s v="Complete"/>
    <s v="Resolved"/>
    <s v="Backlog"/>
    <m/>
    <s v="24CCE67"/>
    <s v="Repair-EA"/>
    <s v="OTC"/>
    <s v="PW1000G"/>
    <m/>
    <s v="75%"/>
    <d v="2024-06-10T17:21:44"/>
    <m/>
    <m/>
    <x v="330"/>
    <d v="2024-06-26T21:10:07"/>
    <m/>
    <m/>
    <m/>
    <m/>
    <m/>
    <s v=""/>
    <s v=""/>
    <n v="0"/>
    <n v="15.443240740736655"/>
    <n v="15.443240740736655"/>
    <n v="0"/>
    <n v="0"/>
    <n v="0"/>
    <n v="0"/>
    <n v="0"/>
    <n v="0"/>
    <n v="0"/>
    <n v="0"/>
    <n v="0"/>
    <n v="15.443240740736655"/>
    <n v="15.443240740736655"/>
    <n v="45469.166666666664"/>
    <n v="1"/>
  </r>
  <r>
    <s v="Cases &amp; Composites"/>
    <s v="CAS-215773-B5V4M0"/>
    <s v="Jia Chen"/>
    <s v="Complete"/>
    <s v="Resolved"/>
    <s v="Backlog"/>
    <m/>
    <s v="24KC353"/>
    <s v="Repair-EA"/>
    <s v="OTC"/>
    <s v="PW4000"/>
    <s v="AMO"/>
    <s v="75%"/>
    <d v="2024-05-22T18:56:21"/>
    <m/>
    <m/>
    <x v="319"/>
    <d v="2024-09-12T12:46:24"/>
    <s v="Sept"/>
    <d v="2024-06-27T04:00:00"/>
    <d v="2024-08-14T04:00:00"/>
    <d v="2024-08-14T04:00:00"/>
    <d v="2024-08-19T04:00:00"/>
    <n v="48"/>
    <n v="5"/>
    <n v="53"/>
    <n v="110.37753472221812"/>
    <n v="57.377534722218115"/>
    <n v="0"/>
    <n v="0"/>
    <n v="0"/>
    <n v="0"/>
    <n v="0"/>
    <n v="0"/>
    <n v="0"/>
    <n v="0"/>
    <n v="0"/>
    <n v="110.37753472221812"/>
    <n v="57.377534722218115"/>
    <n v="45545.166666666664"/>
    <n v="1"/>
  </r>
  <r>
    <s v="Cases &amp; Composites"/>
    <s v="CAS-214681-S0M0R1"/>
    <s v="Robert Thompson"/>
    <s v="Complete"/>
    <s v="Resolved"/>
    <s v="Backlog"/>
    <m/>
    <s v="24CCF55"/>
    <s v="Repair-EA"/>
    <s v="OTC"/>
    <s v="PW1000G"/>
    <s v="24K"/>
    <s v="25%"/>
    <d v="2024-05-13T18:25:18"/>
    <m/>
    <m/>
    <x v="148"/>
    <d v="2024-07-18T14:43:27"/>
    <s v="July"/>
    <d v="2024-06-24T04:00:00"/>
    <d v="2024-06-25T04:00:00"/>
    <d v="2024-06-25T04:00:00"/>
    <d v="2024-06-25T04:00:00"/>
    <n v="1"/>
    <n v="0"/>
    <n v="1"/>
    <n v="64.399097222216369"/>
    <n v="63.399097222216369"/>
    <n v="0"/>
    <n v="0"/>
    <n v="0"/>
    <n v="0"/>
    <n v="0"/>
    <n v="0"/>
    <n v="0"/>
    <n v="0"/>
    <n v="0"/>
    <n v="64.399097222216369"/>
    <n v="63.399097222216369"/>
    <n v="45490.166666666664"/>
    <n v="1"/>
  </r>
  <r>
    <s v="Cases &amp; Composites"/>
    <s v="CAS-216966-W3K1G1"/>
    <s v="Robert Thompson"/>
    <s v="Complete"/>
    <s v="Resolved"/>
    <s v="Backlog"/>
    <m/>
    <s v="24CCF93"/>
    <s v="Repair-EA"/>
    <s v="OTC"/>
    <s v="PW1000G"/>
    <s v="24K"/>
    <s v="50%"/>
    <d v="2024-06-04T11:59:13"/>
    <m/>
    <m/>
    <x v="281"/>
    <d v="2024-10-28T17:58:58"/>
    <s v="Sept"/>
    <d v="2024-08-07T04:00:00"/>
    <d v="2024-08-22T04:00:00"/>
    <d v="2024-08-22T04:00:00"/>
    <d v="2024-08-23T04:00:00"/>
    <n v="15"/>
    <n v="1"/>
    <n v="16"/>
    <n v="133.66721064814919"/>
    <n v="117.66721064814919"/>
    <n v="0"/>
    <n v="0"/>
    <n v="0"/>
    <n v="0"/>
    <n v="0"/>
    <n v="0"/>
    <n v="0"/>
    <n v="0"/>
    <n v="0"/>
    <n v="133.66721064814919"/>
    <n v="117.66721064814919"/>
    <n v="45581.166666666664"/>
    <n v="1"/>
  </r>
  <r>
    <s v="Cases &amp; Composites"/>
    <n v="106524"/>
    <s v="Robert Thompson"/>
    <s v="Complete"/>
    <s v="Closed"/>
    <s v="Backlog"/>
    <m/>
    <s v="24FC211"/>
    <s v="Repair-EA"/>
    <s v="OTC"/>
    <s v="PW2000"/>
    <s v="AMO"/>
    <s v="75%"/>
    <d v="2024-06-14T04:00:00"/>
    <m/>
    <m/>
    <x v="169"/>
    <d v="2024-08-29T17:37:39"/>
    <m/>
    <d v="2024-07-16T04:00:00"/>
    <d v="2024-08-13T04:00:00"/>
    <d v="2024-08-13T04:00:00"/>
    <d v="2024-08-13T04:00:00"/>
    <n v="28"/>
    <n v="0"/>
    <n v="28"/>
    <n v="76"/>
    <n v="48"/>
    <n v="0"/>
    <n v="0"/>
    <n v="0"/>
    <n v="18"/>
    <n v="0"/>
    <n v="0"/>
    <n v="0"/>
    <n v="0"/>
    <n v="18"/>
    <n v="58"/>
    <n v="30"/>
    <n v="45533.166666666664"/>
    <n v="1"/>
  </r>
  <r>
    <s v="Cases &amp; Composites"/>
    <s v="CAS-216972-Z8F0V0"/>
    <s v="Jia Chen"/>
    <s v="Complete"/>
    <s v="Resolved"/>
    <s v="Backlog"/>
    <m/>
    <s v="24CCF69"/>
    <s v="Repair-EA"/>
    <s v="OTC"/>
    <s v="PW1000G"/>
    <s v="24K"/>
    <s v="50%"/>
    <d v="2024-06-04T12:30:39"/>
    <m/>
    <m/>
    <x v="212"/>
    <d v="2024-11-04T17:44:47"/>
    <s v="Nov"/>
    <d v="2024-06-27T04:00:00"/>
    <d v="2024-10-22T04:00:00"/>
    <d v="2024-10-22T04:00:00"/>
    <d v="2024-10-22T04:00:00"/>
    <n v="117"/>
    <n v="0"/>
    <n v="117"/>
    <n v="152.68704861111473"/>
    <n v="35.687048611114733"/>
    <n v="9.039474641205743"/>
    <n v="0"/>
    <n v="0"/>
    <n v="0"/>
    <n v="0"/>
    <n v="0"/>
    <n v="0"/>
    <n v="0"/>
    <n v="9.039474641205743"/>
    <n v="143.64757396990899"/>
    <n v="26.64757396990899"/>
    <n v="45600.208333333336"/>
    <n v="1"/>
  </r>
  <r>
    <s v="Cases &amp; Composites"/>
    <s v="CAS-219156-V6N4W9"/>
    <s v="Robert Thompson"/>
    <s v="Complete"/>
    <s v="Resolved"/>
    <s v="Backlog"/>
    <m/>
    <s v="24CCG06"/>
    <s v="Repair-EA"/>
    <s v="OTC"/>
    <s v="PW1000G"/>
    <m/>
    <s v="75%"/>
    <d v="2024-06-25T19:35:18"/>
    <m/>
    <m/>
    <x v="91"/>
    <d v="2024-07-30T19:09:39"/>
    <s v="July"/>
    <m/>
    <m/>
    <m/>
    <m/>
    <s v=""/>
    <s v=""/>
    <n v="0"/>
    <n v="34.350486111106875"/>
    <n v="34.350486111106875"/>
    <n v="0"/>
    <n v="0"/>
    <n v="0"/>
    <n v="0"/>
    <n v="0"/>
    <n v="0"/>
    <n v="0"/>
    <n v="0"/>
    <n v="0"/>
    <n v="34.350486111106875"/>
    <n v="34.350486111106875"/>
    <n v="45503.166666666664"/>
    <n v="1"/>
  </r>
  <r>
    <s v="Cases &amp; Composites"/>
    <s v="CAS-217383-B7L2B4"/>
    <s v="Robert Thompson"/>
    <s v="Complete"/>
    <s v="Resolved"/>
    <s v="Backlog"/>
    <m/>
    <s v="24KC336"/>
    <s v="Repair-EA"/>
    <s v="OTC"/>
    <s v="PW4000"/>
    <s v="OCE"/>
    <s v="50%"/>
    <d v="2024-06-07T10:13:04"/>
    <m/>
    <m/>
    <x v="140"/>
    <d v="2024-07-10T12:34:28"/>
    <s v="RDAF"/>
    <m/>
    <m/>
    <m/>
    <m/>
    <s v=""/>
    <s v=""/>
    <n v="0"/>
    <n v="32.740925925922056"/>
    <n v="32.740925925922056"/>
    <n v="0"/>
    <n v="0"/>
    <n v="0"/>
    <n v="0"/>
    <n v="0"/>
    <n v="0"/>
    <n v="0"/>
    <n v="0"/>
    <n v="0"/>
    <n v="32.740925925922056"/>
    <n v="32.740925925922056"/>
    <n v="45483.166666666664"/>
    <n v="1"/>
  </r>
  <r>
    <s v="Cases &amp; Composites"/>
    <s v="CAS-217724-N5Q7P0"/>
    <s v="Robert Thompson"/>
    <s v="Complete"/>
    <s v="Resolved"/>
    <s v="Backlog"/>
    <m/>
    <s v="24CCH07"/>
    <s v="Repair-EA"/>
    <s v="OTC"/>
    <s v="PW1000G"/>
    <s v="24K"/>
    <m/>
    <d v="2024-06-12T16:22:56"/>
    <m/>
    <m/>
    <x v="92"/>
    <d v="2024-07-31T16:54:44"/>
    <m/>
    <d v="2024-07-09T04:00:00"/>
    <d v="2024-07-10T04:00:00"/>
    <d v="2024-07-10T04:00:00"/>
    <d v="2024-07-11T04:00:00"/>
    <n v="1"/>
    <n v="1"/>
    <n v="2"/>
    <n v="48.484074074069213"/>
    <n v="46.484074074069213"/>
    <n v="3.9021337615704397"/>
    <n v="0"/>
    <n v="0"/>
    <n v="0"/>
    <n v="0"/>
    <n v="0"/>
    <n v="0"/>
    <n v="0"/>
    <n v="3.9021337615704397"/>
    <n v="44.581940312498773"/>
    <n v="42.581940312498773"/>
    <n v="45504.166666666664"/>
    <n v="1"/>
  </r>
  <r>
    <s v="Cases &amp; Composites"/>
    <s v="CAS-217931-K1Q9Q9"/>
    <s v="Robert Thompson"/>
    <s v="Complete"/>
    <s v="Resolved"/>
    <s v="Backlog"/>
    <m/>
    <s v="24KC339"/>
    <s v="Repair-EA"/>
    <s v="OTC"/>
    <s v="PW4000"/>
    <s v="OCE"/>
    <s v="50%"/>
    <d v="2024-06-13T08:39:46"/>
    <m/>
    <m/>
    <x v="107"/>
    <d v="2024-07-16T16:57:52"/>
    <s v="RDAF"/>
    <m/>
    <m/>
    <m/>
    <m/>
    <s v=""/>
    <s v=""/>
    <n v="0"/>
    <n v="32.805717592593282"/>
    <n v="32.805717592593282"/>
    <n v="0"/>
    <n v="0"/>
    <n v="0"/>
    <n v="0"/>
    <n v="0"/>
    <n v="0"/>
    <n v="0"/>
    <n v="0"/>
    <n v="0"/>
    <n v="32.805717592593282"/>
    <n v="32.805717592593282"/>
    <n v="45489.166666666664"/>
    <n v="1"/>
  </r>
  <r>
    <s v="Cases &amp; Composites"/>
    <s v="CAS-219834-K2N6Y8"/>
    <s v="Robert Thompson"/>
    <s v="Complete"/>
    <s v="Resolved"/>
    <s v="Backlog"/>
    <m/>
    <s v="24CCG49"/>
    <s v="Repair-EA"/>
    <s v="OTC"/>
    <s v="PW1000G"/>
    <m/>
    <s v="75%"/>
    <d v="2024-07-02T13:20:02"/>
    <m/>
    <m/>
    <x v="105"/>
    <d v="2024-09-24T20:09:43"/>
    <s v="Sept"/>
    <m/>
    <m/>
    <m/>
    <m/>
    <s v=""/>
    <s v=""/>
    <n v="0"/>
    <n v="79.611087962963211"/>
    <n v="79.611087962963211"/>
    <n v="0"/>
    <n v="0"/>
    <n v="0"/>
    <n v="0"/>
    <n v="0"/>
    <n v="0"/>
    <n v="0"/>
    <n v="0"/>
    <n v="0"/>
    <n v="79.611087962963211"/>
    <n v="79.611087962963211"/>
    <n v="45555.166666666664"/>
    <n v="1"/>
  </r>
  <r>
    <s v="Cases &amp; Composites"/>
    <s v="CAS-218946-K9S2D8"/>
    <s v="Robert Thompson"/>
    <s v="Complete"/>
    <s v="Resolved"/>
    <s v="Backlog"/>
    <m/>
    <s v="24KC391"/>
    <s v="Repair-EA"/>
    <s v="Discretionary"/>
    <s v="PW4000"/>
    <s v="AMO"/>
    <m/>
    <d v="2024-06-24T10:58:24"/>
    <m/>
    <m/>
    <x v="234"/>
    <d v="2024-10-29T18:12:09"/>
    <m/>
    <m/>
    <m/>
    <m/>
    <m/>
    <s v=""/>
    <s v=""/>
    <n v="0"/>
    <n v="126.70944444444467"/>
    <n v="126.70944444444467"/>
    <n v="0"/>
    <n v="0"/>
    <n v="0"/>
    <n v="0"/>
    <n v="0"/>
    <n v="0"/>
    <n v="0"/>
    <n v="0"/>
    <n v="0"/>
    <n v="126.70944444444467"/>
    <n v="126.70944444444467"/>
    <n v="45594.166666666664"/>
    <n v="1"/>
  </r>
  <r>
    <s v="Cases &amp; Composites"/>
    <s v="CAS-219014-W2P2P6"/>
    <s v="Jia Chen"/>
    <s v="Complete"/>
    <s v="Resolved"/>
    <s v="Backlog"/>
    <m/>
    <s v="24KC408"/>
    <s v="Repair-EA"/>
    <s v="OTC"/>
    <s v="PW4000"/>
    <s v="AMO"/>
    <s v="50%"/>
    <d v="2024-06-24T21:33:41"/>
    <m/>
    <m/>
    <x v="319"/>
    <d v="2024-09-10T20:42:45"/>
    <s v="Sept"/>
    <d v="2024-08-01T04:00:00"/>
    <d v="2024-08-09T04:00:00"/>
    <d v="2024-08-09T04:00:00"/>
    <d v="2024-08-15T04:00:00"/>
    <n v="8"/>
    <n v="6"/>
    <n v="14"/>
    <n v="77.268275462964084"/>
    <n v="63.268275462964084"/>
    <n v="0"/>
    <n v="0"/>
    <n v="0"/>
    <n v="0"/>
    <n v="0"/>
    <n v="0"/>
    <n v="0"/>
    <n v="0"/>
    <n v="0"/>
    <n v="77.268275462964084"/>
    <n v="63.268275462964084"/>
    <n v="45545.166666666664"/>
    <n v="1"/>
  </r>
  <r>
    <s v="Cases &amp; Composites"/>
    <s v="CAS-219709-M9Z5K1"/>
    <s v="Robert Thompson"/>
    <s v="Complete"/>
    <s v="Resolved"/>
    <s v="Backlog"/>
    <m/>
    <s v="20CC288B"/>
    <s v="Repair-EA"/>
    <s v="EM"/>
    <s v="PW1000G"/>
    <s v="24K"/>
    <s v="50%"/>
    <d v="2024-07-01T13:59:34"/>
    <m/>
    <m/>
    <x v="347"/>
    <d v="2024-09-20T14:16:55"/>
    <s v="Sept"/>
    <m/>
    <m/>
    <m/>
    <m/>
    <s v=""/>
    <s v=""/>
    <n v="0"/>
    <n v="79.58363425925927"/>
    <n v="79.58363425925927"/>
    <n v="0"/>
    <n v="0"/>
    <n v="0"/>
    <n v="0"/>
    <n v="0"/>
    <n v="0"/>
    <n v="0"/>
    <n v="0"/>
    <n v="0"/>
    <n v="79.58363425925927"/>
    <n v="79.58363425925927"/>
    <n v="45554.166666666664"/>
    <n v="1"/>
  </r>
  <r>
    <s v="Cases &amp; Composites"/>
    <s v="CAS-219712-N4Y2B1"/>
    <s v="Robert Thompson"/>
    <s v="Complete"/>
    <s v="Resolved"/>
    <s v="Backlog"/>
    <m/>
    <s v="14CC326E"/>
    <s v="Repair-EA"/>
    <s v="EM"/>
    <s v="PW1000G"/>
    <m/>
    <s v="75%"/>
    <d v="2024-07-01T14:03:58"/>
    <m/>
    <m/>
    <x v="212"/>
    <d v="2024-11-05T14:40:54"/>
    <s v="Sept"/>
    <m/>
    <m/>
    <m/>
    <m/>
    <s v=""/>
    <s v=""/>
    <n v="0"/>
    <n v="125.622245370374"/>
    <n v="125.622245370374"/>
    <n v="0"/>
    <n v="0"/>
    <n v="0"/>
    <n v="0"/>
    <n v="0"/>
    <n v="0"/>
    <n v="0"/>
    <n v="0"/>
    <n v="0"/>
    <n v="125.622245370374"/>
    <n v="125.622245370374"/>
    <n v="45600.208333333336"/>
    <n v="1"/>
  </r>
  <r>
    <s v="Cases &amp; Composites"/>
    <s v="CAS-221424-V7L5Y5"/>
    <s v="Robert Thompson"/>
    <s v="Complete"/>
    <s v="Resolved"/>
    <s v="Backlog"/>
    <m/>
    <s v="24KC433"/>
    <s v="Repair-EA"/>
    <s v="OTC"/>
    <s v="PW4000"/>
    <s v="OCE"/>
    <s v="75%"/>
    <d v="2024-07-17T14:43:07"/>
    <m/>
    <m/>
    <x v="317"/>
    <d v="2024-09-10T13:12:28"/>
    <s v="RDAF"/>
    <m/>
    <m/>
    <m/>
    <m/>
    <s v=""/>
    <s v=""/>
    <n v="0"/>
    <n v="53.553391203698993"/>
    <n v="53.553391203698993"/>
    <n v="0"/>
    <n v="0"/>
    <n v="0"/>
    <n v="0"/>
    <n v="0"/>
    <n v="0"/>
    <n v="0"/>
    <n v="0"/>
    <n v="0"/>
    <n v="53.553391203698993"/>
    <n v="53.553391203698993"/>
    <n v="45544.166666666664"/>
    <n v="1"/>
  </r>
  <r>
    <s v="Cases &amp; Composites"/>
    <s v="CAS-222006-F9X7F5"/>
    <s v="Robert Thompson"/>
    <s v="Complete"/>
    <s v="Resolved"/>
    <s v="Backlog"/>
    <m/>
    <s v="24CCK19"/>
    <s v="Repair-EA"/>
    <s v="OTC"/>
    <s v="PW1000G"/>
    <s v="30K CIPT"/>
    <s v="75%"/>
    <d v="2024-07-23T12:26:23"/>
    <m/>
    <m/>
    <x v="92"/>
    <d v="2024-07-31T12:50:44"/>
    <m/>
    <d v="2024-07-23T04:00:00"/>
    <d v="2024-07-24T04:00:00"/>
    <d v="2024-07-24T04:00:00"/>
    <d v="2024-07-25T04:00:00"/>
    <n v="1"/>
    <n v="1"/>
    <n v="2"/>
    <n v="7.6483449074075907"/>
    <n v="5.6483449074075907"/>
    <n v="0"/>
    <n v="0"/>
    <n v="0"/>
    <n v="0"/>
    <n v="0"/>
    <n v="0"/>
    <n v="0"/>
    <n v="0"/>
    <n v="0"/>
    <n v="7.6483449074075907"/>
    <n v="5.6483449074075907"/>
    <n v="45504.166666666664"/>
    <n v="1"/>
  </r>
  <r>
    <s v="Cases &amp; Composites"/>
    <s v="CAS-220441-Y4Y8T4"/>
    <s v="Jia Chen"/>
    <s v="Complete"/>
    <s v="Resolved"/>
    <s v="Backlog"/>
    <m/>
    <s v="24KC436"/>
    <s v="Repair-EA"/>
    <s v="OTC"/>
    <s v="PW4000"/>
    <s v="AMO"/>
    <s v="75%"/>
    <d v="2024-07-08T19:43:50"/>
    <m/>
    <m/>
    <x v="146"/>
    <d v="2024-09-05T13:26:34"/>
    <s v="Sept"/>
    <d v="2024-08-21T04:00:00"/>
    <d v="2024-08-27T04:00:00"/>
    <d v="2024-08-27T04:00:00"/>
    <d v="2024-08-28T04:00:00"/>
    <n v="6"/>
    <n v="1"/>
    <n v="7"/>
    <n v="57.344560185185401"/>
    <n v="50.344560185185401"/>
    <n v="2"/>
    <n v="0"/>
    <n v="0"/>
    <n v="0"/>
    <n v="0"/>
    <n v="0"/>
    <n v="0"/>
    <n v="0"/>
    <n v="2"/>
    <n v="55.344560185185401"/>
    <n v="48.344560185185401"/>
    <n v="45539.166666666664"/>
    <n v="1"/>
  </r>
  <r>
    <s v="Cases &amp; Composites"/>
    <s v="CAS-220442-D4K1V9"/>
    <s v="Jia Chen"/>
    <s v="Complete"/>
    <s v="Resolved"/>
    <s v="Backlog"/>
    <m/>
    <s v="24KC437"/>
    <s v="Repair-EA"/>
    <s v="OTC"/>
    <s v="PW4000"/>
    <s v="AMO"/>
    <s v="75%"/>
    <d v="2024-07-08T19:54:41"/>
    <m/>
    <m/>
    <x v="312"/>
    <d v="2024-09-05T17:05:14"/>
    <s v="Sept"/>
    <d v="2024-08-21T04:00:00"/>
    <d v="2024-08-27T04:00:00"/>
    <d v="2024-08-27T04:00:00"/>
    <d v="2024-08-28T04:00:00"/>
    <n v="6"/>
    <n v="1"/>
    <n v="7"/>
    <n v="58.337025462962629"/>
    <n v="51.337025462962629"/>
    <n v="2"/>
    <n v="0"/>
    <n v="0"/>
    <n v="0"/>
    <n v="0"/>
    <n v="0"/>
    <n v="0"/>
    <n v="0"/>
    <n v="2"/>
    <n v="56.337025462962629"/>
    <n v="49.337025462962629"/>
    <n v="45540.166666666664"/>
    <n v="1"/>
  </r>
  <r>
    <s v="Cases &amp; Composites"/>
    <s v="CAS-221173-N1D6M0"/>
    <s v="Jia Chen"/>
    <s v="Complete"/>
    <s v="Active"/>
    <s v="Backlog"/>
    <m/>
    <s v="24KC464"/>
    <s v="Repair-EA"/>
    <s v="OTC"/>
    <s v="PW4000"/>
    <s v="AMO"/>
    <s v="75%"/>
    <d v="2024-07-15T18:51:19"/>
    <m/>
    <m/>
    <x v="149"/>
    <d v="2024-11-13T16:12:47"/>
    <s v="Nov. STAGE 8 HPC CASE - FRONT SNAP COAT REPAIR - REPAIR-10 LIMIT EXTENSION"/>
    <d v="2024-09-20T04:00:00"/>
    <d v="2024-10-11T04:00:00"/>
    <d v="2024-10-11T04:00:00"/>
    <d v="2024-10-15T04:00:00"/>
    <n v="21"/>
    <n v="4"/>
    <n v="25"/>
    <n v="120.42269675926218"/>
    <n v="95.42269675926218"/>
    <n v="6"/>
    <n v="20"/>
    <n v="0"/>
    <n v="0"/>
    <n v="0"/>
    <n v="0"/>
    <n v="0"/>
    <n v="0"/>
    <n v="26"/>
    <n v="94.42269675926218"/>
    <n v="69.42269675926218"/>
    <n v="45609.208333333336"/>
    <n v="1"/>
  </r>
  <r>
    <s v="Cases &amp; Composites"/>
    <s v="CAS-219769-Y0R1N0"/>
    <s v="Robert Thompson"/>
    <s v="Complete"/>
    <s v="Resolved"/>
    <s v="Backlog"/>
    <m/>
    <s v="24KC385"/>
    <s v="Repair-EA"/>
    <s v="OTC"/>
    <s v="PW4000"/>
    <s v="OCE"/>
    <s v="50%"/>
    <d v="2024-07-02T05:08:52"/>
    <m/>
    <m/>
    <x v="312"/>
    <d v="2024-09-09T21:22:52"/>
    <s v="RDAF"/>
    <m/>
    <m/>
    <m/>
    <m/>
    <s v=""/>
    <s v=""/>
    <n v="0"/>
    <n v="64.952175925922347"/>
    <n v="64.952175925922347"/>
    <n v="0"/>
    <n v="0"/>
    <n v="0"/>
    <n v="0"/>
    <n v="0"/>
    <n v="0"/>
    <n v="0"/>
    <n v="0"/>
    <n v="0"/>
    <n v="64.952175925922347"/>
    <n v="64.952175925922347"/>
    <n v="45540.166666666664"/>
    <n v="1"/>
  </r>
  <r>
    <s v="Cases &amp; Composites"/>
    <s v="CAS-222853-F8K3C4"/>
    <s v="Robert Thompson"/>
    <s v="Complete"/>
    <s v="Resolved"/>
    <s v="Backlog"/>
    <m/>
    <s v="23KC456B"/>
    <s v="Repair-EA"/>
    <s v="Discretionary"/>
    <s v="PW4000"/>
    <s v="AMO"/>
    <m/>
    <d v="2024-07-31T11:36:02"/>
    <m/>
    <m/>
    <x v="198"/>
    <d v="2024-10-25T14:25:54"/>
    <s v="Sept"/>
    <m/>
    <m/>
    <m/>
    <m/>
    <s v=""/>
    <s v=""/>
    <n v="0"/>
    <n v="85.683310185180744"/>
    <n v="85.683310185180744"/>
    <n v="0"/>
    <n v="0"/>
    <n v="0"/>
    <n v="0"/>
    <n v="0"/>
    <n v="0"/>
    <n v="0"/>
    <n v="0"/>
    <n v="0"/>
    <n v="85.683310185180744"/>
    <n v="85.683310185180744"/>
    <n v="45590.166666666664"/>
    <n v="1"/>
  </r>
  <r>
    <s v="Cases &amp; Composites"/>
    <s v="CAS-223762-R8Y6P8"/>
    <s v="Robert Thompson"/>
    <s v="Complete"/>
    <s v="Resolved"/>
    <s v="Backlog"/>
    <m/>
    <s v="20KC472A"/>
    <s v="Repair-EA"/>
    <s v="EM"/>
    <s v="PW4000"/>
    <s v="AMO"/>
    <m/>
    <d v="2024-08-08T19:47:17"/>
    <m/>
    <m/>
    <x v="41"/>
    <d v="2024-09-12T14:48:46"/>
    <s v="Sept"/>
    <m/>
    <m/>
    <m/>
    <m/>
    <s v=""/>
    <s v=""/>
    <n v="0"/>
    <n v="28.342164351852261"/>
    <n v="28.342164351852261"/>
    <n v="0"/>
    <n v="0"/>
    <n v="0"/>
    <n v="0"/>
    <n v="0"/>
    <n v="0"/>
    <n v="0"/>
    <n v="0"/>
    <n v="0"/>
    <n v="28.342164351852261"/>
    <n v="28.342164351852261"/>
    <n v="45541.166666666664"/>
    <n v="1"/>
  </r>
  <r>
    <s v="Cases &amp; Composites"/>
    <s v="CAS-223341-K7W5N3"/>
    <s v="Robert Thompson"/>
    <s v="Complete"/>
    <s v="Resolved"/>
    <s v="Backlog"/>
    <m/>
    <s v="24CCN44"/>
    <s v="Repair-EA"/>
    <s v="OTC"/>
    <s v="PW1000G"/>
    <s v="24K"/>
    <s v="75%"/>
    <d v="2024-08-05T11:44:50"/>
    <m/>
    <m/>
    <x v="216"/>
    <d v="2024-11-06T20:22:57"/>
    <m/>
    <d v="2024-08-26T04:00:00"/>
    <d v="2024-10-09T04:00:00"/>
    <d v="2024-10-09T04:00:00"/>
    <d v="2024-10-14T04:00:00"/>
    <n v="44"/>
    <n v="5"/>
    <n v="49"/>
    <n v="92.718865740745969"/>
    <n v="43.718865740745969"/>
    <n v="0.98315101851767395"/>
    <n v="0"/>
    <n v="0"/>
    <n v="0"/>
    <n v="0"/>
    <n v="0"/>
    <n v="0"/>
    <n v="0"/>
    <n v="0.98315101851767395"/>
    <n v="91.735714722228295"/>
    <n v="42.735714722228295"/>
    <n v="45602.208333333336"/>
    <n v="1"/>
  </r>
  <r>
    <s v="Cases &amp; Composites"/>
    <n v="107180"/>
    <s v="Jia Chen"/>
    <s v="Complete"/>
    <s v="Closed"/>
    <s v="Backlog"/>
    <m/>
    <s v="24FC278"/>
    <s v="Repair-EA"/>
    <s v="OTC"/>
    <s v="PW2000"/>
    <s v="AMO"/>
    <s v="75%"/>
    <d v="2024-07-24T04:00:00"/>
    <m/>
    <m/>
    <x v="187"/>
    <d v="2024-11-14T14:28:31"/>
    <m/>
    <d v="2024-10-09T04:00:00"/>
    <d v="2024-10-15T04:00:00"/>
    <d v="2024-10-15T04:00:00"/>
    <d v="2024-11-04T05:00:00"/>
    <n v="6"/>
    <n v="20.041666666671517"/>
    <n v="26.041666666671517"/>
    <n v="113.04166666667152"/>
    <n v="87"/>
    <n v="4"/>
    <n v="0"/>
    <n v="0"/>
    <n v="15"/>
    <n v="0"/>
    <n v="2"/>
    <n v="0"/>
    <n v="0"/>
    <n v="21"/>
    <n v="92.041666666671517"/>
    <n v="66"/>
    <n v="45610.208333333336"/>
    <n v="1"/>
  </r>
  <r>
    <s v="Cases &amp; Composites"/>
    <s v="CAS-222068-J5D8G6"/>
    <s v="Jia Chen"/>
    <s v="Complete"/>
    <s v="Resolved"/>
    <s v="Backlog"/>
    <m/>
    <s v="24VC275"/>
    <s v="Repair-EA"/>
    <s v="OTC"/>
    <s v="V2500"/>
    <s v="AMO"/>
    <s v="50%"/>
    <d v="2024-07-23T18:42:09"/>
    <m/>
    <m/>
    <x v="186"/>
    <d v="2024-12-10T18:50:38"/>
    <s v="Dec"/>
    <d v="2024-09-19T04:00:00"/>
    <d v="2024-09-19T04:00:00"/>
    <d v="2024-09-19T04:00:00"/>
    <d v="2024-11-26T05:00:00"/>
    <n v="0"/>
    <n v="68.041666666671517"/>
    <n v="68.041666666671517"/>
    <n v="139.42906249999942"/>
    <n v="71.387395833327901"/>
    <n v="4"/>
    <n v="0"/>
    <n v="0"/>
    <n v="0"/>
    <n v="5"/>
    <n v="0"/>
    <n v="0"/>
    <n v="0"/>
    <n v="9"/>
    <n v="130.42906249999942"/>
    <n v="62.387395833327901"/>
    <n v="45636.208333333336"/>
    <n v="1"/>
  </r>
  <r>
    <s v="Cases &amp; Composites"/>
    <n v="107461"/>
    <s v="Robert Thompson"/>
    <s v="Complete"/>
    <s v="Closed"/>
    <s v="Backlog"/>
    <m/>
    <s v="24FC297"/>
    <s v="Repair-EA"/>
    <s v="OTC"/>
    <s v="PW2000"/>
    <s v="AMO"/>
    <m/>
    <d v="2024-08-07T04:00:00"/>
    <m/>
    <m/>
    <x v="285"/>
    <d v="2024-08-30T19:14:55"/>
    <m/>
    <m/>
    <m/>
    <m/>
    <m/>
    <s v=""/>
    <s v=""/>
    <n v="0"/>
    <n v="23"/>
    <n v="23"/>
    <n v="0"/>
    <n v="0"/>
    <n v="0"/>
    <n v="0"/>
    <n v="0"/>
    <n v="0"/>
    <n v="0"/>
    <n v="0"/>
    <n v="0"/>
    <n v="23"/>
    <n v="23"/>
    <n v="45534.166666666664"/>
    <n v="1"/>
  </r>
  <r>
    <s v="Cases &amp; Composites"/>
    <s v="CAS-217369-J8R1R1"/>
    <s v="Robert Thompson"/>
    <s v="Complete"/>
    <s v="Resolved"/>
    <s v="Backlog"/>
    <m/>
    <s v="24KC334"/>
    <s v="Repair-EA"/>
    <s v="OTC"/>
    <s v="PW4000"/>
    <s v="OCE"/>
    <s v="50%"/>
    <d v="2024-06-07T09:10:29"/>
    <m/>
    <m/>
    <x v="317"/>
    <d v="2024-09-11T20:32:13"/>
    <s v="RDAF"/>
    <m/>
    <m/>
    <m/>
    <m/>
    <s v=""/>
    <s v=""/>
    <n v="0"/>
    <n v="93.784386574072414"/>
    <n v="93.784386574072414"/>
    <n v="0"/>
    <n v="0"/>
    <n v="0"/>
    <n v="0"/>
    <n v="0"/>
    <n v="0"/>
    <n v="0"/>
    <n v="0"/>
    <n v="0"/>
    <n v="93.784386574072414"/>
    <n v="93.784386574072414"/>
    <n v="45544.166666666664"/>
    <n v="1"/>
  </r>
  <r>
    <s v="Cases &amp; Composites"/>
    <s v="CAS-223384-X8W2T5"/>
    <s v="Francisco Astiasaran"/>
    <s v="Complete"/>
    <s v="Resolved"/>
    <s v="Backlog"/>
    <m/>
    <s v="24KC545"/>
    <s v="Repair-EA"/>
    <s v="EM"/>
    <s v="PW4000"/>
    <s v="AMO"/>
    <s v="50%"/>
    <d v="2024-08-05T18:11:27"/>
    <m/>
    <m/>
    <x v="348"/>
    <d v="2025-01-06T14:04:58"/>
    <m/>
    <m/>
    <m/>
    <m/>
    <m/>
    <s v=""/>
    <s v=""/>
    <n v="0"/>
    <n v="150.45038194444351"/>
    <n v="150.45038194444351"/>
    <n v="0"/>
    <n v="0"/>
    <n v="0"/>
    <n v="0"/>
    <n v="0"/>
    <n v="0"/>
    <n v="0"/>
    <n v="0"/>
    <n v="0"/>
    <n v="150.45038194444351"/>
    <n v="150.45038194444351"/>
    <n v="45660.208333333336"/>
    <n v="1"/>
  </r>
  <r>
    <s v="Cases &amp; Composites"/>
    <s v="CAS-225372-M4C7W4"/>
    <s v="Robert Thompson"/>
    <s v="Complete"/>
    <s v="Resolved"/>
    <s v="Backlog"/>
    <m/>
    <s v="20CCH78A"/>
    <s v="Repair-EA"/>
    <s v="EM"/>
    <s v="PW1000G"/>
    <s v="24K"/>
    <m/>
    <d v="2024-08-26T09:36:48"/>
    <m/>
    <m/>
    <x v="349"/>
    <d v="2025-01-03T20:51:46"/>
    <m/>
    <m/>
    <m/>
    <m/>
    <m/>
    <s v=""/>
    <s v=""/>
    <n v="0"/>
    <n v="128.80777777777985"/>
    <n v="128.80777777777985"/>
    <n v="0"/>
    <n v="0"/>
    <n v="0"/>
    <n v="0"/>
    <n v="0"/>
    <n v="0"/>
    <n v="0"/>
    <n v="0"/>
    <n v="0"/>
    <n v="128.80777777777985"/>
    <n v="128.80777777777985"/>
    <n v="45659.208333333336"/>
    <n v="1"/>
  </r>
  <r>
    <s v="Cases &amp; Composites"/>
    <s v="CAS-226385-V3R5F1"/>
    <s v="Robert Thompson"/>
    <s v="Complete"/>
    <s v="Resolved"/>
    <s v="Backlog"/>
    <m/>
    <s v="24KC570"/>
    <s v="Repair-EA"/>
    <s v="EM"/>
    <s v="PW4000"/>
    <s v="AMO"/>
    <m/>
    <d v="2024-09-04T12:36:36"/>
    <m/>
    <m/>
    <x v="63"/>
    <d v="2025-01-07T21:41:05"/>
    <m/>
    <m/>
    <m/>
    <m/>
    <m/>
    <s v=""/>
    <s v=""/>
    <n v="0"/>
    <n v="124.6829166666721"/>
    <n v="124.6829166666721"/>
    <n v="0"/>
    <n v="0"/>
    <n v="0"/>
    <n v="0"/>
    <n v="0"/>
    <n v="0"/>
    <n v="0"/>
    <n v="0"/>
    <n v="0"/>
    <n v="124.6829166666721"/>
    <n v="124.6829166666721"/>
    <n v="45664.208333333336"/>
    <n v="1"/>
  </r>
  <r>
    <s v="Cases &amp; Composites"/>
    <s v="CAS-223370-J5W3J6"/>
    <s v="Francisco Astiasaran"/>
    <s v="Complete"/>
    <s v="Resolved"/>
    <s v="Backlog"/>
    <m/>
    <s v="24KC623"/>
    <s v="Repair-EA"/>
    <s v="EM"/>
    <s v="PW4000"/>
    <s v="AMO"/>
    <m/>
    <d v="2024-08-05T16:46:19"/>
    <m/>
    <m/>
    <x v="350"/>
    <d v="2024-12-03T18:14:07"/>
    <m/>
    <m/>
    <m/>
    <m/>
    <m/>
    <s v=""/>
    <s v=""/>
    <n v="0"/>
    <n v="119.50950231481693"/>
    <n v="119.50950231481693"/>
    <n v="0"/>
    <n v="0"/>
    <n v="0"/>
    <n v="0"/>
    <n v="0"/>
    <n v="0"/>
    <n v="0"/>
    <n v="0"/>
    <n v="0"/>
    <n v="119.50950231481693"/>
    <n v="119.50950231481693"/>
    <n v="45629.208333333336"/>
    <n v="1"/>
  </r>
  <r>
    <s v="Cases &amp; Composites"/>
    <s v="CAS-227019-P5R2P1"/>
    <s v="Robert Thompson"/>
    <s v="Complete"/>
    <s v="Resolved"/>
    <s v="Backlog"/>
    <m/>
    <s v="24CCL61B"/>
    <s v="Repair-EA"/>
    <s v="OTC"/>
    <s v="PW1000G"/>
    <s v="AMO"/>
    <m/>
    <d v="2024-09-10T14:36:28"/>
    <m/>
    <m/>
    <x v="347"/>
    <d v="2024-09-19T19:10:36"/>
    <m/>
    <m/>
    <m/>
    <m/>
    <m/>
    <s v=""/>
    <s v=""/>
    <n v="0"/>
    <n v="8.5580092592572328"/>
    <n v="8.5580092592572328"/>
    <n v="0"/>
    <n v="0"/>
    <n v="0"/>
    <n v="0"/>
    <n v="0"/>
    <n v="0"/>
    <n v="0"/>
    <n v="0"/>
    <n v="0"/>
    <n v="8.5580092592572328"/>
    <n v="8.5580092592572328"/>
    <n v="45554.166666666664"/>
    <n v="1"/>
  </r>
  <r>
    <s v="Cases &amp; Composites"/>
    <n v="107594"/>
    <s v="Jia Chen"/>
    <s v="Complete"/>
    <s v="Closed"/>
    <s v="Backlog"/>
    <m/>
    <s v="24FC311"/>
    <s v="Repair-EA"/>
    <s v="OTC"/>
    <s v="PW2000"/>
    <s v="AMO"/>
    <s v="50%"/>
    <d v="2024-08-12T04:00:00"/>
    <m/>
    <m/>
    <x v="313"/>
    <d v="2024-11-07T19:22:49"/>
    <m/>
    <d v="2024-09-26T04:00:00"/>
    <d v="2024-09-27T04:00:00"/>
    <d v="2024-09-27T04:00:00"/>
    <d v="2024-09-30T04:00:00"/>
    <n v="1"/>
    <n v="3"/>
    <n v="4"/>
    <n v="87.041666666671517"/>
    <n v="83.041666666671517"/>
    <n v="0"/>
    <n v="0"/>
    <n v="0"/>
    <n v="0"/>
    <n v="0"/>
    <n v="0"/>
    <n v="0"/>
    <n v="0"/>
    <n v="0"/>
    <n v="87.041666666671517"/>
    <n v="83.041666666671517"/>
    <n v="45603.208333333336"/>
    <n v="1"/>
  </r>
  <r>
    <s v="Cases &amp; Composites"/>
    <s v="CAS-223618-X3Z1R4"/>
    <s v="Jia Chen"/>
    <s v="Complete"/>
    <s v="Resolved"/>
    <s v="Backlog"/>
    <m/>
    <s v="24CCQ20"/>
    <s v="Repair-EA"/>
    <s v="OTC"/>
    <s v="PW1000G"/>
    <s v="24K"/>
    <s v="75%"/>
    <d v="2024-08-07T17:18:34"/>
    <m/>
    <m/>
    <x v="212"/>
    <d v="2024-11-05T14:07:13"/>
    <s v="Nov"/>
    <m/>
    <m/>
    <m/>
    <m/>
    <s v=""/>
    <s v=""/>
    <n v="0"/>
    <n v="88.48710648148699"/>
    <n v="88.48710648148699"/>
    <n v="0"/>
    <n v="4.9938314699102193"/>
    <n v="0"/>
    <n v="0"/>
    <n v="0"/>
    <n v="0"/>
    <n v="0"/>
    <n v="0"/>
    <n v="4.9938314699102193"/>
    <n v="83.49327501157677"/>
    <n v="83.49327501157677"/>
    <n v="45600.208333333336"/>
    <n v="1"/>
  </r>
  <r>
    <s v="Cases &amp; Composites"/>
    <s v="CAS-227957-G0L9H4"/>
    <s v="Robert Thompson"/>
    <s v="Complete"/>
    <s v="Active"/>
    <s v="Backlog"/>
    <m/>
    <s v="14KC692C"/>
    <s v="Repair-EA"/>
    <s v="EM"/>
    <s v="PW4000"/>
    <s v="AMO"/>
    <m/>
    <d v="2024-09-18T13:24:07"/>
    <m/>
    <m/>
    <x v="265"/>
    <d v="2024-11-25T19:57:25"/>
    <m/>
    <m/>
    <m/>
    <m/>
    <m/>
    <s v=""/>
    <s v=""/>
    <n v="0"/>
    <n v="67.649918981485825"/>
    <n v="67.649918981485825"/>
    <n v="0"/>
    <n v="0"/>
    <n v="0"/>
    <n v="0"/>
    <n v="0"/>
    <n v="0"/>
    <n v="0"/>
    <n v="0"/>
    <n v="0"/>
    <n v="67.649918981485825"/>
    <n v="67.649918981485825"/>
    <n v="45621.208333333336"/>
    <n v="1"/>
  </r>
  <r>
    <s v="Cases &amp; Composites"/>
    <n v="108493"/>
    <s v="Robert Thompson"/>
    <s v="Complete"/>
    <s v="Closed"/>
    <s v="Backlog"/>
    <m/>
    <s v="24FC318"/>
    <s v="Repair-EA"/>
    <s v="OTC"/>
    <s v="PW2000"/>
    <s v="AMO"/>
    <m/>
    <d v="2024-09-20T04:00:00"/>
    <m/>
    <m/>
    <x v="351"/>
    <d v="2024-09-26T19:17:10"/>
    <m/>
    <m/>
    <m/>
    <m/>
    <m/>
    <s v=""/>
    <s v=""/>
    <n v="0"/>
    <n v="6"/>
    <n v="6"/>
    <n v="0"/>
    <n v="0"/>
    <n v="0"/>
    <n v="0"/>
    <n v="0"/>
    <n v="0"/>
    <n v="0"/>
    <n v="0"/>
    <n v="0"/>
    <n v="6"/>
    <n v="6"/>
    <n v="45561.166666666664"/>
    <n v="1"/>
  </r>
  <r>
    <s v="Cases &amp; Composites"/>
    <s v="MSG-241002-4B4DC3"/>
    <s v="Peter Morell"/>
    <s v="Complete"/>
    <s v="Complete"/>
    <s v="Backlog"/>
    <m/>
    <s v="24CCG49A"/>
    <s v="Repair-EA"/>
    <s v="OTC"/>
    <s v="PW1000G"/>
    <m/>
    <s v="75%"/>
    <d v="2024-10-02T04:00:00"/>
    <m/>
    <m/>
    <x v="39"/>
    <d v="2024-10-08T14:43:26"/>
    <m/>
    <m/>
    <m/>
    <m/>
    <m/>
    <s v=""/>
    <s v=""/>
    <n v="0"/>
    <n v="6"/>
    <n v="6"/>
    <n v="0"/>
    <n v="0"/>
    <n v="0"/>
    <n v="0"/>
    <n v="0"/>
    <n v="0"/>
    <n v="0"/>
    <n v="0"/>
    <n v="0"/>
    <n v="6"/>
    <n v="6"/>
    <n v="45573.166666666664"/>
    <n v="1"/>
  </r>
  <r>
    <s v="Cases &amp; Composites"/>
    <s v="CAS-229990-H9N5C8"/>
    <s v="Brian K Holland"/>
    <s v="Complete"/>
    <s v="Resolved"/>
    <s v="Backlog"/>
    <m/>
    <s v="24CCS42"/>
    <s v="Repair-EA"/>
    <s v="OTC"/>
    <s v="PW1000G"/>
    <s v="AMO"/>
    <m/>
    <d v="2024-10-07T16:26:36"/>
    <m/>
    <m/>
    <x v="281"/>
    <d v="2024-10-18T12:32:05"/>
    <m/>
    <m/>
    <m/>
    <m/>
    <m/>
    <s v=""/>
    <s v=""/>
    <n v="0"/>
    <n v="8.4815277777743177"/>
    <n v="8.4815277777743177"/>
    <n v="0"/>
    <n v="0"/>
    <n v="0"/>
    <n v="0"/>
    <n v="0"/>
    <n v="0"/>
    <n v="0"/>
    <n v="0"/>
    <n v="0"/>
    <n v="8.4815277777743177"/>
    <n v="8.4815277777743177"/>
    <n v="45581.166666666664"/>
    <n v="1"/>
  </r>
  <r>
    <s v="Cases &amp; Composites"/>
    <s v="CAS-227709-H1W7B8"/>
    <s v="Francisco Astiasaran"/>
    <s v="Complete"/>
    <s v="Resolved"/>
    <s v="Backlog"/>
    <m/>
    <s v="24KC642"/>
    <s v="Repair-EA"/>
    <s v="OTC"/>
    <s v="PW4000"/>
    <s v="AMO"/>
    <m/>
    <d v="2024-09-16T18:28:13"/>
    <m/>
    <m/>
    <x v="71"/>
    <d v="2025-01-13T21:06:14"/>
    <m/>
    <m/>
    <m/>
    <m/>
    <m/>
    <s v=""/>
    <s v=""/>
    <n v="0"/>
    <n v="113.43873842593166"/>
    <n v="113.43873842593166"/>
    <n v="0"/>
    <n v="0"/>
    <n v="0"/>
    <n v="0"/>
    <n v="0"/>
    <n v="0"/>
    <n v="0"/>
    <n v="0"/>
    <n v="0"/>
    <n v="113.43873842593166"/>
    <n v="113.43873842593166"/>
    <n v="45665.208333333336"/>
    <n v="1"/>
  </r>
  <r>
    <s v="Cases &amp; Composites"/>
    <s v="CAS-227384-R0B5J5"/>
    <s v="Jia Chen"/>
    <s v="Complete"/>
    <s v="Active"/>
    <s v="Backlog"/>
    <m/>
    <s v="24KC648"/>
    <s v="Repair-EA"/>
    <s v="OTC"/>
    <s v="PW4000"/>
    <s v="AMO"/>
    <s v="25%"/>
    <d v="2024-09-12T20:51:48"/>
    <m/>
    <m/>
    <x v="247"/>
    <d v="2024-11-12T19:57:26"/>
    <m/>
    <d v="2024-11-07T05:00:00"/>
    <d v="2024-11-08T05:00:00"/>
    <d v="2024-11-08T05:00:00"/>
    <d v="2024-11-11T05:00:00"/>
    <n v="1"/>
    <n v="3"/>
    <n v="4"/>
    <n v="60.339027777779847"/>
    <n v="56.339027777779847"/>
    <n v="4"/>
    <n v="0"/>
    <n v="0"/>
    <n v="0"/>
    <n v="0"/>
    <n v="0"/>
    <n v="0"/>
    <n v="0"/>
    <n v="4"/>
    <n v="56.339027777779847"/>
    <n v="52.339027777779847"/>
    <n v="45608.208333333336"/>
    <n v="1"/>
  </r>
  <r>
    <s v="Cases &amp; Composites"/>
    <n v="109098"/>
    <s v="Brian K Holland"/>
    <s v="Complete"/>
    <s v="Closed"/>
    <s v="Backlog"/>
    <m/>
    <s v="24FC358"/>
    <s v="Repair-EA"/>
    <s v="OTC"/>
    <s v="PW2000"/>
    <s v="AMO"/>
    <m/>
    <d v="2024-10-22T04:00:00"/>
    <m/>
    <m/>
    <x v="97"/>
    <d v="2025-01-09T17:04:12"/>
    <m/>
    <d v="2024-11-12T05:00:00"/>
    <d v="2024-11-14T05:00:00"/>
    <d v="2024-11-14T05:00:00"/>
    <d v="2024-11-20T05:00:00"/>
    <n v="2"/>
    <n v="6"/>
    <n v="8"/>
    <n v="79.041666666671517"/>
    <n v="71.041666666671517"/>
    <n v="0"/>
    <n v="2"/>
    <n v="0"/>
    <n v="0"/>
    <n v="2"/>
    <n v="0"/>
    <n v="0"/>
    <n v="0"/>
    <n v="4"/>
    <n v="75.041666666671517"/>
    <n v="67.041666666671517"/>
    <n v="45666.208333333336"/>
    <n v="1"/>
  </r>
  <r>
    <s v="Cases &amp; Composites"/>
    <s v="CAS-233805-S4P1G1"/>
    <s v="Francisco Astiasaran"/>
    <s v="Complete"/>
    <s v="Resolved"/>
    <s v="Backlog"/>
    <m/>
    <s v="24KC703"/>
    <s v="Repair-EA"/>
    <s v="EM"/>
    <s v="PW4000"/>
    <s v="AMO"/>
    <s v="75%"/>
    <d v="2024-11-12T11:53:37"/>
    <m/>
    <m/>
    <x v="268"/>
    <d v="2025-01-27T15:58:23"/>
    <m/>
    <m/>
    <m/>
    <m/>
    <m/>
    <s v=""/>
    <s v=""/>
    <n v="0"/>
    <n v="68.71276620370918"/>
    <n v="68.71276620370918"/>
    <n v="0"/>
    <n v="0"/>
    <n v="0"/>
    <n v="0"/>
    <n v="0"/>
    <n v="0"/>
    <n v="0"/>
    <n v="0"/>
    <n v="0"/>
    <n v="68.71276620370918"/>
    <n v="68.71276620370918"/>
    <n v="45677.208333333336"/>
    <n v="1"/>
  </r>
  <r>
    <s v="Cases &amp; Composites"/>
    <s v="CAS-234862-G5B1Z6"/>
    <s v="Francisco Astiasaran"/>
    <s v="Complete"/>
    <s v="Resolved"/>
    <s v="Backlog"/>
    <m/>
    <s v="24CCT93B"/>
    <s v="Repair-EA"/>
    <s v="OTC"/>
    <s v="PW1000G"/>
    <s v="24K"/>
    <s v="75%"/>
    <d v="2024-11-21T14:10:25"/>
    <m/>
    <m/>
    <x v="185"/>
    <d v="2024-11-23T00:49:21"/>
    <m/>
    <d v="2024-11-21T05:00:00"/>
    <d v="2024-11-22T05:00:00"/>
    <d v="2024-11-22T05:00:00"/>
    <d v="2024-11-22T05:00:00"/>
    <n v="1"/>
    <n v="0"/>
    <n v="1"/>
    <n v="0.61776620370801538"/>
    <n v="-0.38223379629198462"/>
    <n v="0"/>
    <n v="0"/>
    <n v="0"/>
    <n v="0"/>
    <n v="0"/>
    <n v="0"/>
    <n v="0"/>
    <n v="0"/>
    <n v="0"/>
    <n v="0.61776620370801538"/>
    <n v="-0.38223379629198462"/>
    <n v="45618.208333333336"/>
    <n v="1"/>
  </r>
  <r>
    <s v="Cases &amp; Composites"/>
    <s v="CAS-235582-R6N4G0"/>
    <s v="Brian K Holland"/>
    <s v="Complete"/>
    <s v="Resolved"/>
    <s v="Backlog"/>
    <m/>
    <s v="24FC377"/>
    <s v="Repair-EA"/>
    <s v="OTC"/>
    <s v="PW2000"/>
    <s v="AMO"/>
    <s v="75%"/>
    <d v="2024-11-27T18:39:16"/>
    <m/>
    <m/>
    <x v="297"/>
    <d v="2024-12-09T22:02:23"/>
    <m/>
    <m/>
    <m/>
    <m/>
    <m/>
    <s v=""/>
    <s v=""/>
    <n v="0"/>
    <n v="11.431064814816636"/>
    <n v="11.431064814816636"/>
    <n v="0"/>
    <n v="0"/>
    <n v="0"/>
    <n v="0"/>
    <n v="0"/>
    <n v="0"/>
    <n v="0"/>
    <n v="0"/>
    <n v="0"/>
    <n v="11.431064814816636"/>
    <n v="11.431064814816636"/>
    <n v="45635.208333333336"/>
    <n v="1"/>
  </r>
  <r>
    <s v="Cases &amp; Composites"/>
    <s v="CAS-233966-V6L9H8"/>
    <s v="Brian K Holland"/>
    <s v="Complete"/>
    <s v="Resolved"/>
    <s v="Backlog"/>
    <m/>
    <s v="24KC744"/>
    <s v="Repair-EA"/>
    <s v="OTC"/>
    <s v="PW4000"/>
    <s v="AMO"/>
    <m/>
    <d v="2024-11-13T13:31:56"/>
    <m/>
    <m/>
    <x v="297"/>
    <d v="2024-12-09T16:00:00"/>
    <m/>
    <m/>
    <m/>
    <m/>
    <m/>
    <s v=""/>
    <s v=""/>
    <n v="0"/>
    <n v="25.644490740742185"/>
    <n v="25.644490740742185"/>
    <n v="0"/>
    <n v="0"/>
    <n v="0"/>
    <n v="0"/>
    <n v="0"/>
    <n v="0"/>
    <n v="0"/>
    <n v="0"/>
    <n v="0"/>
    <n v="25.644490740742185"/>
    <n v="25.644490740742185"/>
    <n v="45635.208333333336"/>
    <n v="1"/>
  </r>
  <r>
    <s v="Cases &amp; Composites"/>
    <s v="CAS-230774-J3N2T6"/>
    <s v="Francisco Astiasaran"/>
    <s v="Complete"/>
    <s v="Resolved"/>
    <s v="Backlog"/>
    <m/>
    <s v="24KC747"/>
    <s v="Repair-EA"/>
    <s v="OTC"/>
    <s v="PW4000"/>
    <s v="AMO"/>
    <s v="75%"/>
    <d v="2024-10-14T20:09:48"/>
    <m/>
    <m/>
    <x v="352"/>
    <d v="2025-01-06T18:26:08"/>
    <m/>
    <m/>
    <m/>
    <m/>
    <m/>
    <s v=""/>
    <s v=""/>
    <n v="0"/>
    <n v="83.368194444446999"/>
    <n v="83.368194444446999"/>
    <n v="0"/>
    <n v="0"/>
    <n v="0"/>
    <n v="0"/>
    <n v="0"/>
    <n v="0"/>
    <n v="0"/>
    <n v="0"/>
    <n v="0"/>
    <n v="83.368194444446999"/>
    <n v="83.368194444446999"/>
    <n v="45663.208333333336"/>
    <n v="1"/>
  </r>
  <r>
    <s v="Cases &amp; Composites"/>
    <s v="MSG-241205-9586E5"/>
    <s v="Francisco Astiasaran"/>
    <s v="Complete"/>
    <s v="Complete"/>
    <s v="Backlog"/>
    <m/>
    <s v="24KC751"/>
    <s v="Repair-EA"/>
    <s v="OTC"/>
    <s v="PW4000"/>
    <s v="AMO"/>
    <m/>
    <d v="2024-12-05T05:00:00"/>
    <m/>
    <m/>
    <x v="79"/>
    <d v="2025-01-14T20:51:48"/>
    <s v="Temp Controlled Material Exceeding Out Time"/>
    <m/>
    <m/>
    <m/>
    <m/>
    <s v=""/>
    <s v=""/>
    <n v="0"/>
    <n v="40"/>
    <n v="40"/>
    <n v="0"/>
    <n v="0"/>
    <n v="0"/>
    <n v="0"/>
    <n v="0"/>
    <n v="0"/>
    <n v="0"/>
    <n v="0"/>
    <n v="0"/>
    <n v="40"/>
    <n v="40"/>
    <n v="45671.208333333336"/>
    <n v="1"/>
  </r>
  <r>
    <s v="Cases &amp; Composites"/>
    <s v="CAS-239247-D6G9D9"/>
    <s v="Francisco Astiasaran"/>
    <s v="Complete"/>
    <s v="Resolved"/>
    <s v="Backlog"/>
    <m/>
    <s v="25CC111"/>
    <s v="Repair-EA"/>
    <s v="OTC"/>
    <s v="PW1000G"/>
    <s v="AMO"/>
    <s v="75%"/>
    <d v="2025-01-08T19:44:02"/>
    <m/>
    <m/>
    <x v="236"/>
    <d v="2025-01-24T18:01:50"/>
    <m/>
    <m/>
    <m/>
    <m/>
    <m/>
    <s v=""/>
    <s v=""/>
    <n v="0"/>
    <n v="13.386087962964666"/>
    <n v="13.386087962964666"/>
    <n v="0"/>
    <n v="0"/>
    <n v="0"/>
    <n v="0"/>
    <n v="0"/>
    <n v="0"/>
    <n v="0"/>
    <n v="0"/>
    <n v="0"/>
    <n v="13.386087962964666"/>
    <n v="13.386087962964666"/>
    <n v="45679.208333333336"/>
    <n v="1"/>
  </r>
  <r>
    <s v="Cases &amp; Composites"/>
    <s v="CAS-238114-N6K9C1"/>
    <s v="Francisco Astiasaran"/>
    <s v="Complete"/>
    <s v="Resolved"/>
    <s v="Backlog"/>
    <m/>
    <s v="20CCD50A"/>
    <s v="Repair-EA"/>
    <s v="MR"/>
    <s v="PW1000G"/>
    <s v="24K"/>
    <s v="75%"/>
    <d v="2024-12-23T13:58:13"/>
    <m/>
    <m/>
    <x v="99"/>
    <d v="2025-01-28T21:00:17"/>
    <m/>
    <m/>
    <m/>
    <m/>
    <m/>
    <s v=""/>
    <s v=""/>
    <n v="0"/>
    <n v="35.62623842593166"/>
    <n v="35.62623842593166"/>
    <n v="0"/>
    <n v="0"/>
    <n v="0"/>
    <n v="0"/>
    <n v="0"/>
    <n v="0"/>
    <n v="0"/>
    <n v="0"/>
    <n v="0"/>
    <n v="35.62623842593166"/>
    <n v="35.62623842593166"/>
    <n v="45685.208333333336"/>
    <n v="1"/>
  </r>
  <r>
    <s v="Cases &amp; Composites"/>
    <s v="CAS-240006-X0M8K4"/>
    <s v="Francisco Astiasaran"/>
    <s v="Complete"/>
    <s v="Resolved"/>
    <s v="Backlog"/>
    <m/>
    <s v="25KC051"/>
    <s v="Repair-EA"/>
    <s v="OTC"/>
    <s v="PW4000"/>
    <s v="AMO"/>
    <m/>
    <d v="2025-01-15T16:43:22"/>
    <m/>
    <m/>
    <x v="353"/>
    <d v="2025-01-28T20:37:26"/>
    <m/>
    <m/>
    <m/>
    <m/>
    <m/>
    <s v=""/>
    <s v=""/>
    <n v="0"/>
    <n v="11.511550925926713"/>
    <n v="11.511550925926713"/>
    <n v="0"/>
    <n v="0"/>
    <n v="0"/>
    <n v="0"/>
    <n v="0"/>
    <n v="0"/>
    <n v="0"/>
    <n v="0"/>
    <n v="0"/>
    <n v="11.511550925926713"/>
    <n v="11.511550925926713"/>
    <n v="45684.20833333333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64AA12-0B9B-4242-8E72-2D24EC962F6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D40" firstHeaderRow="1" firstDataRow="5" firstDataCol="1"/>
  <pivotFields count="44">
    <pivotField showAll="0"/>
    <pivotField dataField="1" showAll="0"/>
    <pivotField showAll="0"/>
    <pivotField showAll="0"/>
    <pivotField showAll="0"/>
    <pivotField axis="axisRow" showAll="0">
      <items count="7">
        <item x="1"/>
        <item x="0"/>
        <item x="2"/>
        <item x="3"/>
        <item x="5"/>
        <item x="4"/>
        <item t="default"/>
      </items>
    </pivotField>
    <pivotField showAll="0"/>
    <pivotField showAll="0"/>
    <pivotField showAll="0"/>
    <pivotField showAll="0"/>
    <pivotField showAll="0"/>
    <pivotField showAll="0"/>
    <pivotField showAll="0"/>
    <pivotField numFmtId="164" showAll="0"/>
    <pivotField showAll="0"/>
    <pivotField showAll="0"/>
    <pivotField axis="axisCol" numFmtId="164" showAll="0">
      <items count="697">
        <item m="1" x="486"/>
        <item m="1" x="488"/>
        <item m="1" x="660"/>
        <item m="1" x="464"/>
        <item m="1" x="662"/>
        <item m="1" x="619"/>
        <item m="1" x="384"/>
        <item m="1" x="510"/>
        <item m="1" x="467"/>
        <item m="1" x="682"/>
        <item m="1" x="651"/>
        <item m="1" x="382"/>
        <item m="1" x="453"/>
        <item m="1" x="455"/>
        <item m="1" x="418"/>
        <item m="1" x="411"/>
        <item m="1" x="475"/>
        <item m="1" x="410"/>
        <item m="1" x="679"/>
        <item m="1" x="620"/>
        <item m="1" x="477"/>
        <item m="1" x="386"/>
        <item m="1" x="417"/>
        <item m="1" x="469"/>
        <item m="1" x="681"/>
        <item m="1" x="511"/>
        <item m="1" x="474"/>
        <item m="1" x="423"/>
        <item m="1" x="621"/>
        <item m="1" x="491"/>
        <item m="1" x="385"/>
        <item m="1" x="509"/>
        <item m="1" x="683"/>
        <item m="1" x="383"/>
        <item m="1" x="413"/>
        <item m="1" x="618"/>
        <item m="1" x="476"/>
        <item m="1" x="669"/>
        <item m="1" x="521"/>
        <item m="1" x="501"/>
        <item m="1" x="680"/>
        <item m="1" x="617"/>
        <item m="1" x="451"/>
        <item m="1" x="545"/>
        <item m="1" x="684"/>
        <item m="1" x="493"/>
        <item m="1" x="522"/>
        <item m="1" x="353"/>
        <item m="1" x="466"/>
        <item m="1" x="426"/>
        <item m="1" x="478"/>
        <item m="1" x="430"/>
        <item m="1" x="492"/>
        <item m="1" x="503"/>
        <item m="1" x="624"/>
        <item m="1" x="502"/>
        <item m="1" x="514"/>
        <item m="1" x="508"/>
        <item m="1" x="471"/>
        <item m="1" x="409"/>
        <item m="1" x="416"/>
        <item m="1" x="658"/>
        <item m="1" x="666"/>
        <item m="1" x="381"/>
        <item m="1" x="457"/>
        <item m="1" x="688"/>
        <item m="1" x="424"/>
        <item m="1" x="458"/>
        <item m="1" x="415"/>
        <item m="1" x="387"/>
        <item m="1" x="425"/>
        <item m="1" x="481"/>
        <item m="1" x="354"/>
        <item m="1" x="468"/>
        <item m="1" x="472"/>
        <item m="1" x="664"/>
        <item m="1" x="674"/>
        <item m="1" x="434"/>
        <item m="1" x="652"/>
        <item m="1" x="685"/>
        <item m="1" x="479"/>
        <item m="1" x="427"/>
        <item m="1" x="667"/>
        <item m="1" x="487"/>
        <item m="1" x="627"/>
        <item m="1" x="421"/>
        <item m="1" x="482"/>
        <item m="1" x="490"/>
        <item m="1" x="388"/>
        <item m="1" x="671"/>
        <item m="1" x="663"/>
        <item m="1" x="656"/>
        <item m="1" x="438"/>
        <item m="1" x="675"/>
        <item m="1" x="459"/>
        <item m="1" x="483"/>
        <item m="1" x="450"/>
        <item m="1" x="500"/>
        <item m="1" x="470"/>
        <item m="1" x="687"/>
        <item m="1" x="465"/>
        <item m="1" x="494"/>
        <item m="1" x="414"/>
        <item m="1" x="665"/>
        <item m="1" x="623"/>
        <item m="1" x="516"/>
        <item m="1" x="653"/>
        <item m="1" x="496"/>
        <item m="1" x="626"/>
        <item m="1" x="544"/>
        <item m="1" x="672"/>
        <item m="1" x="670"/>
        <item m="1" x="628"/>
        <item m="1" x="480"/>
        <item m="1" x="437"/>
        <item m="1" x="439"/>
        <item m="1" x="489"/>
        <item m="1" x="452"/>
        <item m="1" x="504"/>
        <item m="1" x="390"/>
        <item m="1" x="456"/>
        <item m="1" x="497"/>
        <item m="1" x="355"/>
        <item m="1" x="631"/>
        <item m="1" x="512"/>
        <item m="1" x="515"/>
        <item m="1" x="422"/>
        <item m="1" x="678"/>
        <item m="1" x="630"/>
        <item m="1" x="440"/>
        <item m="1" x="441"/>
        <item m="1" x="686"/>
        <item m="1" x="357"/>
        <item m="1" x="523"/>
        <item m="1" x="677"/>
        <item m="1" x="633"/>
        <item m="1" x="436"/>
        <item m="1" x="461"/>
        <item m="1" x="431"/>
        <item m="1" x="435"/>
        <item m="1" x="657"/>
        <item m="1" x="442"/>
        <item m="1" x="361"/>
        <item m="1" x="358"/>
        <item m="1" x="356"/>
        <item m="1" x="443"/>
        <item m="1" x="518"/>
        <item m="1" x="629"/>
        <item m="1" x="495"/>
        <item m="1" x="654"/>
        <item m="1" x="393"/>
        <item m="1" x="659"/>
        <item m="1" x="661"/>
        <item m="1" x="519"/>
        <item m="1" x="676"/>
        <item m="1" x="366"/>
        <item m="1" x="517"/>
        <item m="1" x="689"/>
        <item m="1" x="454"/>
        <item m="1" x="392"/>
        <item m="1" x="505"/>
        <item m="1" x="513"/>
        <item m="1" x="693"/>
        <item m="1" x="429"/>
        <item m="1" x="444"/>
        <item m="1" x="460"/>
        <item m="1" x="529"/>
        <item m="1" x="668"/>
        <item m="1" x="391"/>
        <item m="1" x="579"/>
        <item m="1" x="574"/>
        <item m="1" x="622"/>
        <item m="1" x="590"/>
        <item m="1" x="604"/>
        <item m="1" x="625"/>
        <item m="1" x="557"/>
        <item m="1" x="634"/>
        <item m="1" x="593"/>
        <item m="1" x="638"/>
        <item m="1" x="528"/>
        <item m="1" x="532"/>
        <item m="1" x="564"/>
        <item m="1" x="547"/>
        <item m="1" x="462"/>
        <item m="1" x="581"/>
        <item m="1" x="389"/>
        <item m="1" x="586"/>
        <item m="1" x="567"/>
        <item m="1" x="561"/>
        <item m="1" x="598"/>
        <item m="1" x="565"/>
        <item m="1" x="655"/>
        <item m="1" x="608"/>
        <item m="1" x="605"/>
        <item m="1" x="594"/>
        <item m="1" x="498"/>
        <item m="1" x="536"/>
        <item m="1" x="531"/>
        <item m="1" x="673"/>
        <item m="1" x="546"/>
        <item m="1" x="599"/>
        <item m="1" x="560"/>
        <item m="1" x="534"/>
        <item m="1" x="610"/>
        <item m="1" x="576"/>
        <item m="1" x="533"/>
        <item m="1" x="692"/>
        <item m="1" x="559"/>
        <item m="1" x="568"/>
        <item m="1" x="641"/>
        <item m="1" x="535"/>
        <item m="1" x="373"/>
        <item m="1" x="394"/>
        <item m="1" x="538"/>
        <item m="1" x="396"/>
        <item m="1" x="537"/>
        <item m="1" x="395"/>
        <item m="1" x="419"/>
        <item m="1" x="524"/>
        <item m="1" x="691"/>
        <item m="1" x="690"/>
        <item m="1" x="694"/>
        <item m="1" x="412"/>
        <item m="1" x="420"/>
        <item m="1" x="446"/>
        <item m="1" x="432"/>
        <item m="1" x="428"/>
        <item m="1" x="530"/>
        <item m="1" x="433"/>
        <item m="1" x="613"/>
        <item m="1" x="570"/>
        <item m="1" x="583"/>
        <item m="1" x="362"/>
        <item m="1" x="695"/>
        <item m="1" x="448"/>
        <item m="1" x="447"/>
        <item m="1" x="445"/>
        <item m="1" x="571"/>
        <item m="1" x="595"/>
        <item m="1" x="572"/>
        <item m="1" x="367"/>
        <item m="1" x="449"/>
        <item m="1" x="587"/>
        <item m="1" x="640"/>
        <item m="1" x="484"/>
        <item m="1" x="463"/>
        <item m="1" x="539"/>
        <item m="1" x="615"/>
        <item m="1" x="399"/>
        <item m="1" x="602"/>
        <item m="1" x="548"/>
        <item m="1" x="398"/>
        <item m="1" x="592"/>
        <item m="1" x="551"/>
        <item m="1" x="588"/>
        <item m="1" x="541"/>
        <item m="1" x="582"/>
        <item m="1" x="632"/>
        <item m="1" x="542"/>
        <item m="1" x="600"/>
        <item m="1" x="635"/>
        <item m="1" x="577"/>
        <item m="1" x="607"/>
        <item m="1" x="636"/>
        <item m="1" x="527"/>
        <item m="1" x="401"/>
        <item m="1" x="402"/>
        <item m="1" x="596"/>
        <item m="1" x="569"/>
        <item m="1" x="397"/>
        <item m="1" x="637"/>
        <item m="1" x="378"/>
        <item m="1" x="644"/>
        <item m="1" x="403"/>
        <item m="1" x="566"/>
        <item m="1" x="643"/>
        <item m="1" x="573"/>
        <item m="1" x="601"/>
        <item m="1" x="374"/>
        <item m="1" x="558"/>
        <item m="1" x="563"/>
        <item m="1" x="370"/>
        <item m="1" x="642"/>
        <item m="1" x="575"/>
        <item m="1" x="647"/>
        <item m="1" x="611"/>
        <item m="1" x="597"/>
        <item m="1" x="562"/>
        <item m="1" x="612"/>
        <item m="1" x="369"/>
        <item m="1" x="616"/>
        <item m="1" x="405"/>
        <item m="1" x="550"/>
        <item m="1" x="589"/>
        <item m="1" x="375"/>
        <item m="1" x="364"/>
        <item m="1" x="552"/>
        <item m="1" x="543"/>
        <item m="1" x="540"/>
        <item m="1" x="549"/>
        <item m="1" x="506"/>
        <item m="1" x="609"/>
        <item m="1" x="555"/>
        <item m="1" x="406"/>
        <item m="1" x="525"/>
        <item m="1" x="649"/>
        <item m="1" x="606"/>
        <item m="1" x="368"/>
        <item m="1" x="520"/>
        <item m="1" x="591"/>
        <item m="1" x="363"/>
        <item m="1" x="377"/>
        <item m="1" x="646"/>
        <item m="1" x="603"/>
        <item m="1" x="585"/>
        <item m="1" x="553"/>
        <item m="1" x="578"/>
        <item m="1" x="400"/>
        <item m="1" x="584"/>
        <item m="1" x="648"/>
        <item m="1" x="614"/>
        <item m="1" x="556"/>
        <item m="1" x="360"/>
        <item m="1" x="499"/>
        <item m="1" x="554"/>
        <item m="1" x="371"/>
        <item m="1" x="639"/>
        <item m="1" x="645"/>
        <item m="1" x="407"/>
        <item m="1" x="359"/>
        <item m="1" x="376"/>
        <item m="1" x="365"/>
        <item m="1" x="372"/>
        <item m="1" x="507"/>
        <item m="1" x="380"/>
        <item m="1" x="473"/>
        <item m="1" x="379"/>
        <item m="1" x="580"/>
        <item m="1" x="650"/>
        <item m="1" x="404"/>
        <item m="1" x="408"/>
        <item m="1" x="526"/>
        <item m="1" x="485"/>
        <item m="1" x="351"/>
        <item m="1" x="3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x="5"/>
      </items>
    </pivotField>
    <pivotField axis="axisCol" showAll="0" defaultSubtotal="0">
      <items count="4">
        <item sd="0" x="0"/>
        <item sd="0" x="1"/>
        <item sd="0" x="2"/>
        <item x="3"/>
      </items>
    </pivotField>
  </pivotFields>
  <rowFields count="1">
    <field x="5"/>
  </rowFields>
  <rowItems count="7">
    <i>
      <x/>
    </i>
    <i>
      <x v="1"/>
    </i>
    <i>
      <x v="2"/>
    </i>
    <i>
      <x v="3"/>
    </i>
    <i>
      <x v="4"/>
    </i>
    <i>
      <x v="5"/>
    </i>
    <i t="grand">
      <x/>
    </i>
  </rowItems>
  <colFields count="4">
    <field x="43"/>
    <field x="42"/>
    <field x="41"/>
    <field x="16"/>
  </colFields>
  <colItems count="3">
    <i>
      <x v="1"/>
    </i>
    <i>
      <x v="2"/>
    </i>
    <i t="grand">
      <x/>
    </i>
  </colItems>
  <dataFields count="1">
    <dataField name="Count of Msg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5515B8-4E8B-485B-A177-70264B20FCB1}"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9:W32" firstHeaderRow="1" firstDataRow="3"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numFmtId="164" showAll="0">
      <items count="355">
        <item x="137"/>
        <item x="139"/>
        <item x="318"/>
        <item x="115"/>
        <item x="320"/>
        <item x="275"/>
        <item x="32"/>
        <item x="161"/>
        <item x="118"/>
        <item x="340"/>
        <item x="309"/>
        <item x="30"/>
        <item x="104"/>
        <item x="106"/>
        <item x="69"/>
        <item x="62"/>
        <item x="126"/>
        <item x="61"/>
        <item x="337"/>
        <item x="276"/>
        <item x="128"/>
        <item x="34"/>
        <item x="68"/>
        <item x="120"/>
        <item x="339"/>
        <item x="162"/>
        <item x="125"/>
        <item x="74"/>
        <item x="277"/>
        <item x="142"/>
        <item x="33"/>
        <item x="160"/>
        <item x="341"/>
        <item x="31"/>
        <item x="64"/>
        <item x="274"/>
        <item x="127"/>
        <item x="327"/>
        <item x="172"/>
        <item x="152"/>
        <item x="338"/>
        <item x="273"/>
        <item x="102"/>
        <item x="196"/>
        <item x="342"/>
        <item x="144"/>
        <item x="173"/>
        <item x="1"/>
        <item x="117"/>
        <item x="77"/>
        <item x="129"/>
        <item x="81"/>
        <item x="143"/>
        <item x="154"/>
        <item x="280"/>
        <item x="153"/>
        <item x="165"/>
        <item x="159"/>
        <item x="122"/>
        <item x="60"/>
        <item x="67"/>
        <item x="316"/>
        <item x="324"/>
        <item x="29"/>
        <item x="108"/>
        <item x="346"/>
        <item x="75"/>
        <item x="109"/>
        <item x="66"/>
        <item x="35"/>
        <item x="76"/>
        <item x="132"/>
        <item x="2"/>
        <item x="119"/>
        <item x="123"/>
        <item x="322"/>
        <item x="332"/>
        <item x="85"/>
        <item x="310"/>
        <item x="343"/>
        <item x="130"/>
        <item x="78"/>
        <item x="325"/>
        <item x="138"/>
        <item x="283"/>
        <item x="72"/>
        <item x="133"/>
        <item x="141"/>
        <item x="36"/>
        <item x="329"/>
        <item x="321"/>
        <item x="314"/>
        <item x="89"/>
        <item x="333"/>
        <item x="110"/>
        <item x="134"/>
        <item x="101"/>
        <item x="151"/>
        <item x="121"/>
        <item x="345"/>
        <item x="116"/>
        <item x="145"/>
        <item x="65"/>
        <item x="323"/>
        <item x="279"/>
        <item x="167"/>
        <item x="311"/>
        <item x="147"/>
        <item x="282"/>
        <item x="195"/>
        <item x="330"/>
        <item x="328"/>
        <item x="284"/>
        <item x="131"/>
        <item x="88"/>
        <item x="90"/>
        <item x="140"/>
        <item x="103"/>
        <item x="155"/>
        <item x="38"/>
        <item x="107"/>
        <item x="148"/>
        <item x="3"/>
        <item x="287"/>
        <item x="163"/>
        <item x="166"/>
        <item x="73"/>
        <item x="336"/>
        <item x="286"/>
        <item x="91"/>
        <item x="92"/>
        <item x="344"/>
        <item x="5"/>
        <item x="174"/>
        <item x="335"/>
        <item x="289"/>
        <item x="87"/>
        <item x="112"/>
        <item x="82"/>
        <item x="86"/>
        <item x="315"/>
        <item x="93"/>
        <item x="9"/>
        <item x="6"/>
        <item x="4"/>
        <item x="94"/>
        <item x="169"/>
        <item x="285"/>
        <item x="146"/>
        <item x="312"/>
        <item x="41"/>
        <item x="317"/>
        <item x="319"/>
        <item x="170"/>
        <item x="334"/>
        <item x="14"/>
        <item x="168"/>
        <item x="347"/>
        <item x="105"/>
        <item x="40"/>
        <item x="156"/>
        <item x="164"/>
        <item x="351"/>
        <item x="80"/>
        <item x="95"/>
        <item x="111"/>
        <item x="180"/>
        <item x="326"/>
        <item x="39"/>
        <item x="232"/>
        <item x="226"/>
        <item x="278"/>
        <item x="243"/>
        <item x="257"/>
        <item x="281"/>
        <item x="208"/>
        <item x="290"/>
        <item x="246"/>
        <item x="294"/>
        <item x="179"/>
        <item x="183"/>
        <item x="215"/>
        <item x="198"/>
        <item x="113"/>
        <item x="234"/>
        <item x="37"/>
        <item x="239"/>
        <item x="218"/>
        <item x="212"/>
        <item x="251"/>
        <item x="216"/>
        <item x="313"/>
        <item x="262"/>
        <item x="258"/>
        <item x="247"/>
        <item x="149"/>
        <item x="187"/>
        <item x="182"/>
        <item x="331"/>
        <item x="197"/>
        <item x="252"/>
        <item x="211"/>
        <item x="185"/>
        <item x="265"/>
        <item x="228"/>
        <item x="184"/>
        <item x="350"/>
        <item x="210"/>
        <item x="219"/>
        <item x="297"/>
        <item x="186"/>
        <item x="21"/>
        <item x="42"/>
        <item x="189"/>
        <item x="44"/>
        <item x="188"/>
        <item x="43"/>
        <item x="70"/>
        <item x="175"/>
        <item x="349"/>
        <item x="348"/>
        <item x="352"/>
        <item x="63"/>
        <item x="71"/>
        <item x="97"/>
        <item x="83"/>
        <item x="79"/>
        <item x="181"/>
        <item x="84"/>
        <item x="268"/>
        <item x="221"/>
        <item x="236"/>
        <item x="10"/>
        <item x="353"/>
        <item x="99"/>
        <item x="98"/>
        <item x="96"/>
        <item x="222"/>
        <item x="248"/>
        <item x="223"/>
        <item x="15"/>
        <item x="100"/>
        <item x="240"/>
        <item x="296"/>
        <item x="135"/>
        <item x="114"/>
        <item x="190"/>
        <item x="270"/>
        <item x="47"/>
        <item x="255"/>
        <item x="199"/>
        <item x="46"/>
        <item x="245"/>
        <item x="202"/>
        <item x="241"/>
        <item x="192"/>
        <item x="235"/>
        <item x="288"/>
        <item x="193"/>
        <item x="253"/>
        <item x="291"/>
        <item x="229"/>
        <item x="261"/>
        <item x="292"/>
        <item x="178"/>
        <item x="49"/>
        <item x="50"/>
        <item x="249"/>
        <item x="220"/>
        <item x="45"/>
        <item x="293"/>
        <item x="26"/>
        <item x="300"/>
        <item x="51"/>
        <item x="217"/>
        <item x="299"/>
        <item x="225"/>
        <item x="254"/>
        <item x="22"/>
        <item x="209"/>
        <item x="214"/>
        <item x="18"/>
        <item x="298"/>
        <item x="227"/>
        <item x="303"/>
        <item x="266"/>
        <item x="250"/>
        <item x="213"/>
        <item x="267"/>
        <item x="17"/>
        <item x="271"/>
        <item x="53"/>
        <item x="201"/>
        <item x="242"/>
        <item x="23"/>
        <item x="12"/>
        <item x="203"/>
        <item x="194"/>
        <item x="191"/>
        <item x="200"/>
        <item x="157"/>
        <item x="263"/>
        <item x="206"/>
        <item x="54"/>
        <item x="176"/>
        <item x="306"/>
        <item x="259"/>
        <item x="16"/>
        <item x="171"/>
        <item x="244"/>
        <item x="11"/>
        <item x="25"/>
        <item x="302"/>
        <item x="256"/>
        <item x="238"/>
        <item x="204"/>
        <item x="230"/>
        <item x="48"/>
        <item x="237"/>
        <item x="305"/>
        <item x="269"/>
        <item x="207"/>
        <item x="8"/>
        <item x="150"/>
        <item x="205"/>
        <item x="19"/>
        <item x="295"/>
        <item x="301"/>
        <item x="55"/>
        <item x="7"/>
        <item x="24"/>
        <item x="13"/>
        <item x="20"/>
        <item x="158"/>
        <item x="28"/>
        <item x="124"/>
        <item x="27"/>
        <item x="233"/>
        <item x="307"/>
        <item x="52"/>
        <item x="57"/>
        <item x="177"/>
        <item x="136"/>
        <item x="304"/>
        <item x="308"/>
        <item x="224"/>
        <item x="231"/>
        <item x="56"/>
        <item x="264"/>
        <item x="272"/>
        <item x="260"/>
        <item x="58"/>
        <item x="0"/>
        <item x="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x="2"/>
        <item sd="0" x="3"/>
        <item t="default"/>
      </items>
    </pivotField>
  </pivotFields>
  <rowItems count="1">
    <i/>
  </rowItems>
  <colFields count="2">
    <field x="43"/>
    <field x="41"/>
  </colFields>
  <colItems count="11">
    <i>
      <x v="1"/>
    </i>
    <i>
      <x v="2"/>
      <x v="1"/>
    </i>
    <i r="1">
      <x v="2"/>
    </i>
    <i r="1">
      <x v="3"/>
    </i>
    <i r="1">
      <x v="4"/>
    </i>
    <i r="1">
      <x v="5"/>
    </i>
    <i r="1">
      <x v="6"/>
    </i>
    <i r="1">
      <x v="7"/>
    </i>
    <i r="1">
      <x v="8"/>
    </i>
    <i t="default">
      <x v="2"/>
    </i>
    <i t="grand">
      <x/>
    </i>
  </colItems>
  <dataFields count="1">
    <dataField name="Sum of OTD PassFail" fld="4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FEE90D-2786-4F4B-A555-E55FC87767D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D24" firstHeaderRow="1" firstDataRow="5" firstDataCol="1"/>
  <pivotFields count="44">
    <pivotField showAll="0"/>
    <pivotField dataField="1"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numFmtId="164" showAll="0"/>
    <pivotField showAll="0"/>
    <pivotField showAll="0"/>
    <pivotField axis="axisCol" numFmtId="164" showAll="0">
      <items count="697">
        <item m="1" x="486"/>
        <item m="1" x="488"/>
        <item m="1" x="660"/>
        <item m="1" x="464"/>
        <item m="1" x="662"/>
        <item m="1" x="619"/>
        <item m="1" x="384"/>
        <item m="1" x="510"/>
        <item m="1" x="467"/>
        <item m="1" x="682"/>
        <item m="1" x="651"/>
        <item m="1" x="382"/>
        <item m="1" x="453"/>
        <item m="1" x="455"/>
        <item m="1" x="418"/>
        <item m="1" x="411"/>
        <item m="1" x="475"/>
        <item m="1" x="410"/>
        <item m="1" x="679"/>
        <item m="1" x="620"/>
        <item m="1" x="477"/>
        <item m="1" x="386"/>
        <item m="1" x="417"/>
        <item m="1" x="469"/>
        <item m="1" x="681"/>
        <item m="1" x="511"/>
        <item m="1" x="474"/>
        <item m="1" x="423"/>
        <item m="1" x="621"/>
        <item m="1" x="491"/>
        <item m="1" x="385"/>
        <item m="1" x="509"/>
        <item m="1" x="683"/>
        <item m="1" x="383"/>
        <item m="1" x="413"/>
        <item m="1" x="618"/>
        <item m="1" x="476"/>
        <item m="1" x="669"/>
        <item m="1" x="521"/>
        <item m="1" x="501"/>
        <item m="1" x="680"/>
        <item m="1" x="617"/>
        <item m="1" x="451"/>
        <item m="1" x="545"/>
        <item m="1" x="684"/>
        <item m="1" x="493"/>
        <item m="1" x="522"/>
        <item m="1" x="353"/>
        <item m="1" x="466"/>
        <item m="1" x="426"/>
        <item m="1" x="478"/>
        <item m="1" x="430"/>
        <item m="1" x="492"/>
        <item m="1" x="503"/>
        <item m="1" x="624"/>
        <item m="1" x="502"/>
        <item m="1" x="514"/>
        <item m="1" x="508"/>
        <item m="1" x="471"/>
        <item m="1" x="409"/>
        <item m="1" x="416"/>
        <item m="1" x="658"/>
        <item m="1" x="666"/>
        <item m="1" x="381"/>
        <item m="1" x="457"/>
        <item m="1" x="688"/>
        <item m="1" x="424"/>
        <item m="1" x="458"/>
        <item m="1" x="415"/>
        <item m="1" x="387"/>
        <item m="1" x="425"/>
        <item m="1" x="481"/>
        <item m="1" x="354"/>
        <item m="1" x="468"/>
        <item m="1" x="472"/>
        <item m="1" x="664"/>
        <item m="1" x="674"/>
        <item m="1" x="434"/>
        <item m="1" x="652"/>
        <item m="1" x="685"/>
        <item m="1" x="479"/>
        <item m="1" x="427"/>
        <item m="1" x="667"/>
        <item m="1" x="487"/>
        <item m="1" x="627"/>
        <item m="1" x="421"/>
        <item m="1" x="482"/>
        <item m="1" x="490"/>
        <item m="1" x="388"/>
        <item m="1" x="671"/>
        <item m="1" x="663"/>
        <item m="1" x="656"/>
        <item m="1" x="438"/>
        <item m="1" x="675"/>
        <item m="1" x="459"/>
        <item m="1" x="483"/>
        <item m="1" x="450"/>
        <item m="1" x="500"/>
        <item m="1" x="470"/>
        <item m="1" x="687"/>
        <item m="1" x="465"/>
        <item m="1" x="494"/>
        <item m="1" x="414"/>
        <item m="1" x="665"/>
        <item m="1" x="623"/>
        <item m="1" x="516"/>
        <item m="1" x="653"/>
        <item m="1" x="496"/>
        <item m="1" x="626"/>
        <item m="1" x="544"/>
        <item m="1" x="672"/>
        <item m="1" x="670"/>
        <item m="1" x="628"/>
        <item m="1" x="480"/>
        <item m="1" x="437"/>
        <item m="1" x="439"/>
        <item m="1" x="489"/>
        <item m="1" x="452"/>
        <item m="1" x="504"/>
        <item m="1" x="390"/>
        <item m="1" x="456"/>
        <item m="1" x="497"/>
        <item m="1" x="355"/>
        <item m="1" x="631"/>
        <item m="1" x="512"/>
        <item m="1" x="515"/>
        <item m="1" x="422"/>
        <item m="1" x="678"/>
        <item m="1" x="630"/>
        <item m="1" x="440"/>
        <item m="1" x="441"/>
        <item m="1" x="686"/>
        <item m="1" x="357"/>
        <item m="1" x="523"/>
        <item m="1" x="677"/>
        <item m="1" x="633"/>
        <item m="1" x="436"/>
        <item m="1" x="461"/>
        <item m="1" x="431"/>
        <item m="1" x="435"/>
        <item m="1" x="657"/>
        <item m="1" x="442"/>
        <item m="1" x="361"/>
        <item m="1" x="358"/>
        <item m="1" x="356"/>
        <item m="1" x="443"/>
        <item m="1" x="518"/>
        <item m="1" x="629"/>
        <item m="1" x="495"/>
        <item m="1" x="654"/>
        <item m="1" x="393"/>
        <item m="1" x="659"/>
        <item m="1" x="661"/>
        <item m="1" x="519"/>
        <item m="1" x="676"/>
        <item m="1" x="366"/>
        <item m="1" x="517"/>
        <item m="1" x="689"/>
        <item m="1" x="454"/>
        <item m="1" x="392"/>
        <item m="1" x="505"/>
        <item m="1" x="513"/>
        <item m="1" x="693"/>
        <item m="1" x="429"/>
        <item m="1" x="444"/>
        <item m="1" x="460"/>
        <item m="1" x="529"/>
        <item m="1" x="668"/>
        <item m="1" x="391"/>
        <item m="1" x="579"/>
        <item m="1" x="574"/>
        <item m="1" x="622"/>
        <item m="1" x="590"/>
        <item m="1" x="604"/>
        <item m="1" x="625"/>
        <item m="1" x="557"/>
        <item m="1" x="634"/>
        <item m="1" x="593"/>
        <item m="1" x="638"/>
        <item m="1" x="528"/>
        <item m="1" x="532"/>
        <item m="1" x="564"/>
        <item m="1" x="547"/>
        <item m="1" x="462"/>
        <item m="1" x="581"/>
        <item m="1" x="389"/>
        <item m="1" x="586"/>
        <item m="1" x="567"/>
        <item m="1" x="561"/>
        <item m="1" x="598"/>
        <item m="1" x="565"/>
        <item m="1" x="655"/>
        <item m="1" x="608"/>
        <item m="1" x="605"/>
        <item m="1" x="594"/>
        <item m="1" x="498"/>
        <item m="1" x="536"/>
        <item m="1" x="531"/>
        <item m="1" x="673"/>
        <item m="1" x="546"/>
        <item m="1" x="599"/>
        <item m="1" x="560"/>
        <item m="1" x="534"/>
        <item m="1" x="610"/>
        <item m="1" x="576"/>
        <item m="1" x="533"/>
        <item m="1" x="692"/>
        <item m="1" x="559"/>
        <item m="1" x="568"/>
        <item m="1" x="641"/>
        <item m="1" x="535"/>
        <item m="1" x="373"/>
        <item m="1" x="394"/>
        <item m="1" x="538"/>
        <item m="1" x="396"/>
        <item m="1" x="537"/>
        <item m="1" x="395"/>
        <item m="1" x="419"/>
        <item m="1" x="524"/>
        <item m="1" x="691"/>
        <item m="1" x="690"/>
        <item m="1" x="694"/>
        <item m="1" x="412"/>
        <item m="1" x="420"/>
        <item m="1" x="446"/>
        <item m="1" x="432"/>
        <item m="1" x="428"/>
        <item m="1" x="530"/>
        <item m="1" x="433"/>
        <item m="1" x="613"/>
        <item m="1" x="570"/>
        <item m="1" x="583"/>
        <item m="1" x="362"/>
        <item m="1" x="695"/>
        <item m="1" x="448"/>
        <item m="1" x="447"/>
        <item m="1" x="445"/>
        <item m="1" x="571"/>
        <item m="1" x="595"/>
        <item m="1" x="572"/>
        <item m="1" x="367"/>
        <item m="1" x="449"/>
        <item m="1" x="587"/>
        <item m="1" x="640"/>
        <item m="1" x="484"/>
        <item m="1" x="463"/>
        <item m="1" x="539"/>
        <item m="1" x="615"/>
        <item m="1" x="399"/>
        <item m="1" x="602"/>
        <item m="1" x="548"/>
        <item m="1" x="398"/>
        <item m="1" x="592"/>
        <item m="1" x="551"/>
        <item m="1" x="588"/>
        <item m="1" x="541"/>
        <item m="1" x="582"/>
        <item m="1" x="632"/>
        <item m="1" x="542"/>
        <item m="1" x="600"/>
        <item m="1" x="635"/>
        <item m="1" x="577"/>
        <item m="1" x="607"/>
        <item m="1" x="636"/>
        <item m="1" x="527"/>
        <item m="1" x="401"/>
        <item m="1" x="402"/>
        <item m="1" x="596"/>
        <item m="1" x="569"/>
        <item m="1" x="397"/>
        <item m="1" x="637"/>
        <item m="1" x="378"/>
        <item m="1" x="644"/>
        <item m="1" x="403"/>
        <item m="1" x="566"/>
        <item m="1" x="643"/>
        <item m="1" x="573"/>
        <item m="1" x="601"/>
        <item m="1" x="374"/>
        <item m="1" x="558"/>
        <item m="1" x="563"/>
        <item m="1" x="370"/>
        <item m="1" x="642"/>
        <item m="1" x="575"/>
        <item m="1" x="647"/>
        <item m="1" x="611"/>
        <item m="1" x="597"/>
        <item m="1" x="562"/>
        <item m="1" x="612"/>
        <item m="1" x="369"/>
        <item m="1" x="616"/>
        <item m="1" x="405"/>
        <item m="1" x="550"/>
        <item m="1" x="589"/>
        <item m="1" x="375"/>
        <item m="1" x="364"/>
        <item m="1" x="552"/>
        <item m="1" x="543"/>
        <item m="1" x="540"/>
        <item m="1" x="549"/>
        <item m="1" x="506"/>
        <item m="1" x="609"/>
        <item m="1" x="555"/>
        <item m="1" x="406"/>
        <item m="1" x="525"/>
        <item m="1" x="649"/>
        <item m="1" x="606"/>
        <item m="1" x="368"/>
        <item m="1" x="520"/>
        <item m="1" x="591"/>
        <item m="1" x="363"/>
        <item m="1" x="377"/>
        <item m="1" x="646"/>
        <item m="1" x="603"/>
        <item m="1" x="585"/>
        <item m="1" x="553"/>
        <item m="1" x="578"/>
        <item m="1" x="400"/>
        <item m="1" x="584"/>
        <item m="1" x="648"/>
        <item m="1" x="614"/>
        <item m="1" x="556"/>
        <item m="1" x="360"/>
        <item m="1" x="499"/>
        <item m="1" x="554"/>
        <item m="1" x="371"/>
        <item m="1" x="639"/>
        <item m="1" x="645"/>
        <item m="1" x="407"/>
        <item m="1" x="359"/>
        <item m="1" x="376"/>
        <item m="1" x="365"/>
        <item m="1" x="372"/>
        <item m="1" x="507"/>
        <item m="1" x="380"/>
        <item m="1" x="473"/>
        <item m="1" x="379"/>
        <item m="1" x="580"/>
        <item m="1" x="650"/>
        <item m="1" x="404"/>
        <item m="1" x="408"/>
        <item m="1" x="526"/>
        <item m="1" x="485"/>
        <item m="1" x="351"/>
        <item m="1" x="3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x="5"/>
      </items>
    </pivotField>
    <pivotField axis="axisCol" showAll="0" defaultSubtotal="0">
      <items count="4">
        <item sd="0" x="0"/>
        <item sd="0" x="1"/>
        <item sd="0" x="2"/>
        <item x="3"/>
      </items>
    </pivotField>
  </pivotFields>
  <rowFields count="1">
    <field x="9"/>
  </rowFields>
  <rowItems count="5">
    <i>
      <x/>
    </i>
    <i>
      <x v="1"/>
    </i>
    <i>
      <x v="2"/>
    </i>
    <i>
      <x v="3"/>
    </i>
    <i t="grand">
      <x/>
    </i>
  </rowItems>
  <colFields count="4">
    <field x="43"/>
    <field x="42"/>
    <field x="41"/>
    <field x="16"/>
  </colFields>
  <colItems count="3">
    <i>
      <x v="1"/>
    </i>
    <i>
      <x v="2"/>
    </i>
    <i t="grand">
      <x/>
    </i>
  </colItems>
  <dataFields count="1">
    <dataField name="Count of Msg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21F567-3B1C-4D26-87E0-9A5A66E369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O8" firstHeaderRow="1" firstDataRow="3" firstDataCol="1"/>
  <pivotFields count="44">
    <pivotField showAll="0"/>
    <pivotField showAll="0"/>
    <pivotField showAll="0"/>
    <pivotField showAll="0"/>
    <pivotField showAll="0"/>
    <pivotField showAll="0"/>
    <pivotField showAll="0"/>
    <pivotField showAll="0"/>
    <pivotField showAll="0"/>
    <pivotField showAll="0"/>
    <pivotField axis="axisCol" showAll="0">
      <items count="7">
        <item x="4"/>
        <item x="0"/>
        <item x="2"/>
        <item x="1"/>
        <item x="5"/>
        <item x="3"/>
        <item t="default"/>
      </items>
    </pivotField>
    <pivotField showAll="0"/>
    <pivotField showAll="0"/>
    <pivotField numFmtId="164" showAll="0"/>
    <pivotField showAll="0"/>
    <pivotField showAll="0"/>
    <pivotField axis="axisRow" numFmtId="164" showAll="0">
      <items count="697">
        <item m="1" x="486"/>
        <item m="1" x="488"/>
        <item m="1" x="660"/>
        <item m="1" x="464"/>
        <item m="1" x="662"/>
        <item m="1" x="619"/>
        <item m="1" x="384"/>
        <item m="1" x="510"/>
        <item m="1" x="467"/>
        <item m="1" x="682"/>
        <item m="1" x="651"/>
        <item m="1" x="382"/>
        <item m="1" x="453"/>
        <item m="1" x="455"/>
        <item m="1" x="418"/>
        <item m="1" x="411"/>
        <item m="1" x="475"/>
        <item m="1" x="410"/>
        <item m="1" x="679"/>
        <item m="1" x="620"/>
        <item m="1" x="477"/>
        <item m="1" x="386"/>
        <item m="1" x="417"/>
        <item m="1" x="469"/>
        <item m="1" x="681"/>
        <item m="1" x="511"/>
        <item m="1" x="474"/>
        <item m="1" x="423"/>
        <item m="1" x="621"/>
        <item m="1" x="491"/>
        <item m="1" x="385"/>
        <item m="1" x="509"/>
        <item m="1" x="683"/>
        <item m="1" x="383"/>
        <item m="1" x="413"/>
        <item m="1" x="618"/>
        <item m="1" x="476"/>
        <item m="1" x="669"/>
        <item m="1" x="521"/>
        <item m="1" x="501"/>
        <item m="1" x="680"/>
        <item m="1" x="617"/>
        <item m="1" x="451"/>
        <item m="1" x="545"/>
        <item m="1" x="684"/>
        <item m="1" x="493"/>
        <item m="1" x="522"/>
        <item m="1" x="353"/>
        <item m="1" x="466"/>
        <item m="1" x="426"/>
        <item m="1" x="478"/>
        <item m="1" x="430"/>
        <item m="1" x="492"/>
        <item m="1" x="503"/>
        <item m="1" x="624"/>
        <item m="1" x="502"/>
        <item m="1" x="514"/>
        <item m="1" x="508"/>
        <item m="1" x="471"/>
        <item m="1" x="409"/>
        <item m="1" x="416"/>
        <item m="1" x="658"/>
        <item m="1" x="666"/>
        <item m="1" x="381"/>
        <item m="1" x="457"/>
        <item m="1" x="688"/>
        <item m="1" x="424"/>
        <item m="1" x="458"/>
        <item m="1" x="415"/>
        <item m="1" x="387"/>
        <item m="1" x="425"/>
        <item m="1" x="481"/>
        <item m="1" x="354"/>
        <item m="1" x="468"/>
        <item m="1" x="472"/>
        <item m="1" x="664"/>
        <item m="1" x="674"/>
        <item m="1" x="434"/>
        <item m="1" x="652"/>
        <item m="1" x="685"/>
        <item m="1" x="479"/>
        <item m="1" x="427"/>
        <item m="1" x="667"/>
        <item m="1" x="487"/>
        <item m="1" x="627"/>
        <item m="1" x="421"/>
        <item m="1" x="482"/>
        <item m="1" x="490"/>
        <item m="1" x="388"/>
        <item m="1" x="671"/>
        <item m="1" x="663"/>
        <item m="1" x="656"/>
        <item m="1" x="438"/>
        <item m="1" x="675"/>
        <item m="1" x="459"/>
        <item m="1" x="483"/>
        <item m="1" x="450"/>
        <item m="1" x="500"/>
        <item m="1" x="470"/>
        <item m="1" x="687"/>
        <item m="1" x="465"/>
        <item m="1" x="494"/>
        <item m="1" x="414"/>
        <item m="1" x="665"/>
        <item m="1" x="623"/>
        <item m="1" x="516"/>
        <item m="1" x="653"/>
        <item m="1" x="496"/>
        <item m="1" x="626"/>
        <item m="1" x="544"/>
        <item m="1" x="672"/>
        <item m="1" x="670"/>
        <item m="1" x="628"/>
        <item m="1" x="480"/>
        <item m="1" x="437"/>
        <item m="1" x="439"/>
        <item m="1" x="489"/>
        <item m="1" x="452"/>
        <item m="1" x="504"/>
        <item m="1" x="390"/>
        <item m="1" x="456"/>
        <item m="1" x="497"/>
        <item m="1" x="355"/>
        <item m="1" x="631"/>
        <item m="1" x="512"/>
        <item m="1" x="515"/>
        <item m="1" x="422"/>
        <item m="1" x="678"/>
        <item m="1" x="630"/>
        <item m="1" x="440"/>
        <item m="1" x="441"/>
        <item m="1" x="686"/>
        <item m="1" x="357"/>
        <item m="1" x="523"/>
        <item m="1" x="677"/>
        <item m="1" x="633"/>
        <item m="1" x="436"/>
        <item m="1" x="461"/>
        <item m="1" x="431"/>
        <item m="1" x="435"/>
        <item m="1" x="657"/>
        <item m="1" x="442"/>
        <item m="1" x="361"/>
        <item m="1" x="358"/>
        <item m="1" x="356"/>
        <item m="1" x="443"/>
        <item m="1" x="518"/>
        <item m="1" x="629"/>
        <item m="1" x="495"/>
        <item m="1" x="654"/>
        <item m="1" x="393"/>
        <item m="1" x="659"/>
        <item m="1" x="661"/>
        <item m="1" x="519"/>
        <item m="1" x="676"/>
        <item m="1" x="366"/>
        <item m="1" x="517"/>
        <item m="1" x="689"/>
        <item m="1" x="454"/>
        <item m="1" x="392"/>
        <item m="1" x="505"/>
        <item m="1" x="513"/>
        <item m="1" x="693"/>
        <item m="1" x="429"/>
        <item m="1" x="444"/>
        <item m="1" x="460"/>
        <item m="1" x="529"/>
        <item m="1" x="668"/>
        <item m="1" x="391"/>
        <item m="1" x="579"/>
        <item m="1" x="574"/>
        <item m="1" x="622"/>
        <item m="1" x="590"/>
        <item m="1" x="604"/>
        <item m="1" x="625"/>
        <item m="1" x="557"/>
        <item m="1" x="634"/>
        <item m="1" x="593"/>
        <item m="1" x="638"/>
        <item m="1" x="528"/>
        <item m="1" x="532"/>
        <item m="1" x="564"/>
        <item m="1" x="547"/>
        <item m="1" x="462"/>
        <item m="1" x="581"/>
        <item m="1" x="389"/>
        <item m="1" x="586"/>
        <item m="1" x="567"/>
        <item m="1" x="561"/>
        <item m="1" x="598"/>
        <item m="1" x="565"/>
        <item m="1" x="655"/>
        <item m="1" x="608"/>
        <item m="1" x="605"/>
        <item m="1" x="594"/>
        <item m="1" x="498"/>
        <item m="1" x="536"/>
        <item m="1" x="531"/>
        <item m="1" x="673"/>
        <item m="1" x="546"/>
        <item m="1" x="599"/>
        <item m="1" x="560"/>
        <item m="1" x="534"/>
        <item m="1" x="610"/>
        <item m="1" x="576"/>
        <item m="1" x="533"/>
        <item m="1" x="692"/>
        <item m="1" x="559"/>
        <item m="1" x="568"/>
        <item m="1" x="641"/>
        <item m="1" x="535"/>
        <item m="1" x="373"/>
        <item m="1" x="394"/>
        <item m="1" x="538"/>
        <item m="1" x="396"/>
        <item m="1" x="537"/>
        <item m="1" x="395"/>
        <item m="1" x="419"/>
        <item m="1" x="524"/>
        <item m="1" x="691"/>
        <item m="1" x="690"/>
        <item m="1" x="694"/>
        <item m="1" x="412"/>
        <item m="1" x="420"/>
        <item m="1" x="446"/>
        <item m="1" x="432"/>
        <item m="1" x="428"/>
        <item m="1" x="530"/>
        <item m="1" x="433"/>
        <item m="1" x="613"/>
        <item m="1" x="570"/>
        <item m="1" x="583"/>
        <item m="1" x="362"/>
        <item m="1" x="695"/>
        <item m="1" x="448"/>
        <item m="1" x="447"/>
        <item m="1" x="445"/>
        <item m="1" x="571"/>
        <item m="1" x="595"/>
        <item m="1" x="572"/>
        <item m="1" x="367"/>
        <item m="1" x="449"/>
        <item m="1" x="587"/>
        <item m="1" x="640"/>
        <item m="1" x="484"/>
        <item m="1" x="463"/>
        <item m="1" x="539"/>
        <item m="1" x="615"/>
        <item m="1" x="399"/>
        <item m="1" x="602"/>
        <item m="1" x="548"/>
        <item m="1" x="398"/>
        <item m="1" x="592"/>
        <item m="1" x="551"/>
        <item m="1" x="588"/>
        <item m="1" x="541"/>
        <item m="1" x="582"/>
        <item m="1" x="632"/>
        <item m="1" x="542"/>
        <item m="1" x="600"/>
        <item m="1" x="635"/>
        <item m="1" x="577"/>
        <item m="1" x="607"/>
        <item m="1" x="636"/>
        <item m="1" x="527"/>
        <item m="1" x="401"/>
        <item m="1" x="402"/>
        <item m="1" x="596"/>
        <item m="1" x="569"/>
        <item m="1" x="397"/>
        <item m="1" x="637"/>
        <item m="1" x="378"/>
        <item m="1" x="644"/>
        <item m="1" x="403"/>
        <item m="1" x="566"/>
        <item m="1" x="643"/>
        <item m="1" x="573"/>
        <item m="1" x="601"/>
        <item m="1" x="374"/>
        <item m="1" x="558"/>
        <item m="1" x="563"/>
        <item m="1" x="370"/>
        <item m="1" x="642"/>
        <item m="1" x="575"/>
        <item m="1" x="647"/>
        <item m="1" x="611"/>
        <item m="1" x="597"/>
        <item m="1" x="562"/>
        <item m="1" x="612"/>
        <item m="1" x="369"/>
        <item m="1" x="616"/>
        <item m="1" x="405"/>
        <item m="1" x="550"/>
        <item m="1" x="589"/>
        <item m="1" x="375"/>
        <item m="1" x="364"/>
        <item m="1" x="552"/>
        <item m="1" x="543"/>
        <item m="1" x="540"/>
        <item m="1" x="549"/>
        <item m="1" x="506"/>
        <item m="1" x="609"/>
        <item m="1" x="555"/>
        <item m="1" x="406"/>
        <item m="1" x="525"/>
        <item m="1" x="649"/>
        <item m="1" x="606"/>
        <item m="1" x="368"/>
        <item m="1" x="520"/>
        <item m="1" x="591"/>
        <item m="1" x="363"/>
        <item m="1" x="377"/>
        <item m="1" x="646"/>
        <item m="1" x="603"/>
        <item m="1" x="585"/>
        <item m="1" x="553"/>
        <item m="1" x="578"/>
        <item m="1" x="400"/>
        <item m="1" x="584"/>
        <item m="1" x="648"/>
        <item m="1" x="614"/>
        <item m="1" x="556"/>
        <item m="1" x="360"/>
        <item m="1" x="499"/>
        <item m="1" x="554"/>
        <item m="1" x="371"/>
        <item m="1" x="639"/>
        <item m="1" x="645"/>
        <item m="1" x="407"/>
        <item m="1" x="359"/>
        <item m="1" x="376"/>
        <item m="1" x="365"/>
        <item m="1" x="372"/>
        <item m="1" x="507"/>
        <item m="1" x="380"/>
        <item m="1" x="473"/>
        <item m="1" x="379"/>
        <item m="1" x="580"/>
        <item m="1" x="650"/>
        <item m="1" x="404"/>
        <item m="1" x="408"/>
        <item m="1" x="526"/>
        <item m="1" x="485"/>
        <item m="1" x="351"/>
        <item m="1" x="3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x="5"/>
        <item t="default" sd="0"/>
      </items>
    </pivotField>
    <pivotField axis="axisRow" showAll="0">
      <items count="5">
        <item sd="0" x="0"/>
        <item sd="0" x="1"/>
        <item sd="0" x="2"/>
        <item x="3"/>
        <item t="default" sd="0"/>
      </items>
    </pivotField>
  </pivotFields>
  <rowFields count="4">
    <field x="43"/>
    <field x="42"/>
    <field x="41"/>
    <field x="16"/>
  </rowFields>
  <rowItems count="3">
    <i>
      <x v="1"/>
    </i>
    <i>
      <x v="2"/>
    </i>
    <i t="grand">
      <x/>
    </i>
  </rowItems>
  <colFields count="2">
    <field x="-2"/>
    <field x="10"/>
  </colFields>
  <colItems count="14">
    <i>
      <x/>
      <x/>
    </i>
    <i r="1">
      <x v="1"/>
    </i>
    <i r="1">
      <x v="2"/>
    </i>
    <i r="1">
      <x v="3"/>
    </i>
    <i r="1">
      <x v="4"/>
    </i>
    <i r="1">
      <x v="5"/>
    </i>
    <i i="1">
      <x v="1"/>
      <x/>
    </i>
    <i r="1" i="1">
      <x v="1"/>
    </i>
    <i r="1" i="1">
      <x v="2"/>
    </i>
    <i r="1" i="1">
      <x v="3"/>
    </i>
    <i r="1" i="1">
      <x v="4"/>
    </i>
    <i r="1" i="1">
      <x v="5"/>
    </i>
    <i t="grand">
      <x/>
    </i>
    <i t="grand" i="1">
      <x/>
    </i>
  </colItems>
  <dataFields count="2">
    <dataField name="Average of Total Task TAT" fld="26" subtotal="average" baseField="0" baseItem="0"/>
    <dataField name="Average of MinusHold Total Task TAT" fld="37" subtotal="average" baseField="0" baseItem="0"/>
  </dataFields>
  <formats count="3">
    <format dxfId="99">
      <pivotArea outline="0" collapsedLevelsAreSubtotals="1" fieldPosition="0"/>
    </format>
    <format dxfId="98">
      <pivotArea field="10" dataOnly="0" labelOnly="1" grandCol="1" outline="0" axis="axisCol" fieldPosition="1">
        <references count="1">
          <reference field="4294967294" count="1" selected="0">
            <x v="0"/>
          </reference>
        </references>
      </pivotArea>
    </format>
    <format dxfId="97">
      <pivotArea field="10" dataOnly="0" labelOnly="1" grandCol="1" outline="0" axis="axisCol" fieldPosition="1">
        <references count="1">
          <reference field="4294967294" count="1" selected="0">
            <x v="1"/>
          </reference>
        </references>
      </pivotArea>
    </format>
  </formats>
  <chartFormats count="12">
    <chartFormat chart="0" format="0" series="1">
      <pivotArea type="data" outline="0" fieldPosition="0">
        <references count="2">
          <reference field="4294967294" count="1" selected="0">
            <x v="0"/>
          </reference>
          <reference field="10" count="1" selected="0">
            <x v="1"/>
          </reference>
        </references>
      </pivotArea>
    </chartFormat>
    <chartFormat chart="0" format="1" series="1">
      <pivotArea type="data" outline="0" fieldPosition="0">
        <references count="2">
          <reference field="4294967294" count="1" selected="0">
            <x v="0"/>
          </reference>
          <reference field="10" count="1" selected="0">
            <x v="4"/>
          </reference>
        </references>
      </pivotArea>
    </chartFormat>
    <chartFormat chart="0" format="2" series="1">
      <pivotArea type="data" outline="0" fieldPosition="0">
        <references count="2">
          <reference field="4294967294" count="1" selected="0">
            <x v="1"/>
          </reference>
          <reference field="10" count="1" selected="0">
            <x v="1"/>
          </reference>
        </references>
      </pivotArea>
    </chartFormat>
    <chartFormat chart="0" format="3" series="1">
      <pivotArea type="data" outline="0" fieldPosition="0">
        <references count="2">
          <reference field="4294967294" count="1" selected="0">
            <x v="1"/>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1"/>
          </reference>
          <reference field="10" count="1" selected="0">
            <x v="0"/>
          </reference>
        </references>
      </pivotArea>
    </chartFormat>
    <chartFormat chart="0" format="6" series="1">
      <pivotArea type="data" outline="0" fieldPosition="0">
        <references count="2">
          <reference field="4294967294" count="1" selected="0">
            <x v="1"/>
          </reference>
          <reference field="10" count="1" selected="0">
            <x v="2"/>
          </reference>
        </references>
      </pivotArea>
    </chartFormat>
    <chartFormat chart="0" format="7" series="1">
      <pivotArea type="data" outline="0" fieldPosition="0">
        <references count="2">
          <reference field="4294967294" count="1" selected="0">
            <x v="1"/>
          </reference>
          <reference field="10" count="1" selected="0">
            <x v="3"/>
          </reference>
        </references>
      </pivotArea>
    </chartFormat>
    <chartFormat chart="0" format="8" series="1">
      <pivotArea type="data" outline="0" fieldPosition="0">
        <references count="2">
          <reference field="4294967294" count="1" selected="0">
            <x v="1"/>
          </reference>
          <reference field="10" count="1" selected="0">
            <x v="5"/>
          </reference>
        </references>
      </pivotArea>
    </chartFormat>
    <chartFormat chart="0" format="9" series="1">
      <pivotArea type="data" outline="0" fieldPosition="0">
        <references count="2">
          <reference field="4294967294" count="1" selected="0">
            <x v="0"/>
          </reference>
          <reference field="10" count="1" selected="0">
            <x v="0"/>
          </reference>
        </references>
      </pivotArea>
    </chartFormat>
    <chartFormat chart="0" format="10" series="1">
      <pivotArea type="data" outline="0" fieldPosition="0">
        <references count="2">
          <reference field="4294967294" count="1" selected="0">
            <x v="0"/>
          </reference>
          <reference field="10" count="1" selected="0">
            <x v="2"/>
          </reference>
        </references>
      </pivotArea>
    </chartFormat>
    <chartFormat chart="0" format="11"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E68B23-1C08-437A-8A11-9E6449CE737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9:I46" firstHeaderRow="1" firstDataRow="5" firstDataCol="1"/>
  <pivotFields count="44">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9"/>
        <item x="0"/>
        <item x="11"/>
        <item x="8"/>
        <item x="10"/>
        <item x="3"/>
        <item x="2"/>
        <item x="6"/>
        <item x="1"/>
        <item x="7"/>
        <item x="5"/>
        <item x="4"/>
        <item t="default"/>
      </items>
    </pivotField>
    <pivotField showAll="0"/>
    <pivotField numFmtId="164" showAll="0"/>
    <pivotField showAll="0"/>
    <pivotField showAll="0"/>
    <pivotField axis="axisCol" numFmtId="164" showAll="0">
      <items count="697">
        <item m="1" x="486"/>
        <item m="1" x="488"/>
        <item m="1" x="660"/>
        <item m="1" x="464"/>
        <item m="1" x="662"/>
        <item m="1" x="619"/>
        <item m="1" x="384"/>
        <item m="1" x="510"/>
        <item m="1" x="467"/>
        <item m="1" x="682"/>
        <item m="1" x="651"/>
        <item m="1" x="382"/>
        <item m="1" x="453"/>
        <item m="1" x="455"/>
        <item m="1" x="418"/>
        <item m="1" x="411"/>
        <item m="1" x="475"/>
        <item m="1" x="410"/>
        <item m="1" x="679"/>
        <item m="1" x="620"/>
        <item m="1" x="477"/>
        <item m="1" x="386"/>
        <item m="1" x="417"/>
        <item m="1" x="469"/>
        <item m="1" x="681"/>
        <item m="1" x="511"/>
        <item m="1" x="474"/>
        <item m="1" x="423"/>
        <item m="1" x="621"/>
        <item m="1" x="491"/>
        <item m="1" x="385"/>
        <item m="1" x="509"/>
        <item m="1" x="683"/>
        <item m="1" x="383"/>
        <item m="1" x="413"/>
        <item m="1" x="618"/>
        <item m="1" x="476"/>
        <item m="1" x="669"/>
        <item m="1" x="521"/>
        <item m="1" x="501"/>
        <item m="1" x="680"/>
        <item m="1" x="617"/>
        <item m="1" x="451"/>
        <item m="1" x="545"/>
        <item m="1" x="684"/>
        <item m="1" x="493"/>
        <item m="1" x="522"/>
        <item m="1" x="353"/>
        <item m="1" x="466"/>
        <item m="1" x="426"/>
        <item m="1" x="478"/>
        <item m="1" x="430"/>
        <item m="1" x="492"/>
        <item m="1" x="503"/>
        <item m="1" x="624"/>
        <item m="1" x="502"/>
        <item m="1" x="514"/>
        <item m="1" x="508"/>
        <item m="1" x="471"/>
        <item m="1" x="409"/>
        <item m="1" x="416"/>
        <item m="1" x="658"/>
        <item m="1" x="666"/>
        <item m="1" x="381"/>
        <item m="1" x="457"/>
        <item m="1" x="688"/>
        <item m="1" x="424"/>
        <item m="1" x="458"/>
        <item m="1" x="415"/>
        <item m="1" x="387"/>
        <item m="1" x="425"/>
        <item m="1" x="481"/>
        <item m="1" x="354"/>
        <item m="1" x="468"/>
        <item m="1" x="472"/>
        <item m="1" x="664"/>
        <item m="1" x="674"/>
        <item m="1" x="434"/>
        <item m="1" x="652"/>
        <item m="1" x="685"/>
        <item m="1" x="479"/>
        <item m="1" x="427"/>
        <item m="1" x="667"/>
        <item m="1" x="487"/>
        <item m="1" x="627"/>
        <item m="1" x="421"/>
        <item m="1" x="482"/>
        <item m="1" x="490"/>
        <item m="1" x="388"/>
        <item m="1" x="671"/>
        <item m="1" x="663"/>
        <item m="1" x="656"/>
        <item m="1" x="438"/>
        <item m="1" x="675"/>
        <item m="1" x="459"/>
        <item m="1" x="483"/>
        <item m="1" x="450"/>
        <item m="1" x="500"/>
        <item m="1" x="470"/>
        <item m="1" x="687"/>
        <item m="1" x="465"/>
        <item m="1" x="494"/>
        <item m="1" x="414"/>
        <item m="1" x="665"/>
        <item m="1" x="623"/>
        <item m="1" x="516"/>
        <item m="1" x="653"/>
        <item m="1" x="496"/>
        <item m="1" x="626"/>
        <item m="1" x="544"/>
        <item m="1" x="672"/>
        <item m="1" x="670"/>
        <item m="1" x="628"/>
        <item m="1" x="480"/>
        <item m="1" x="437"/>
        <item m="1" x="439"/>
        <item m="1" x="489"/>
        <item m="1" x="452"/>
        <item m="1" x="504"/>
        <item m="1" x="390"/>
        <item m="1" x="456"/>
        <item m="1" x="497"/>
        <item m="1" x="355"/>
        <item m="1" x="631"/>
        <item m="1" x="512"/>
        <item m="1" x="515"/>
        <item m="1" x="422"/>
        <item m="1" x="678"/>
        <item m="1" x="630"/>
        <item m="1" x="440"/>
        <item m="1" x="441"/>
        <item m="1" x="686"/>
        <item m="1" x="357"/>
        <item m="1" x="523"/>
        <item m="1" x="677"/>
        <item m="1" x="633"/>
        <item m="1" x="436"/>
        <item m="1" x="461"/>
        <item m="1" x="431"/>
        <item m="1" x="435"/>
        <item m="1" x="657"/>
        <item m="1" x="442"/>
        <item m="1" x="361"/>
        <item m="1" x="358"/>
        <item m="1" x="356"/>
        <item m="1" x="443"/>
        <item m="1" x="518"/>
        <item m="1" x="629"/>
        <item m="1" x="495"/>
        <item m="1" x="654"/>
        <item m="1" x="393"/>
        <item m="1" x="659"/>
        <item m="1" x="661"/>
        <item m="1" x="519"/>
        <item m="1" x="676"/>
        <item m="1" x="366"/>
        <item m="1" x="517"/>
        <item m="1" x="689"/>
        <item m="1" x="454"/>
        <item m="1" x="392"/>
        <item m="1" x="505"/>
        <item m="1" x="513"/>
        <item m="1" x="693"/>
        <item m="1" x="429"/>
        <item m="1" x="444"/>
        <item m="1" x="460"/>
        <item m="1" x="529"/>
        <item m="1" x="668"/>
        <item m="1" x="391"/>
        <item m="1" x="579"/>
        <item m="1" x="574"/>
        <item m="1" x="622"/>
        <item m="1" x="590"/>
        <item m="1" x="604"/>
        <item m="1" x="625"/>
        <item m="1" x="557"/>
        <item m="1" x="634"/>
        <item m="1" x="593"/>
        <item m="1" x="638"/>
        <item m="1" x="528"/>
        <item m="1" x="532"/>
        <item m="1" x="564"/>
        <item m="1" x="547"/>
        <item m="1" x="462"/>
        <item m="1" x="581"/>
        <item m="1" x="389"/>
        <item m="1" x="586"/>
        <item m="1" x="567"/>
        <item m="1" x="561"/>
        <item m="1" x="598"/>
        <item m="1" x="565"/>
        <item m="1" x="655"/>
        <item m="1" x="608"/>
        <item m="1" x="605"/>
        <item m="1" x="594"/>
        <item m="1" x="498"/>
        <item m="1" x="536"/>
        <item m="1" x="531"/>
        <item m="1" x="673"/>
        <item m="1" x="546"/>
        <item m="1" x="599"/>
        <item m="1" x="560"/>
        <item m="1" x="534"/>
        <item m="1" x="610"/>
        <item m="1" x="576"/>
        <item m="1" x="533"/>
        <item m="1" x="692"/>
        <item m="1" x="559"/>
        <item m="1" x="568"/>
        <item m="1" x="641"/>
        <item m="1" x="535"/>
        <item m="1" x="373"/>
        <item m="1" x="394"/>
        <item m="1" x="538"/>
        <item m="1" x="396"/>
        <item m="1" x="537"/>
        <item m="1" x="395"/>
        <item m="1" x="419"/>
        <item m="1" x="524"/>
        <item m="1" x="691"/>
        <item m="1" x="690"/>
        <item m="1" x="694"/>
        <item m="1" x="412"/>
        <item m="1" x="420"/>
        <item m="1" x="446"/>
        <item m="1" x="432"/>
        <item m="1" x="428"/>
        <item m="1" x="530"/>
        <item m="1" x="433"/>
        <item m="1" x="613"/>
        <item m="1" x="570"/>
        <item m="1" x="583"/>
        <item m="1" x="362"/>
        <item m="1" x="695"/>
        <item m="1" x="448"/>
        <item m="1" x="447"/>
        <item m="1" x="445"/>
        <item m="1" x="571"/>
        <item m="1" x="595"/>
        <item m="1" x="572"/>
        <item m="1" x="367"/>
        <item m="1" x="449"/>
        <item m="1" x="587"/>
        <item m="1" x="640"/>
        <item m="1" x="484"/>
        <item m="1" x="463"/>
        <item m="1" x="539"/>
        <item m="1" x="615"/>
        <item m="1" x="399"/>
        <item m="1" x="602"/>
        <item m="1" x="548"/>
        <item m="1" x="398"/>
        <item m="1" x="592"/>
        <item m="1" x="551"/>
        <item m="1" x="588"/>
        <item m="1" x="541"/>
        <item m="1" x="582"/>
        <item m="1" x="632"/>
        <item m="1" x="542"/>
        <item m="1" x="600"/>
        <item m="1" x="635"/>
        <item m="1" x="577"/>
        <item m="1" x="607"/>
        <item m="1" x="636"/>
        <item m="1" x="527"/>
        <item m="1" x="401"/>
        <item m="1" x="402"/>
        <item m="1" x="596"/>
        <item m="1" x="569"/>
        <item m="1" x="397"/>
        <item m="1" x="637"/>
        <item m="1" x="378"/>
        <item m="1" x="644"/>
        <item m="1" x="403"/>
        <item m="1" x="566"/>
        <item m="1" x="643"/>
        <item m="1" x="573"/>
        <item m="1" x="601"/>
        <item m="1" x="374"/>
        <item m="1" x="558"/>
        <item m="1" x="563"/>
        <item m="1" x="370"/>
        <item m="1" x="642"/>
        <item m="1" x="575"/>
        <item m="1" x="647"/>
        <item m="1" x="611"/>
        <item m="1" x="597"/>
        <item m="1" x="562"/>
        <item m="1" x="612"/>
        <item m="1" x="369"/>
        <item m="1" x="616"/>
        <item m="1" x="405"/>
        <item m="1" x="550"/>
        <item m="1" x="589"/>
        <item m="1" x="375"/>
        <item m="1" x="364"/>
        <item m="1" x="552"/>
        <item m="1" x="543"/>
        <item m="1" x="540"/>
        <item m="1" x="549"/>
        <item m="1" x="506"/>
        <item m="1" x="609"/>
        <item m="1" x="555"/>
        <item m="1" x="406"/>
        <item m="1" x="525"/>
        <item m="1" x="649"/>
        <item m="1" x="606"/>
        <item m="1" x="368"/>
        <item m="1" x="520"/>
        <item m="1" x="591"/>
        <item m="1" x="363"/>
        <item m="1" x="377"/>
        <item m="1" x="646"/>
        <item m="1" x="603"/>
        <item m="1" x="585"/>
        <item m="1" x="553"/>
        <item m="1" x="578"/>
        <item m="1" x="400"/>
        <item m="1" x="584"/>
        <item m="1" x="648"/>
        <item m="1" x="614"/>
        <item m="1" x="556"/>
        <item m="1" x="360"/>
        <item m="1" x="499"/>
        <item m="1" x="554"/>
        <item m="1" x="371"/>
        <item m="1" x="639"/>
        <item m="1" x="645"/>
        <item m="1" x="407"/>
        <item m="1" x="359"/>
        <item m="1" x="376"/>
        <item m="1" x="365"/>
        <item m="1" x="372"/>
        <item m="1" x="507"/>
        <item m="1" x="380"/>
        <item m="1" x="473"/>
        <item m="1" x="379"/>
        <item m="1" x="580"/>
        <item m="1" x="650"/>
        <item m="1" x="404"/>
        <item m="1" x="408"/>
        <item m="1" x="526"/>
        <item m="1" x="485"/>
        <item m="1" x="351"/>
        <item m="1" x="3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x="5"/>
      </items>
    </pivotField>
    <pivotField axis="axisCol" showAll="0" defaultSubtotal="0">
      <items count="4">
        <item sd="0" x="0"/>
        <item sd="0" x="1"/>
        <item sd="0" x="2"/>
        <item x="3"/>
      </items>
    </pivotField>
  </pivotFields>
  <rowFields count="1">
    <field x="11"/>
  </rowFields>
  <rowItems count="13">
    <i>
      <x/>
    </i>
    <i>
      <x v="1"/>
    </i>
    <i>
      <x v="2"/>
    </i>
    <i>
      <x v="3"/>
    </i>
    <i>
      <x v="4"/>
    </i>
    <i>
      <x v="5"/>
    </i>
    <i>
      <x v="6"/>
    </i>
    <i>
      <x v="7"/>
    </i>
    <i>
      <x v="8"/>
    </i>
    <i>
      <x v="9"/>
    </i>
    <i>
      <x v="10"/>
    </i>
    <i>
      <x v="11"/>
    </i>
    <i t="grand">
      <x/>
    </i>
  </rowItems>
  <colFields count="4">
    <field x="43"/>
    <field x="42"/>
    <field x="41"/>
    <field x="16"/>
  </colFields>
  <colItems count="3">
    <i>
      <x v="1"/>
    </i>
    <i>
      <x v="2"/>
    </i>
    <i t="grand">
      <x/>
    </i>
  </colItems>
  <dataFields count="1">
    <dataField name="Count of Msg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BC4EC4-B8A7-42DA-AA1B-4C04721FFFB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12" firstHeaderRow="1" firstDataRow="3" firstDataCol="1"/>
  <pivotFields count="21">
    <pivotField showAll="0"/>
    <pivotField showAll="0"/>
    <pivotField axis="axisRow" showAll="0">
      <items count="7">
        <item x="2"/>
        <item x="1"/>
        <item x="0"/>
        <item x="3"/>
        <item x="5"/>
        <item x="4"/>
        <item t="default"/>
      </items>
    </pivotField>
    <pivotField showAll="0"/>
    <pivotField axis="axisCol" dataField="1" numFmtId="164" showAll="0">
      <items count="498">
        <item x="17"/>
        <item x="459"/>
        <item x="115"/>
        <item x="116"/>
        <item x="117"/>
        <item x="118"/>
        <item x="147"/>
        <item x="456"/>
        <item x="0"/>
        <item x="1"/>
        <item x="460"/>
        <item x="458"/>
        <item x="455"/>
        <item x="457"/>
        <item x="120"/>
        <item x="121"/>
        <item x="244"/>
        <item x="198"/>
        <item x="165"/>
        <item x="231"/>
        <item x="245"/>
        <item x="166"/>
        <item x="167"/>
        <item x="168"/>
        <item x="169"/>
        <item x="232"/>
        <item x="233"/>
        <item x="234"/>
        <item x="235"/>
        <item x="246"/>
        <item x="247"/>
        <item x="463"/>
        <item x="464"/>
        <item x="465"/>
        <item x="466"/>
        <item x="467"/>
        <item x="468"/>
        <item m="1" x="469"/>
        <item x="211"/>
        <item x="152"/>
        <item x="122"/>
        <item m="1" x="472"/>
        <item x="462"/>
        <item x="3"/>
        <item x="170"/>
        <item x="153"/>
        <item x="136"/>
        <item x="171"/>
        <item x="10"/>
        <item x="11"/>
        <item x="12"/>
        <item x="13"/>
        <item x="2"/>
        <item x="461"/>
        <item x="258"/>
        <item x="4"/>
        <item x="256"/>
        <item x="257"/>
        <item x="151"/>
        <item x="212"/>
        <item x="8"/>
        <item x="156"/>
        <item m="1" x="473"/>
        <item x="110"/>
        <item x="248"/>
        <item x="249"/>
        <item x="250"/>
        <item x="251"/>
        <item x="150"/>
        <item m="1" x="474"/>
        <item m="1" x="470"/>
        <item x="126"/>
        <item m="1" x="471"/>
        <item x="111"/>
        <item x="252"/>
        <item x="253"/>
        <item x="213"/>
        <item x="214"/>
        <item x="172"/>
        <item x="202"/>
        <item x="203"/>
        <item x="127"/>
        <item x="128"/>
        <item x="180"/>
        <item x="197"/>
        <item x="69"/>
        <item x="154"/>
        <item x="133"/>
        <item x="159"/>
        <item m="1" x="496"/>
        <item x="222"/>
        <item x="223"/>
        <item x="224"/>
        <item x="225"/>
        <item m="1" x="477"/>
        <item m="1" x="478"/>
        <item x="280"/>
        <item m="1" x="481"/>
        <item x="236"/>
        <item x="177"/>
        <item x="64"/>
        <item x="88"/>
        <item x="125"/>
        <item x="221"/>
        <item m="1" x="475"/>
        <item x="237"/>
        <item x="65"/>
        <item m="1" x="476"/>
        <item x="191"/>
        <item x="89"/>
        <item x="75"/>
        <item x="27"/>
        <item x="28"/>
        <item x="29"/>
        <item x="30"/>
        <item x="31"/>
        <item x="162"/>
        <item x="138"/>
        <item x="190"/>
        <item x="220"/>
        <item x="114"/>
        <item x="301"/>
        <item x="302"/>
        <item x="102"/>
        <item x="229"/>
        <item x="303"/>
        <item x="294"/>
        <item x="137"/>
        <item x="157"/>
        <item x="338"/>
        <item x="90"/>
        <item x="103"/>
        <item x="104"/>
        <item x="105"/>
        <item x="106"/>
        <item x="226"/>
        <item x="204"/>
        <item x="182"/>
        <item x="163"/>
        <item x="199"/>
        <item x="288"/>
        <item x="155"/>
        <item x="183"/>
        <item x="319"/>
        <item x="200"/>
        <item x="91"/>
        <item x="217"/>
        <item x="218"/>
        <item x="112"/>
        <item x="178"/>
        <item x="26"/>
        <item x="92"/>
        <item x="175"/>
        <item x="66"/>
        <item x="67"/>
        <item x="68"/>
        <item x="9"/>
        <item x="295"/>
        <item x="320"/>
        <item x="160"/>
        <item x="186"/>
        <item x="187"/>
        <item x="188"/>
        <item x="76"/>
        <item x="77"/>
        <item x="78"/>
        <item x="79"/>
        <item x="80"/>
        <item x="81"/>
        <item x="82"/>
        <item x="83"/>
        <item x="70"/>
        <item x="71"/>
        <item x="72"/>
        <item x="113"/>
        <item x="176"/>
        <item x="353"/>
        <item x="285"/>
        <item x="95"/>
        <item x="5"/>
        <item x="6"/>
        <item x="7"/>
        <item x="161"/>
        <item x="143"/>
        <item x="96"/>
        <item x="296"/>
        <item x="297"/>
        <item m="1" x="484"/>
        <item x="149"/>
        <item x="273"/>
        <item x="227"/>
        <item m="1" x="482"/>
        <item m="1" x="483"/>
        <item m="1" x="485"/>
        <item x="304"/>
        <item x="44"/>
        <item x="45"/>
        <item x="348"/>
        <item x="349"/>
        <item x="350"/>
        <item x="134"/>
        <item x="173"/>
        <item x="144"/>
        <item x="305"/>
        <item x="230"/>
        <item x="243"/>
        <item x="281"/>
        <item x="164"/>
        <item x="346"/>
        <item x="145"/>
        <item x="210"/>
        <item x="40"/>
        <item x="298"/>
        <item x="129"/>
        <item x="351"/>
        <item x="205"/>
        <item x="174"/>
        <item x="289"/>
        <item x="20"/>
        <item x="21"/>
        <item x="22"/>
        <item x="23"/>
        <item x="219"/>
        <item x="385"/>
        <item x="254"/>
        <item x="24"/>
        <item x="123"/>
        <item x="124"/>
        <item x="274"/>
        <item x="275"/>
        <item x="276"/>
        <item x="277"/>
        <item x="278"/>
        <item x="146"/>
        <item x="290"/>
        <item x="335"/>
        <item x="336"/>
        <item x="337"/>
        <item x="356"/>
        <item x="357"/>
        <item x="358"/>
        <item x="359"/>
        <item x="384"/>
        <item x="386"/>
        <item x="347"/>
        <item m="1" x="493"/>
        <item x="279"/>
        <item x="392"/>
        <item x="393"/>
        <item x="394"/>
        <item x="395"/>
        <item x="396"/>
        <item x="408"/>
        <item x="409"/>
        <item x="282"/>
        <item x="333"/>
        <item x="18"/>
        <item x="341"/>
        <item x="306"/>
        <item x="339"/>
        <item x="94"/>
        <item m="1" x="491"/>
        <item m="1" x="492"/>
        <item x="315"/>
        <item x="201"/>
        <item x="41"/>
        <item x="382"/>
        <item x="142"/>
        <item x="99"/>
        <item x="130"/>
        <item x="238"/>
        <item x="239"/>
        <item x="240"/>
        <item x="407"/>
        <item x="307"/>
        <item x="308"/>
        <item x="309"/>
        <item x="310"/>
        <item x="321"/>
        <item x="322"/>
        <item x="323"/>
        <item x="324"/>
        <item x="325"/>
        <item x="326"/>
        <item x="327"/>
        <item x="328"/>
        <item x="329"/>
        <item x="330"/>
        <item x="331"/>
        <item x="332"/>
        <item x="311"/>
        <item x="421"/>
        <item x="422"/>
        <item x="423"/>
        <item x="424"/>
        <item x="425"/>
        <item x="97"/>
        <item x="98"/>
        <item x="131"/>
        <item x="158"/>
        <item x="401"/>
        <item x="184"/>
        <item x="42"/>
        <item x="402"/>
        <item x="148"/>
        <item x="135"/>
        <item x="185"/>
        <item x="372"/>
        <item x="373"/>
        <item x="374"/>
        <item x="192"/>
        <item x="119"/>
        <item x="43"/>
        <item x="397"/>
        <item x="314"/>
        <item x="352"/>
        <item x="14"/>
        <item x="15"/>
        <item x="16"/>
        <item x="291"/>
        <item x="206"/>
        <item m="1" x="489"/>
        <item x="107"/>
        <item x="108"/>
        <item x="109"/>
        <item x="193"/>
        <item x="228"/>
        <item x="387"/>
        <item x="389"/>
        <item x="194"/>
        <item x="195"/>
        <item x="196"/>
        <item x="292"/>
        <item x="390"/>
        <item x="413"/>
        <item x="414"/>
        <item x="415"/>
        <item x="416"/>
        <item x="412"/>
        <item x="84"/>
        <item x="85"/>
        <item x="86"/>
        <item x="87"/>
        <item x="33"/>
        <item x="34"/>
        <item x="139"/>
        <item x="426"/>
        <item x="427"/>
        <item x="312"/>
        <item x="313"/>
        <item x="293"/>
        <item x="342"/>
        <item x="343"/>
        <item x="344"/>
        <item x="345"/>
        <item x="428"/>
        <item x="369"/>
        <item x="286"/>
        <item x="287"/>
        <item x="100"/>
        <item x="370"/>
        <item x="340"/>
        <item x="179"/>
        <item x="181"/>
        <item x="403"/>
        <item x="207"/>
        <item x="259"/>
        <item x="398"/>
        <item x="354"/>
        <item x="431"/>
        <item x="47"/>
        <item x="48"/>
        <item x="49"/>
        <item x="50"/>
        <item x="51"/>
        <item x="52"/>
        <item x="429"/>
        <item x="448"/>
        <item x="449"/>
        <item x="19"/>
        <item x="399"/>
        <item x="430"/>
        <item x="270"/>
        <item x="271"/>
        <item x="272"/>
        <item x="132"/>
        <item x="208"/>
        <item x="209"/>
        <item x="410"/>
        <item m="1" x="486"/>
        <item m="1" x="487"/>
        <item m="1" x="488"/>
        <item x="400"/>
        <item x="355"/>
        <item m="1" x="490"/>
        <item x="450"/>
        <item x="59"/>
        <item m="1" x="479"/>
        <item m="1" x="480"/>
        <item x="439"/>
        <item x="446"/>
        <item x="284"/>
        <item x="260"/>
        <item x="53"/>
        <item x="35"/>
        <item x="36"/>
        <item x="37"/>
        <item x="38"/>
        <item x="39"/>
        <item x="101"/>
        <item x="434"/>
        <item x="32"/>
        <item x="54"/>
        <item x="55"/>
        <item x="56"/>
        <item x="420"/>
        <item x="375"/>
        <item x="376"/>
        <item x="377"/>
        <item x="378"/>
        <item x="379"/>
        <item x="380"/>
        <item x="381"/>
        <item x="316"/>
        <item x="442"/>
        <item x="241"/>
        <item x="242"/>
        <item x="140"/>
        <item x="141"/>
        <item x="438"/>
        <item x="215"/>
        <item m="1" x="494"/>
        <item m="1" x="495"/>
        <item x="435"/>
        <item x="317"/>
        <item x="383"/>
        <item x="440"/>
        <item x="447"/>
        <item x="318"/>
        <item x="417"/>
        <item x="283"/>
        <item x="388"/>
        <item x="299"/>
        <item x="300"/>
        <item x="452"/>
        <item x="453"/>
        <item x="441"/>
        <item x="57"/>
        <item x="418"/>
        <item x="261"/>
        <item x="262"/>
        <item x="263"/>
        <item x="264"/>
        <item x="265"/>
        <item x="266"/>
        <item x="267"/>
        <item x="268"/>
        <item x="269"/>
        <item x="25"/>
        <item x="216"/>
        <item x="404"/>
        <item x="405"/>
        <item x="406"/>
        <item x="436"/>
        <item x="444"/>
        <item x="445"/>
        <item x="255"/>
        <item x="437"/>
        <item x="451"/>
        <item x="46"/>
        <item x="58"/>
        <item x="60"/>
        <item x="61"/>
        <item x="62"/>
        <item x="63"/>
        <item x="73"/>
        <item x="74"/>
        <item x="93"/>
        <item x="189"/>
        <item x="334"/>
        <item x="360"/>
        <item x="361"/>
        <item x="362"/>
        <item x="363"/>
        <item x="364"/>
        <item x="365"/>
        <item x="366"/>
        <item x="367"/>
        <item x="368"/>
        <item x="371"/>
        <item x="391"/>
        <item x="411"/>
        <item x="419"/>
        <item x="432"/>
        <item x="433"/>
        <item x="443"/>
        <item x="454"/>
        <item t="default"/>
      </items>
    </pivotField>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7">
    <i>
      <x/>
    </i>
    <i>
      <x v="1"/>
    </i>
    <i>
      <x v="2"/>
    </i>
    <i>
      <x v="3"/>
    </i>
    <i>
      <x v="4"/>
    </i>
    <i>
      <x v="5"/>
    </i>
    <i t="grand">
      <x/>
    </i>
  </rowItems>
  <colFields count="2">
    <field x="20"/>
    <field x="4"/>
  </colFields>
  <colItems count="9">
    <i>
      <x v="1"/>
    </i>
    <i>
      <x v="2"/>
    </i>
    <i>
      <x v="3"/>
    </i>
    <i>
      <x v="4"/>
    </i>
    <i>
      <x v="5"/>
    </i>
    <i>
      <x v="6"/>
    </i>
    <i>
      <x v="7"/>
    </i>
    <i>
      <x v="8"/>
    </i>
    <i t="grand">
      <x/>
    </i>
  </colItems>
  <dataFields count="1">
    <dataField name="Count of Return Date" fld="4" subtotal="count" baseField="0" baseItem="0"/>
  </dataFields>
  <formats count="21">
    <format dxfId="20">
      <pivotArea type="all" dataOnly="0" outline="0" fieldPosition="0"/>
    </format>
    <format dxfId="19">
      <pivotArea outline="0" collapsedLevelsAreSubtotals="1" fieldPosition="0"/>
    </format>
    <format dxfId="18">
      <pivotArea type="origin" dataOnly="0" labelOnly="1" outline="0" fieldPosition="0"/>
    </format>
    <format dxfId="17">
      <pivotArea field="20" type="button" dataOnly="0" labelOnly="1" outline="0" axis="axisCol" fieldPosition="0"/>
    </format>
    <format dxfId="16">
      <pivotArea field="4" type="button" dataOnly="0" labelOnly="1" outline="0" axis="axisCol" fieldPosition="1"/>
    </format>
    <format dxfId="15">
      <pivotArea type="topRight" dataOnly="0" labelOnly="1" outline="0" fieldPosition="0"/>
    </format>
    <format dxfId="14">
      <pivotArea field="2" type="button" dataOnly="0" labelOnly="1" outline="0" axis="axisRow" fieldPosition="0"/>
    </format>
    <format dxfId="13">
      <pivotArea dataOnly="0" labelOnly="1" fieldPosition="0">
        <references count="1">
          <reference field="2" count="0"/>
        </references>
      </pivotArea>
    </format>
    <format dxfId="12">
      <pivotArea dataOnly="0" labelOnly="1" grandRow="1" outline="0" fieldPosition="0"/>
    </format>
    <format dxfId="11">
      <pivotArea dataOnly="0" labelOnly="1" fieldPosition="0">
        <references count="1">
          <reference field="20" count="7">
            <x v="1"/>
            <x v="2"/>
            <x v="3"/>
            <x v="4"/>
            <x v="5"/>
            <x v="6"/>
            <x v="7"/>
          </reference>
        </references>
      </pivotArea>
    </format>
    <format dxfId="10">
      <pivotArea dataOnly="0" labelOnly="1" grandCol="1" outline="0" fieldPosition="0"/>
    </format>
    <format dxfId="9">
      <pivotArea dataOnly="0" labelOnly="1" offset="IV1" fieldPosition="0">
        <references count="1">
          <reference field="20" count="1">
            <x v="1"/>
          </reference>
        </references>
      </pivotArea>
    </format>
    <format dxfId="8">
      <pivotArea dataOnly="0" labelOnly="1" offset="IV1" fieldPosition="0">
        <references count="1">
          <reference field="20" count="1">
            <x v="2"/>
          </reference>
        </references>
      </pivotArea>
    </format>
    <format dxfId="7">
      <pivotArea dataOnly="0" labelOnly="1" offset="IV1" fieldPosition="0">
        <references count="1">
          <reference field="20" count="1">
            <x v="3"/>
          </reference>
        </references>
      </pivotArea>
    </format>
    <format dxfId="6">
      <pivotArea dataOnly="0" labelOnly="1" offset="IV1" fieldPosition="0">
        <references count="1">
          <reference field="20" count="1">
            <x v="4"/>
          </reference>
        </references>
      </pivotArea>
    </format>
    <format dxfId="5">
      <pivotArea dataOnly="0" labelOnly="1" offset="IV1" fieldPosition="0">
        <references count="1">
          <reference field="20" count="1">
            <x v="5"/>
          </reference>
        </references>
      </pivotArea>
    </format>
    <format dxfId="4">
      <pivotArea dataOnly="0" labelOnly="1" offset="IV1" fieldPosition="0">
        <references count="1">
          <reference field="20" count="1">
            <x v="6"/>
          </reference>
        </references>
      </pivotArea>
    </format>
    <format dxfId="3">
      <pivotArea dataOnly="0" labelOnly="1" offset="IV1" fieldPosition="0">
        <references count="1">
          <reference field="20" count="1">
            <x v="7"/>
          </reference>
        </references>
      </pivotArea>
    </format>
    <format dxfId="2">
      <pivotArea dataOnly="0" labelOnly="1" offset="IV1" fieldPosition="0">
        <references count="1">
          <reference field="20" count="1">
            <x v="8"/>
          </reference>
        </references>
      </pivotArea>
    </format>
    <format dxfId="1">
      <pivotArea type="topRight" dataOnly="0" labelOnly="1" outline="0" offset="G1" fieldPosition="0"/>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450432-F277-4BA4-9F52-9A234155DF9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3:AE20" firstHeaderRow="1" firstDataRow="3" firstDataCol="1"/>
  <pivotFields count="21">
    <pivotField showAll="0"/>
    <pivotField showAll="0"/>
    <pivotField showAll="0">
      <items count="7">
        <item x="2"/>
        <item x="1"/>
        <item x="0"/>
        <item x="3"/>
        <item x="5"/>
        <item x="4"/>
        <item t="default"/>
      </items>
    </pivotField>
    <pivotField showAll="0"/>
    <pivotField axis="axisCol" dataField="1" numFmtId="164" showAll="0">
      <items count="498">
        <item x="17"/>
        <item x="459"/>
        <item x="115"/>
        <item x="116"/>
        <item x="117"/>
        <item x="118"/>
        <item x="147"/>
        <item x="456"/>
        <item x="0"/>
        <item x="1"/>
        <item x="460"/>
        <item x="458"/>
        <item x="455"/>
        <item x="457"/>
        <item x="120"/>
        <item x="121"/>
        <item x="244"/>
        <item x="198"/>
        <item x="165"/>
        <item x="231"/>
        <item x="245"/>
        <item x="166"/>
        <item x="167"/>
        <item x="168"/>
        <item x="169"/>
        <item x="232"/>
        <item x="233"/>
        <item x="234"/>
        <item x="235"/>
        <item x="246"/>
        <item x="247"/>
        <item x="463"/>
        <item x="464"/>
        <item x="465"/>
        <item x="466"/>
        <item x="467"/>
        <item x="468"/>
        <item m="1" x="469"/>
        <item x="211"/>
        <item x="152"/>
        <item x="122"/>
        <item m="1" x="472"/>
        <item x="462"/>
        <item x="3"/>
        <item x="170"/>
        <item x="153"/>
        <item x="136"/>
        <item x="171"/>
        <item x="10"/>
        <item x="11"/>
        <item x="12"/>
        <item x="13"/>
        <item x="2"/>
        <item x="461"/>
        <item x="258"/>
        <item x="4"/>
        <item x="256"/>
        <item x="257"/>
        <item x="151"/>
        <item x="212"/>
        <item x="8"/>
        <item x="156"/>
        <item m="1" x="473"/>
        <item x="110"/>
        <item x="248"/>
        <item x="249"/>
        <item x="250"/>
        <item x="251"/>
        <item x="150"/>
        <item m="1" x="474"/>
        <item m="1" x="470"/>
        <item x="126"/>
        <item m="1" x="471"/>
        <item x="111"/>
        <item x="252"/>
        <item x="253"/>
        <item x="213"/>
        <item x="214"/>
        <item x="172"/>
        <item x="202"/>
        <item x="203"/>
        <item x="127"/>
        <item x="128"/>
        <item x="180"/>
        <item x="197"/>
        <item x="69"/>
        <item x="154"/>
        <item x="133"/>
        <item x="159"/>
        <item m="1" x="496"/>
        <item x="222"/>
        <item x="223"/>
        <item x="224"/>
        <item x="225"/>
        <item m="1" x="477"/>
        <item m="1" x="478"/>
        <item x="280"/>
        <item m="1" x="481"/>
        <item x="236"/>
        <item x="177"/>
        <item x="64"/>
        <item x="88"/>
        <item x="125"/>
        <item x="221"/>
        <item m="1" x="475"/>
        <item x="237"/>
        <item x="65"/>
        <item m="1" x="476"/>
        <item x="191"/>
        <item x="89"/>
        <item x="75"/>
        <item x="27"/>
        <item x="28"/>
        <item x="29"/>
        <item x="30"/>
        <item x="31"/>
        <item x="162"/>
        <item x="138"/>
        <item x="190"/>
        <item x="220"/>
        <item x="114"/>
        <item x="301"/>
        <item x="302"/>
        <item x="102"/>
        <item x="229"/>
        <item x="303"/>
        <item x="294"/>
        <item x="137"/>
        <item x="157"/>
        <item x="338"/>
        <item x="90"/>
        <item x="103"/>
        <item x="104"/>
        <item x="105"/>
        <item x="106"/>
        <item x="226"/>
        <item x="204"/>
        <item x="182"/>
        <item x="163"/>
        <item x="199"/>
        <item x="288"/>
        <item x="155"/>
        <item x="183"/>
        <item x="319"/>
        <item x="200"/>
        <item x="91"/>
        <item x="217"/>
        <item x="218"/>
        <item x="112"/>
        <item x="178"/>
        <item x="26"/>
        <item x="92"/>
        <item x="175"/>
        <item x="66"/>
        <item x="67"/>
        <item x="68"/>
        <item x="9"/>
        <item x="295"/>
        <item x="320"/>
        <item x="160"/>
        <item x="186"/>
        <item x="187"/>
        <item x="188"/>
        <item x="76"/>
        <item x="77"/>
        <item x="78"/>
        <item x="79"/>
        <item x="80"/>
        <item x="81"/>
        <item x="82"/>
        <item x="83"/>
        <item x="70"/>
        <item x="71"/>
        <item x="72"/>
        <item x="113"/>
        <item x="176"/>
        <item x="353"/>
        <item x="285"/>
        <item x="95"/>
        <item x="5"/>
        <item x="6"/>
        <item x="7"/>
        <item x="161"/>
        <item x="143"/>
        <item x="96"/>
        <item x="296"/>
        <item x="297"/>
        <item m="1" x="484"/>
        <item x="149"/>
        <item x="273"/>
        <item x="227"/>
        <item m="1" x="482"/>
        <item m="1" x="483"/>
        <item m="1" x="485"/>
        <item x="304"/>
        <item x="44"/>
        <item x="45"/>
        <item x="348"/>
        <item x="349"/>
        <item x="350"/>
        <item x="134"/>
        <item x="173"/>
        <item x="144"/>
        <item x="305"/>
        <item x="230"/>
        <item x="243"/>
        <item x="281"/>
        <item x="164"/>
        <item x="346"/>
        <item x="145"/>
        <item x="210"/>
        <item x="40"/>
        <item x="298"/>
        <item x="129"/>
        <item x="351"/>
        <item x="205"/>
        <item x="174"/>
        <item x="289"/>
        <item x="20"/>
        <item x="21"/>
        <item x="22"/>
        <item x="23"/>
        <item x="219"/>
        <item x="385"/>
        <item x="254"/>
        <item x="24"/>
        <item x="123"/>
        <item x="124"/>
        <item x="274"/>
        <item x="275"/>
        <item x="276"/>
        <item x="277"/>
        <item x="278"/>
        <item x="146"/>
        <item x="290"/>
        <item x="335"/>
        <item x="336"/>
        <item x="337"/>
        <item x="356"/>
        <item x="357"/>
        <item x="358"/>
        <item x="359"/>
        <item x="384"/>
        <item x="386"/>
        <item x="347"/>
        <item m="1" x="493"/>
        <item x="279"/>
        <item x="392"/>
        <item x="393"/>
        <item x="394"/>
        <item x="395"/>
        <item x="396"/>
        <item x="408"/>
        <item x="409"/>
        <item x="282"/>
        <item x="333"/>
        <item x="18"/>
        <item x="341"/>
        <item x="306"/>
        <item x="339"/>
        <item x="94"/>
        <item m="1" x="491"/>
        <item m="1" x="492"/>
        <item x="315"/>
        <item x="201"/>
        <item x="41"/>
        <item x="382"/>
        <item x="142"/>
        <item x="99"/>
        <item x="130"/>
        <item x="238"/>
        <item x="239"/>
        <item x="240"/>
        <item x="407"/>
        <item x="307"/>
        <item x="308"/>
        <item x="309"/>
        <item x="310"/>
        <item x="321"/>
        <item x="322"/>
        <item x="323"/>
        <item x="324"/>
        <item x="325"/>
        <item x="326"/>
        <item x="327"/>
        <item x="328"/>
        <item x="329"/>
        <item x="330"/>
        <item x="331"/>
        <item x="332"/>
        <item x="311"/>
        <item x="421"/>
        <item x="422"/>
        <item x="423"/>
        <item x="424"/>
        <item x="425"/>
        <item x="97"/>
        <item x="98"/>
        <item x="131"/>
        <item x="158"/>
        <item x="401"/>
        <item x="184"/>
        <item x="42"/>
        <item x="402"/>
        <item x="148"/>
        <item x="135"/>
        <item x="185"/>
        <item x="372"/>
        <item x="373"/>
        <item x="374"/>
        <item x="192"/>
        <item x="119"/>
        <item x="43"/>
        <item x="397"/>
        <item x="314"/>
        <item x="352"/>
        <item x="14"/>
        <item x="15"/>
        <item x="16"/>
        <item x="291"/>
        <item x="206"/>
        <item m="1" x="489"/>
        <item x="107"/>
        <item x="108"/>
        <item x="109"/>
        <item x="193"/>
        <item x="228"/>
        <item x="387"/>
        <item x="389"/>
        <item x="194"/>
        <item x="195"/>
        <item x="196"/>
        <item x="292"/>
        <item x="390"/>
        <item x="413"/>
        <item x="414"/>
        <item x="415"/>
        <item x="416"/>
        <item x="412"/>
        <item x="84"/>
        <item x="85"/>
        <item x="86"/>
        <item x="87"/>
        <item x="33"/>
        <item x="34"/>
        <item x="139"/>
        <item x="426"/>
        <item x="427"/>
        <item x="312"/>
        <item x="313"/>
        <item x="293"/>
        <item x="342"/>
        <item x="343"/>
        <item x="344"/>
        <item x="345"/>
        <item x="428"/>
        <item x="369"/>
        <item x="286"/>
        <item x="287"/>
        <item x="100"/>
        <item x="370"/>
        <item x="340"/>
        <item x="179"/>
        <item x="181"/>
        <item x="403"/>
        <item x="207"/>
        <item x="259"/>
        <item x="398"/>
        <item x="354"/>
        <item x="431"/>
        <item x="47"/>
        <item x="48"/>
        <item x="49"/>
        <item x="50"/>
        <item x="51"/>
        <item x="52"/>
        <item x="429"/>
        <item x="448"/>
        <item x="449"/>
        <item x="19"/>
        <item x="399"/>
        <item x="430"/>
        <item x="270"/>
        <item x="271"/>
        <item x="272"/>
        <item x="132"/>
        <item x="208"/>
        <item x="209"/>
        <item x="410"/>
        <item m="1" x="486"/>
        <item m="1" x="487"/>
        <item m="1" x="488"/>
        <item x="400"/>
        <item x="355"/>
        <item m="1" x="490"/>
        <item x="450"/>
        <item x="59"/>
        <item m="1" x="479"/>
        <item m="1" x="480"/>
        <item x="439"/>
        <item x="446"/>
        <item x="284"/>
        <item x="260"/>
        <item x="53"/>
        <item x="35"/>
        <item x="36"/>
        <item x="37"/>
        <item x="38"/>
        <item x="39"/>
        <item x="101"/>
        <item x="434"/>
        <item x="32"/>
        <item x="54"/>
        <item x="55"/>
        <item x="56"/>
        <item x="420"/>
        <item x="375"/>
        <item x="376"/>
        <item x="377"/>
        <item x="378"/>
        <item x="379"/>
        <item x="380"/>
        <item x="381"/>
        <item x="316"/>
        <item x="442"/>
        <item x="241"/>
        <item x="242"/>
        <item x="140"/>
        <item x="141"/>
        <item x="438"/>
        <item x="215"/>
        <item m="1" x="494"/>
        <item m="1" x="495"/>
        <item x="435"/>
        <item x="317"/>
        <item x="383"/>
        <item x="440"/>
        <item x="447"/>
        <item x="318"/>
        <item x="417"/>
        <item x="283"/>
        <item x="388"/>
        <item x="299"/>
        <item x="300"/>
        <item x="452"/>
        <item x="453"/>
        <item x="441"/>
        <item x="57"/>
        <item x="418"/>
        <item x="261"/>
        <item x="262"/>
        <item x="263"/>
        <item x="264"/>
        <item x="265"/>
        <item x="266"/>
        <item x="267"/>
        <item x="268"/>
        <item x="269"/>
        <item x="25"/>
        <item x="216"/>
        <item x="404"/>
        <item x="405"/>
        <item x="406"/>
        <item x="436"/>
        <item x="444"/>
        <item x="445"/>
        <item x="255"/>
        <item x="437"/>
        <item x="451"/>
        <item x="46"/>
        <item x="58"/>
        <item x="60"/>
        <item x="61"/>
        <item x="62"/>
        <item x="63"/>
        <item x="73"/>
        <item x="74"/>
        <item x="93"/>
        <item x="189"/>
        <item x="334"/>
        <item x="360"/>
        <item x="361"/>
        <item x="362"/>
        <item x="363"/>
        <item x="364"/>
        <item x="365"/>
        <item x="366"/>
        <item x="367"/>
        <item x="368"/>
        <item x="371"/>
        <item x="391"/>
        <item x="411"/>
        <item x="419"/>
        <item x="432"/>
        <item x="433"/>
        <item x="443"/>
        <item x="454"/>
        <item t="default"/>
      </items>
    </pivotField>
    <pivotField axis="axisRow" showAll="0">
      <items count="8">
        <item x="1"/>
        <item h="1" x="4"/>
        <item h="1" x="3"/>
        <item h="1" x="6"/>
        <item h="1" x="5"/>
        <item x="2"/>
        <item h="1" x="0"/>
        <item t="default"/>
      </items>
    </pivotField>
    <pivotField axis="axisRow" showAll="0">
      <items count="33">
        <item x="21"/>
        <item x="18"/>
        <item x="1"/>
        <item x="20"/>
        <item x="14"/>
        <item x="30"/>
        <item x="17"/>
        <item x="7"/>
        <item x="15"/>
        <item x="0"/>
        <item x="16"/>
        <item x="10"/>
        <item x="6"/>
        <item x="22"/>
        <item x="29"/>
        <item x="11"/>
        <item x="13"/>
        <item x="2"/>
        <item x="9"/>
        <item x="8"/>
        <item x="12"/>
        <item x="3"/>
        <item x="26"/>
        <item x="5"/>
        <item x="4"/>
        <item x="19"/>
        <item x="25"/>
        <item x="28"/>
        <item x="23"/>
        <item x="27"/>
        <item x="24"/>
        <item x="31"/>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5"/>
    <field x="6"/>
  </rowFields>
  <rowItems count="15">
    <i>
      <x/>
    </i>
    <i r="1">
      <x/>
    </i>
    <i r="1">
      <x v="1"/>
    </i>
    <i r="1">
      <x v="2"/>
    </i>
    <i r="1">
      <x v="3"/>
    </i>
    <i r="1">
      <x v="4"/>
    </i>
    <i r="1">
      <x v="5"/>
    </i>
    <i r="1">
      <x v="6"/>
    </i>
    <i>
      <x v="5"/>
    </i>
    <i r="1">
      <x v="15"/>
    </i>
    <i r="1">
      <x v="16"/>
    </i>
    <i r="1">
      <x v="17"/>
    </i>
    <i r="1">
      <x v="18"/>
    </i>
    <i r="1">
      <x v="19"/>
    </i>
    <i t="grand">
      <x/>
    </i>
  </rowItems>
  <colFields count="2">
    <field x="20"/>
    <field x="4"/>
  </colFields>
  <colItems count="8">
    <i>
      <x v="1"/>
    </i>
    <i>
      <x v="2"/>
    </i>
    <i>
      <x v="3"/>
    </i>
    <i>
      <x v="4"/>
    </i>
    <i>
      <x v="5"/>
    </i>
    <i>
      <x v="6"/>
    </i>
    <i>
      <x v="7"/>
    </i>
    <i t="grand">
      <x/>
    </i>
  </colItems>
  <dataFields count="1">
    <dataField name="Count of Return Date" fld="4" subtotal="count" baseField="0" baseItem="0"/>
  </dataFields>
  <formats count="25">
    <format dxfId="45">
      <pivotArea type="all" dataOnly="0" outline="0" fieldPosition="0"/>
    </format>
    <format dxfId="44">
      <pivotArea outline="0" collapsedLevelsAreSubtotals="1" fieldPosition="0"/>
    </format>
    <format dxfId="43">
      <pivotArea type="origin" dataOnly="0" labelOnly="1" outline="0" fieldPosition="0"/>
    </format>
    <format dxfId="42">
      <pivotArea field="20" type="button" dataOnly="0" labelOnly="1" outline="0" axis="axisCol" fieldPosition="0"/>
    </format>
    <format dxfId="41">
      <pivotArea field="4" type="button" dataOnly="0" labelOnly="1" outline="0" axis="axisCol" fieldPosition="1"/>
    </format>
    <format dxfId="40">
      <pivotArea type="topRight" dataOnly="0" labelOnly="1" outline="0" fieldPosition="0"/>
    </format>
    <format dxfId="39">
      <pivotArea field="2" type="button" dataOnly="0" labelOnly="1" outline="0"/>
    </format>
    <format dxfId="38">
      <pivotArea dataOnly="0" labelOnly="1" grandRow="1" outline="0" fieldPosition="0"/>
    </format>
    <format dxfId="37">
      <pivotArea dataOnly="0" labelOnly="1" fieldPosition="0">
        <references count="1">
          <reference field="20" count="7">
            <x v="1"/>
            <x v="2"/>
            <x v="3"/>
            <x v="4"/>
            <x v="5"/>
            <x v="6"/>
            <x v="7"/>
          </reference>
        </references>
      </pivotArea>
    </format>
    <format dxfId="36">
      <pivotArea dataOnly="0" labelOnly="1" grandCol="1" outline="0" fieldPosition="0"/>
    </format>
    <format dxfId="35">
      <pivotArea outline="0" collapsedLevelsAreSubtotals="1" fieldPosition="0">
        <references count="1">
          <reference field="20" count="1" selected="0">
            <x v="1"/>
          </reference>
        </references>
      </pivotArea>
    </format>
    <format dxfId="34">
      <pivotArea dataOnly="0" labelOnly="1" fieldPosition="0">
        <references count="1">
          <reference field="20" count="1">
            <x v="1"/>
          </reference>
        </references>
      </pivotArea>
    </format>
    <format dxfId="33">
      <pivotArea outline="0" collapsedLevelsAreSubtotals="1" fieldPosition="0">
        <references count="1">
          <reference field="20" count="1" selected="0">
            <x v="2"/>
          </reference>
        </references>
      </pivotArea>
    </format>
    <format dxfId="32">
      <pivotArea dataOnly="0" labelOnly="1" fieldPosition="0">
        <references count="1">
          <reference field="20" count="1">
            <x v="2"/>
          </reference>
        </references>
      </pivotArea>
    </format>
    <format dxfId="31">
      <pivotArea outline="0" collapsedLevelsAreSubtotals="1" fieldPosition="0">
        <references count="1">
          <reference field="20" count="1" selected="0">
            <x v="3"/>
          </reference>
        </references>
      </pivotArea>
    </format>
    <format dxfId="30">
      <pivotArea dataOnly="0" labelOnly="1" fieldPosition="0">
        <references count="1">
          <reference field="20" count="1">
            <x v="3"/>
          </reference>
        </references>
      </pivotArea>
    </format>
    <format dxfId="29">
      <pivotArea outline="0" collapsedLevelsAreSubtotals="1" fieldPosition="0">
        <references count="1">
          <reference field="20" count="1" selected="0">
            <x v="4"/>
          </reference>
        </references>
      </pivotArea>
    </format>
    <format dxfId="28">
      <pivotArea dataOnly="0" labelOnly="1" fieldPosition="0">
        <references count="1">
          <reference field="20" count="1">
            <x v="4"/>
          </reference>
        </references>
      </pivotArea>
    </format>
    <format dxfId="27">
      <pivotArea outline="0" collapsedLevelsAreSubtotals="1" fieldPosition="0">
        <references count="1">
          <reference field="20" count="1" selected="0">
            <x v="5"/>
          </reference>
        </references>
      </pivotArea>
    </format>
    <format dxfId="26">
      <pivotArea dataOnly="0" labelOnly="1" fieldPosition="0">
        <references count="1">
          <reference field="20" count="1">
            <x v="5"/>
          </reference>
        </references>
      </pivotArea>
    </format>
    <format dxfId="25">
      <pivotArea outline="0" collapsedLevelsAreSubtotals="1" fieldPosition="0">
        <references count="1">
          <reference field="20" count="1" selected="0">
            <x v="6"/>
          </reference>
        </references>
      </pivotArea>
    </format>
    <format dxfId="24">
      <pivotArea dataOnly="0" labelOnly="1" fieldPosition="0">
        <references count="1">
          <reference field="20" count="1">
            <x v="6"/>
          </reference>
        </references>
      </pivotArea>
    </format>
    <format dxfId="23">
      <pivotArea outline="0" collapsedLevelsAreSubtotals="1" fieldPosition="0">
        <references count="1">
          <reference field="20" count="1" selected="0">
            <x v="7"/>
          </reference>
        </references>
      </pivotArea>
    </format>
    <format dxfId="22">
      <pivotArea dataOnly="0" labelOnly="1" fieldPosition="0">
        <references count="1">
          <reference field="20" count="1">
            <x v="7"/>
          </reference>
        </references>
      </pivotArea>
    </format>
    <format dxfId="2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0D10DA-0C32-4EB1-8A9F-72E38416746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U36" firstHeaderRow="1" firstDataRow="3" firstDataCol="1"/>
  <pivotFields count="21">
    <pivotField showAll="0"/>
    <pivotField showAll="0"/>
    <pivotField axis="axisRow" showAll="0">
      <items count="7">
        <item x="2"/>
        <item x="1"/>
        <item x="0"/>
        <item x="3"/>
        <item x="5"/>
        <item x="4"/>
        <item t="default"/>
      </items>
    </pivotField>
    <pivotField showAll="0"/>
    <pivotField axis="axisCol" dataField="1" numFmtId="164" showAll="0">
      <items count="498">
        <item x="17"/>
        <item x="459"/>
        <item x="115"/>
        <item x="116"/>
        <item x="117"/>
        <item x="118"/>
        <item x="147"/>
        <item x="456"/>
        <item x="0"/>
        <item x="1"/>
        <item x="460"/>
        <item x="458"/>
        <item x="455"/>
        <item x="457"/>
        <item x="120"/>
        <item x="121"/>
        <item x="244"/>
        <item x="198"/>
        <item x="165"/>
        <item x="231"/>
        <item x="245"/>
        <item x="166"/>
        <item x="167"/>
        <item x="168"/>
        <item x="169"/>
        <item x="232"/>
        <item x="233"/>
        <item x="234"/>
        <item x="235"/>
        <item x="246"/>
        <item x="247"/>
        <item x="463"/>
        <item x="464"/>
        <item x="465"/>
        <item x="466"/>
        <item x="467"/>
        <item x="468"/>
        <item m="1" x="469"/>
        <item x="211"/>
        <item x="152"/>
        <item x="122"/>
        <item m="1" x="472"/>
        <item x="462"/>
        <item x="3"/>
        <item x="170"/>
        <item x="153"/>
        <item x="136"/>
        <item x="171"/>
        <item x="10"/>
        <item x="11"/>
        <item x="12"/>
        <item x="13"/>
        <item x="2"/>
        <item x="461"/>
        <item x="258"/>
        <item x="4"/>
        <item x="256"/>
        <item x="257"/>
        <item x="151"/>
        <item x="212"/>
        <item x="8"/>
        <item x="156"/>
        <item m="1" x="473"/>
        <item x="110"/>
        <item x="248"/>
        <item x="249"/>
        <item x="250"/>
        <item x="251"/>
        <item x="150"/>
        <item m="1" x="474"/>
        <item m="1" x="470"/>
        <item x="126"/>
        <item m="1" x="471"/>
        <item x="111"/>
        <item x="252"/>
        <item x="253"/>
        <item x="213"/>
        <item x="214"/>
        <item x="172"/>
        <item x="202"/>
        <item x="203"/>
        <item x="127"/>
        <item x="128"/>
        <item x="180"/>
        <item x="197"/>
        <item x="69"/>
        <item x="154"/>
        <item x="133"/>
        <item x="159"/>
        <item m="1" x="496"/>
        <item x="222"/>
        <item x="223"/>
        <item x="224"/>
        <item x="225"/>
        <item m="1" x="477"/>
        <item m="1" x="478"/>
        <item x="280"/>
        <item m="1" x="481"/>
        <item x="236"/>
        <item x="177"/>
        <item x="64"/>
        <item x="88"/>
        <item x="125"/>
        <item x="221"/>
        <item m="1" x="475"/>
        <item x="237"/>
        <item x="65"/>
        <item m="1" x="476"/>
        <item x="191"/>
        <item x="89"/>
        <item x="75"/>
        <item x="27"/>
        <item x="28"/>
        <item x="29"/>
        <item x="30"/>
        <item x="31"/>
        <item x="162"/>
        <item x="138"/>
        <item x="190"/>
        <item x="220"/>
        <item x="114"/>
        <item x="301"/>
        <item x="302"/>
        <item x="102"/>
        <item x="229"/>
        <item x="303"/>
        <item x="294"/>
        <item x="137"/>
        <item x="157"/>
        <item x="338"/>
        <item x="90"/>
        <item x="103"/>
        <item x="104"/>
        <item x="105"/>
        <item x="106"/>
        <item x="226"/>
        <item x="204"/>
        <item x="182"/>
        <item x="163"/>
        <item x="199"/>
        <item x="288"/>
        <item x="155"/>
        <item x="183"/>
        <item x="319"/>
        <item x="200"/>
        <item x="91"/>
        <item x="217"/>
        <item x="218"/>
        <item x="112"/>
        <item x="178"/>
        <item x="26"/>
        <item x="92"/>
        <item x="175"/>
        <item x="66"/>
        <item x="67"/>
        <item x="68"/>
        <item x="9"/>
        <item x="295"/>
        <item x="320"/>
        <item x="160"/>
        <item x="186"/>
        <item x="187"/>
        <item x="188"/>
        <item x="76"/>
        <item x="77"/>
        <item x="78"/>
        <item x="79"/>
        <item x="80"/>
        <item x="81"/>
        <item x="82"/>
        <item x="83"/>
        <item x="70"/>
        <item x="71"/>
        <item x="72"/>
        <item x="113"/>
        <item x="176"/>
        <item x="353"/>
        <item x="285"/>
        <item x="95"/>
        <item x="5"/>
        <item x="6"/>
        <item x="7"/>
        <item x="161"/>
        <item x="143"/>
        <item x="96"/>
        <item x="296"/>
        <item x="297"/>
        <item m="1" x="484"/>
        <item x="149"/>
        <item x="273"/>
        <item x="227"/>
        <item m="1" x="482"/>
        <item m="1" x="483"/>
        <item m="1" x="485"/>
        <item x="304"/>
        <item x="44"/>
        <item x="45"/>
        <item x="348"/>
        <item x="349"/>
        <item x="350"/>
        <item x="134"/>
        <item x="173"/>
        <item x="144"/>
        <item x="305"/>
        <item x="230"/>
        <item x="243"/>
        <item x="281"/>
        <item x="164"/>
        <item x="346"/>
        <item x="145"/>
        <item x="210"/>
        <item x="40"/>
        <item x="298"/>
        <item x="129"/>
        <item x="351"/>
        <item x="205"/>
        <item x="174"/>
        <item x="289"/>
        <item x="20"/>
        <item x="21"/>
        <item x="22"/>
        <item x="23"/>
        <item x="219"/>
        <item x="385"/>
        <item x="254"/>
        <item x="24"/>
        <item x="123"/>
        <item x="124"/>
        <item x="274"/>
        <item x="275"/>
        <item x="276"/>
        <item x="277"/>
        <item x="278"/>
        <item x="146"/>
        <item x="290"/>
        <item x="335"/>
        <item x="336"/>
        <item x="337"/>
        <item x="356"/>
        <item x="357"/>
        <item x="358"/>
        <item x="359"/>
        <item x="384"/>
        <item x="386"/>
        <item x="347"/>
        <item m="1" x="493"/>
        <item x="279"/>
        <item x="392"/>
        <item x="393"/>
        <item x="394"/>
        <item x="395"/>
        <item x="396"/>
        <item x="408"/>
        <item x="409"/>
        <item x="282"/>
        <item x="333"/>
        <item x="18"/>
        <item x="341"/>
        <item x="306"/>
        <item x="339"/>
        <item x="94"/>
        <item m="1" x="491"/>
        <item m="1" x="492"/>
        <item x="315"/>
        <item x="201"/>
        <item x="41"/>
        <item x="382"/>
        <item x="142"/>
        <item x="99"/>
        <item x="130"/>
        <item x="238"/>
        <item x="239"/>
        <item x="240"/>
        <item x="407"/>
        <item x="307"/>
        <item x="308"/>
        <item x="309"/>
        <item x="310"/>
        <item x="321"/>
        <item x="322"/>
        <item x="323"/>
        <item x="324"/>
        <item x="325"/>
        <item x="326"/>
        <item x="327"/>
        <item x="328"/>
        <item x="329"/>
        <item x="330"/>
        <item x="331"/>
        <item x="332"/>
        <item x="311"/>
        <item x="421"/>
        <item x="422"/>
        <item x="423"/>
        <item x="424"/>
        <item x="425"/>
        <item x="97"/>
        <item x="98"/>
        <item x="131"/>
        <item x="158"/>
        <item x="401"/>
        <item x="184"/>
        <item x="42"/>
        <item x="402"/>
        <item x="148"/>
        <item x="135"/>
        <item x="185"/>
        <item x="372"/>
        <item x="373"/>
        <item x="374"/>
        <item x="192"/>
        <item x="119"/>
        <item x="43"/>
        <item x="397"/>
        <item x="314"/>
        <item x="352"/>
        <item x="14"/>
        <item x="15"/>
        <item x="16"/>
        <item x="291"/>
        <item x="206"/>
        <item m="1" x="489"/>
        <item x="107"/>
        <item x="108"/>
        <item x="109"/>
        <item x="193"/>
        <item x="228"/>
        <item x="387"/>
        <item x="389"/>
        <item x="194"/>
        <item x="195"/>
        <item x="196"/>
        <item x="292"/>
        <item x="390"/>
        <item x="413"/>
        <item x="414"/>
        <item x="415"/>
        <item x="416"/>
        <item x="412"/>
        <item x="84"/>
        <item x="85"/>
        <item x="86"/>
        <item x="87"/>
        <item x="33"/>
        <item x="34"/>
        <item x="139"/>
        <item x="426"/>
        <item x="427"/>
        <item x="312"/>
        <item x="313"/>
        <item x="293"/>
        <item x="342"/>
        <item x="343"/>
        <item x="344"/>
        <item x="345"/>
        <item x="428"/>
        <item x="369"/>
        <item x="286"/>
        <item x="287"/>
        <item x="100"/>
        <item x="370"/>
        <item x="340"/>
        <item x="179"/>
        <item x="181"/>
        <item x="403"/>
        <item x="207"/>
        <item x="259"/>
        <item x="398"/>
        <item x="354"/>
        <item x="431"/>
        <item x="47"/>
        <item x="48"/>
        <item x="49"/>
        <item x="50"/>
        <item x="51"/>
        <item x="52"/>
        <item x="429"/>
        <item x="448"/>
        <item x="449"/>
        <item x="19"/>
        <item x="399"/>
        <item x="430"/>
        <item x="270"/>
        <item x="271"/>
        <item x="272"/>
        <item x="132"/>
        <item x="208"/>
        <item x="209"/>
        <item x="410"/>
        <item m="1" x="486"/>
        <item m="1" x="487"/>
        <item m="1" x="488"/>
        <item x="400"/>
        <item x="355"/>
        <item m="1" x="490"/>
        <item x="450"/>
        <item x="59"/>
        <item m="1" x="479"/>
        <item m="1" x="480"/>
        <item x="439"/>
        <item x="446"/>
        <item x="284"/>
        <item x="260"/>
        <item x="53"/>
        <item x="35"/>
        <item x="36"/>
        <item x="37"/>
        <item x="38"/>
        <item x="39"/>
        <item x="101"/>
        <item x="434"/>
        <item x="32"/>
        <item x="54"/>
        <item x="55"/>
        <item x="56"/>
        <item x="420"/>
        <item x="375"/>
        <item x="376"/>
        <item x="377"/>
        <item x="378"/>
        <item x="379"/>
        <item x="380"/>
        <item x="381"/>
        <item x="316"/>
        <item x="442"/>
        <item x="241"/>
        <item x="242"/>
        <item x="140"/>
        <item x="141"/>
        <item x="438"/>
        <item x="215"/>
        <item m="1" x="494"/>
        <item m="1" x="495"/>
        <item x="435"/>
        <item x="317"/>
        <item x="383"/>
        <item x="440"/>
        <item x="447"/>
        <item x="318"/>
        <item x="417"/>
        <item x="283"/>
        <item x="388"/>
        <item x="299"/>
        <item x="300"/>
        <item x="452"/>
        <item x="453"/>
        <item x="441"/>
        <item x="57"/>
        <item x="418"/>
        <item x="261"/>
        <item x="262"/>
        <item x="263"/>
        <item x="264"/>
        <item x="265"/>
        <item x="266"/>
        <item x="267"/>
        <item x="268"/>
        <item x="269"/>
        <item x="25"/>
        <item x="216"/>
        <item x="404"/>
        <item x="405"/>
        <item x="406"/>
        <item x="436"/>
        <item x="444"/>
        <item x="445"/>
        <item x="255"/>
        <item x="437"/>
        <item x="451"/>
        <item x="46"/>
        <item x="58"/>
        <item x="60"/>
        <item x="61"/>
        <item x="62"/>
        <item x="63"/>
        <item x="73"/>
        <item x="74"/>
        <item x="93"/>
        <item x="189"/>
        <item x="334"/>
        <item x="360"/>
        <item x="361"/>
        <item x="362"/>
        <item x="363"/>
        <item x="364"/>
        <item x="365"/>
        <item x="366"/>
        <item x="367"/>
        <item x="368"/>
        <item x="371"/>
        <item x="391"/>
        <item x="411"/>
        <item x="419"/>
        <item x="432"/>
        <item x="433"/>
        <item x="443"/>
        <item x="454"/>
        <item t="default"/>
      </items>
    </pivotField>
    <pivotField axis="axisRow" showAll="0">
      <items count="8">
        <item x="1"/>
        <item x="4"/>
        <item x="3"/>
        <item x="6"/>
        <item x="5"/>
        <item x="2"/>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5"/>
    <field x="2"/>
  </rowFields>
  <rowItems count="31">
    <i>
      <x/>
    </i>
    <i r="1">
      <x/>
    </i>
    <i r="1">
      <x v="1"/>
    </i>
    <i r="1">
      <x v="2"/>
    </i>
    <i r="1">
      <x v="4"/>
    </i>
    <i>
      <x v="1"/>
    </i>
    <i r="1">
      <x v="1"/>
    </i>
    <i r="1">
      <x v="2"/>
    </i>
    <i r="1">
      <x v="4"/>
    </i>
    <i r="1">
      <x v="5"/>
    </i>
    <i>
      <x v="2"/>
    </i>
    <i r="1">
      <x/>
    </i>
    <i r="1">
      <x v="1"/>
    </i>
    <i r="1">
      <x v="2"/>
    </i>
    <i r="1">
      <x v="4"/>
    </i>
    <i>
      <x v="3"/>
    </i>
    <i r="1">
      <x/>
    </i>
    <i r="1">
      <x v="5"/>
    </i>
    <i>
      <x v="4"/>
    </i>
    <i r="1">
      <x v="5"/>
    </i>
    <i>
      <x v="5"/>
    </i>
    <i r="1">
      <x/>
    </i>
    <i r="1">
      <x v="1"/>
    </i>
    <i r="1">
      <x v="2"/>
    </i>
    <i>
      <x v="6"/>
    </i>
    <i r="1">
      <x/>
    </i>
    <i r="1">
      <x v="1"/>
    </i>
    <i r="1">
      <x v="2"/>
    </i>
    <i r="1">
      <x v="3"/>
    </i>
    <i r="1">
      <x v="4"/>
    </i>
    <i t="grand">
      <x/>
    </i>
  </rowItems>
  <colFields count="2">
    <field x="20"/>
    <field x="4"/>
  </colFields>
  <colItems count="9">
    <i>
      <x v="1"/>
    </i>
    <i>
      <x v="2"/>
    </i>
    <i>
      <x v="3"/>
    </i>
    <i>
      <x v="4"/>
    </i>
    <i>
      <x v="5"/>
    </i>
    <i>
      <x v="6"/>
    </i>
    <i>
      <x v="7"/>
    </i>
    <i>
      <x v="8"/>
    </i>
    <i t="grand">
      <x/>
    </i>
  </colItems>
  <dataFields count="1">
    <dataField name="Count of Return Date" fld="4" subtotal="count" baseField="0" baseItem="0"/>
  </dataFields>
  <formats count="40">
    <format dxfId="85">
      <pivotArea type="all" dataOnly="0" outline="0" fieldPosition="0"/>
    </format>
    <format dxfId="84">
      <pivotArea outline="0" collapsedLevelsAreSubtotals="1" fieldPosition="0"/>
    </format>
    <format dxfId="83">
      <pivotArea type="origin" dataOnly="0" labelOnly="1" outline="0" fieldPosition="0"/>
    </format>
    <format dxfId="82">
      <pivotArea field="20" type="button" dataOnly="0" labelOnly="1" outline="0" axis="axisCol" fieldPosition="0"/>
    </format>
    <format dxfId="81">
      <pivotArea field="4" type="button" dataOnly="0" labelOnly="1" outline="0" axis="axisCol" fieldPosition="1"/>
    </format>
    <format dxfId="80">
      <pivotArea type="topRight" dataOnly="0" labelOnly="1" outline="0" fieldPosition="0"/>
    </format>
    <format dxfId="79">
      <pivotArea field="5" type="button" dataOnly="0" labelOnly="1" outline="0" axis="axisRow" fieldPosition="0"/>
    </format>
    <format dxfId="78">
      <pivotArea dataOnly="0" labelOnly="1" fieldPosition="0">
        <references count="1">
          <reference field="5" count="0"/>
        </references>
      </pivotArea>
    </format>
    <format dxfId="77">
      <pivotArea dataOnly="0" labelOnly="1" grandRow="1" outline="0" fieldPosition="0"/>
    </format>
    <format dxfId="76">
      <pivotArea dataOnly="0" labelOnly="1" fieldPosition="0">
        <references count="2">
          <reference field="2" count="4">
            <x v="0"/>
            <x v="1"/>
            <x v="2"/>
            <x v="4"/>
          </reference>
          <reference field="5" count="1" selected="0">
            <x v="0"/>
          </reference>
        </references>
      </pivotArea>
    </format>
    <format dxfId="75">
      <pivotArea dataOnly="0" labelOnly="1" fieldPosition="0">
        <references count="2">
          <reference field="2" count="4">
            <x v="1"/>
            <x v="2"/>
            <x v="4"/>
            <x v="5"/>
          </reference>
          <reference field="5" count="1" selected="0">
            <x v="1"/>
          </reference>
        </references>
      </pivotArea>
    </format>
    <format dxfId="74">
      <pivotArea dataOnly="0" labelOnly="1" fieldPosition="0">
        <references count="2">
          <reference field="2" count="4">
            <x v="0"/>
            <x v="1"/>
            <x v="2"/>
            <x v="4"/>
          </reference>
          <reference field="5" count="1" selected="0">
            <x v="2"/>
          </reference>
        </references>
      </pivotArea>
    </format>
    <format dxfId="73">
      <pivotArea dataOnly="0" labelOnly="1" fieldPosition="0">
        <references count="2">
          <reference field="2" count="2">
            <x v="0"/>
            <x v="5"/>
          </reference>
          <reference field="5" count="1" selected="0">
            <x v="3"/>
          </reference>
        </references>
      </pivotArea>
    </format>
    <format dxfId="72">
      <pivotArea dataOnly="0" labelOnly="1" fieldPosition="0">
        <references count="2">
          <reference field="2" count="1">
            <x v="5"/>
          </reference>
          <reference field="5" count="1" selected="0">
            <x v="4"/>
          </reference>
        </references>
      </pivotArea>
    </format>
    <format dxfId="71">
      <pivotArea dataOnly="0" labelOnly="1" fieldPosition="0">
        <references count="2">
          <reference field="2" count="3">
            <x v="0"/>
            <x v="1"/>
            <x v="2"/>
          </reference>
          <reference field="5" count="1" selected="0">
            <x v="5"/>
          </reference>
        </references>
      </pivotArea>
    </format>
    <format dxfId="70">
      <pivotArea dataOnly="0" labelOnly="1" fieldPosition="0">
        <references count="2">
          <reference field="2" count="5">
            <x v="0"/>
            <x v="1"/>
            <x v="2"/>
            <x v="3"/>
            <x v="4"/>
          </reference>
          <reference field="5" count="1" selected="0">
            <x v="6"/>
          </reference>
        </references>
      </pivotArea>
    </format>
    <format dxfId="69">
      <pivotArea dataOnly="0" labelOnly="1" fieldPosition="0">
        <references count="1">
          <reference field="20" count="7">
            <x v="1"/>
            <x v="2"/>
            <x v="3"/>
            <x v="4"/>
            <x v="5"/>
            <x v="6"/>
            <x v="7"/>
          </reference>
        </references>
      </pivotArea>
    </format>
    <format dxfId="68">
      <pivotArea dataOnly="0" labelOnly="1" grandCol="1" outline="0" fieldPosition="0"/>
    </format>
    <format dxfId="67">
      <pivotArea outline="0" collapsedLevelsAreSubtotals="1" fieldPosition="0">
        <references count="1">
          <reference field="20" count="1" selected="0">
            <x v="1"/>
          </reference>
        </references>
      </pivotArea>
    </format>
    <format dxfId="66">
      <pivotArea dataOnly="0" labelOnly="1" fieldPosition="0">
        <references count="1">
          <reference field="20" count="1">
            <x v="1"/>
          </reference>
        </references>
      </pivotArea>
    </format>
    <format dxfId="65">
      <pivotArea outline="0" collapsedLevelsAreSubtotals="1" fieldPosition="0">
        <references count="1">
          <reference field="20" count="1" selected="0">
            <x v="2"/>
          </reference>
        </references>
      </pivotArea>
    </format>
    <format dxfId="64">
      <pivotArea dataOnly="0" labelOnly="1" fieldPosition="0">
        <references count="1">
          <reference field="20" count="1">
            <x v="2"/>
          </reference>
        </references>
      </pivotArea>
    </format>
    <format dxfId="63">
      <pivotArea outline="0" collapsedLevelsAreSubtotals="1" fieldPosition="0">
        <references count="1">
          <reference field="20" count="1" selected="0">
            <x v="3"/>
          </reference>
        </references>
      </pivotArea>
    </format>
    <format dxfId="62">
      <pivotArea dataOnly="0" labelOnly="1" fieldPosition="0">
        <references count="1">
          <reference field="20" count="1">
            <x v="3"/>
          </reference>
        </references>
      </pivotArea>
    </format>
    <format dxfId="61">
      <pivotArea outline="0" collapsedLevelsAreSubtotals="1" fieldPosition="0">
        <references count="1">
          <reference field="20" count="1" selected="0">
            <x v="4"/>
          </reference>
        </references>
      </pivotArea>
    </format>
    <format dxfId="60">
      <pivotArea dataOnly="0" labelOnly="1" fieldPosition="0">
        <references count="1">
          <reference field="20" count="1">
            <x v="4"/>
          </reference>
        </references>
      </pivotArea>
    </format>
    <format dxfId="59">
      <pivotArea outline="0" collapsedLevelsAreSubtotals="1" fieldPosition="0">
        <references count="1">
          <reference field="20" count="1" selected="0">
            <x v="5"/>
          </reference>
        </references>
      </pivotArea>
    </format>
    <format dxfId="58">
      <pivotArea dataOnly="0" labelOnly="1" fieldPosition="0">
        <references count="1">
          <reference field="20" count="1">
            <x v="5"/>
          </reference>
        </references>
      </pivotArea>
    </format>
    <format dxfId="57">
      <pivotArea outline="0" collapsedLevelsAreSubtotals="1" fieldPosition="0">
        <references count="1">
          <reference field="20" count="1" selected="0">
            <x v="6"/>
          </reference>
        </references>
      </pivotArea>
    </format>
    <format dxfId="56">
      <pivotArea dataOnly="0" labelOnly="1" fieldPosition="0">
        <references count="1">
          <reference field="20" count="1">
            <x v="6"/>
          </reference>
        </references>
      </pivotArea>
    </format>
    <format dxfId="55">
      <pivotArea outline="0" collapsedLevelsAreSubtotals="1" fieldPosition="0">
        <references count="1">
          <reference field="20" count="1" selected="0">
            <x v="7"/>
          </reference>
        </references>
      </pivotArea>
    </format>
    <format dxfId="54">
      <pivotArea dataOnly="0" labelOnly="1" fieldPosition="0">
        <references count="1">
          <reference field="20" count="1">
            <x v="7"/>
          </reference>
        </references>
      </pivotArea>
    </format>
    <format dxfId="53">
      <pivotArea grandCol="1" outline="0" collapsedLevelsAreSubtotals="1" fieldPosition="0"/>
    </format>
    <format dxfId="52">
      <pivotArea dataOnly="0" labelOnly="1" grandCol="1" outline="0" fieldPosition="0"/>
    </format>
    <format dxfId="51">
      <pivotArea type="origin" dataOnly="0" labelOnly="1" outline="0" fieldPosition="0"/>
    </format>
    <format dxfId="50">
      <pivotArea field="5" type="button" dataOnly="0" labelOnly="1" outline="0" axis="axisRow" fieldPosition="0"/>
    </format>
    <format dxfId="49">
      <pivotArea dataOnly="0" labelOnly="1" fieldPosition="0">
        <references count="1">
          <reference field="5" count="1">
            <x v="0"/>
          </reference>
        </references>
      </pivotArea>
    </format>
    <format dxfId="48">
      <pivotArea dataOnly="0" labelOnly="1" offset="IV1" fieldPosition="0">
        <references count="1">
          <reference field="20" count="1">
            <x v="8"/>
          </reference>
        </references>
      </pivotArea>
    </format>
    <format dxfId="47">
      <pivotArea outline="0" collapsedLevelsAreSubtotals="1" fieldPosition="0">
        <references count="1">
          <reference field="20" count="1" selected="0">
            <x v="8"/>
          </reference>
        </references>
      </pivotArea>
    </format>
    <format dxfId="46">
      <pivotArea type="topRight" dataOnly="0" labelOnly="1" outline="0" offset="G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6713AD9-A133-49F5-9730-53AECE7F826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5:C22" firstHeaderRow="1" firstDataRow="2" firstDataCol="1"/>
  <pivotFields count="21">
    <pivotField showAll="0"/>
    <pivotField showAll="0"/>
    <pivotField showAll="0"/>
    <pivotField showAll="0"/>
    <pivotField dataField="1" numFmtId="164" showAll="0">
      <items count="498">
        <item x="17"/>
        <item x="459"/>
        <item x="115"/>
        <item x="116"/>
        <item x="117"/>
        <item x="118"/>
        <item x="147"/>
        <item x="456"/>
        <item x="0"/>
        <item x="1"/>
        <item x="460"/>
        <item x="458"/>
        <item x="455"/>
        <item x="457"/>
        <item x="120"/>
        <item x="121"/>
        <item x="244"/>
        <item x="198"/>
        <item x="165"/>
        <item x="231"/>
        <item x="245"/>
        <item x="166"/>
        <item x="167"/>
        <item x="168"/>
        <item x="169"/>
        <item x="232"/>
        <item x="233"/>
        <item x="234"/>
        <item x="235"/>
        <item x="246"/>
        <item x="247"/>
        <item x="463"/>
        <item x="464"/>
        <item x="465"/>
        <item x="466"/>
        <item x="467"/>
        <item x="468"/>
        <item m="1" x="469"/>
        <item x="211"/>
        <item x="152"/>
        <item x="122"/>
        <item m="1" x="472"/>
        <item x="462"/>
        <item x="3"/>
        <item x="170"/>
        <item x="153"/>
        <item x="136"/>
        <item x="171"/>
        <item x="10"/>
        <item x="11"/>
        <item x="12"/>
        <item x="13"/>
        <item x="2"/>
        <item x="461"/>
        <item x="258"/>
        <item x="4"/>
        <item x="256"/>
        <item x="257"/>
        <item x="151"/>
        <item x="212"/>
        <item x="8"/>
        <item x="156"/>
        <item m="1" x="473"/>
        <item x="110"/>
        <item x="248"/>
        <item x="249"/>
        <item x="250"/>
        <item x="251"/>
        <item x="150"/>
        <item m="1" x="474"/>
        <item m="1" x="470"/>
        <item x="126"/>
        <item m="1" x="471"/>
        <item x="111"/>
        <item x="252"/>
        <item x="253"/>
        <item x="213"/>
        <item x="214"/>
        <item x="172"/>
        <item x="202"/>
        <item x="203"/>
        <item x="127"/>
        <item x="128"/>
        <item x="180"/>
        <item x="197"/>
        <item x="69"/>
        <item x="154"/>
        <item x="133"/>
        <item x="159"/>
        <item m="1" x="496"/>
        <item x="222"/>
        <item x="223"/>
        <item x="224"/>
        <item x="225"/>
        <item m="1" x="477"/>
        <item m="1" x="478"/>
        <item x="280"/>
        <item m="1" x="481"/>
        <item x="236"/>
        <item x="177"/>
        <item x="64"/>
        <item x="88"/>
        <item x="125"/>
        <item x="221"/>
        <item m="1" x="475"/>
        <item x="237"/>
        <item x="65"/>
        <item m="1" x="476"/>
        <item x="191"/>
        <item x="89"/>
        <item x="75"/>
        <item x="27"/>
        <item x="28"/>
        <item x="29"/>
        <item x="30"/>
        <item x="31"/>
        <item x="162"/>
        <item x="138"/>
        <item x="190"/>
        <item x="220"/>
        <item x="114"/>
        <item x="301"/>
        <item x="302"/>
        <item x="102"/>
        <item x="229"/>
        <item x="303"/>
        <item x="294"/>
        <item x="137"/>
        <item x="157"/>
        <item x="338"/>
        <item x="90"/>
        <item x="103"/>
        <item x="104"/>
        <item x="105"/>
        <item x="106"/>
        <item x="226"/>
        <item x="204"/>
        <item x="182"/>
        <item x="163"/>
        <item x="199"/>
        <item x="288"/>
        <item x="155"/>
        <item x="183"/>
        <item x="319"/>
        <item x="200"/>
        <item x="91"/>
        <item x="217"/>
        <item x="218"/>
        <item x="112"/>
        <item x="178"/>
        <item x="26"/>
        <item x="92"/>
        <item x="175"/>
        <item x="66"/>
        <item x="67"/>
        <item x="68"/>
        <item x="9"/>
        <item x="295"/>
        <item x="320"/>
        <item x="160"/>
        <item x="186"/>
        <item x="187"/>
        <item x="188"/>
        <item x="76"/>
        <item x="77"/>
        <item x="78"/>
        <item x="79"/>
        <item x="80"/>
        <item x="81"/>
        <item x="82"/>
        <item x="83"/>
        <item x="70"/>
        <item x="71"/>
        <item x="72"/>
        <item x="113"/>
        <item x="176"/>
        <item x="353"/>
        <item x="285"/>
        <item x="95"/>
        <item x="5"/>
        <item x="6"/>
        <item x="7"/>
        <item x="161"/>
        <item x="143"/>
        <item x="96"/>
        <item x="296"/>
        <item x="297"/>
        <item m="1" x="484"/>
        <item x="149"/>
        <item x="273"/>
        <item x="227"/>
        <item m="1" x="482"/>
        <item m="1" x="483"/>
        <item m="1" x="485"/>
        <item x="304"/>
        <item x="44"/>
        <item x="45"/>
        <item x="348"/>
        <item x="349"/>
        <item x="350"/>
        <item x="134"/>
        <item x="173"/>
        <item x="144"/>
        <item x="305"/>
        <item x="230"/>
        <item x="243"/>
        <item x="281"/>
        <item x="164"/>
        <item x="346"/>
        <item x="145"/>
        <item x="210"/>
        <item x="40"/>
        <item x="298"/>
        <item x="129"/>
        <item x="351"/>
        <item x="205"/>
        <item x="174"/>
        <item x="289"/>
        <item x="20"/>
        <item x="21"/>
        <item x="22"/>
        <item x="23"/>
        <item x="219"/>
        <item x="385"/>
        <item x="254"/>
        <item x="24"/>
        <item x="123"/>
        <item x="124"/>
        <item x="274"/>
        <item x="275"/>
        <item x="276"/>
        <item x="277"/>
        <item x="278"/>
        <item x="146"/>
        <item x="290"/>
        <item x="335"/>
        <item x="336"/>
        <item x="337"/>
        <item x="356"/>
        <item x="357"/>
        <item x="358"/>
        <item x="359"/>
        <item x="384"/>
        <item x="386"/>
        <item x="347"/>
        <item m="1" x="493"/>
        <item x="279"/>
        <item x="392"/>
        <item x="393"/>
        <item x="394"/>
        <item x="395"/>
        <item x="396"/>
        <item x="408"/>
        <item x="409"/>
        <item x="282"/>
        <item x="333"/>
        <item x="18"/>
        <item x="341"/>
        <item x="306"/>
        <item x="339"/>
        <item x="94"/>
        <item m="1" x="491"/>
        <item m="1" x="492"/>
        <item x="315"/>
        <item x="201"/>
        <item x="41"/>
        <item x="382"/>
        <item x="142"/>
        <item x="99"/>
        <item x="130"/>
        <item x="238"/>
        <item x="239"/>
        <item x="240"/>
        <item x="407"/>
        <item x="307"/>
        <item x="308"/>
        <item x="309"/>
        <item x="310"/>
        <item x="321"/>
        <item x="322"/>
        <item x="323"/>
        <item x="324"/>
        <item x="325"/>
        <item x="326"/>
        <item x="327"/>
        <item x="328"/>
        <item x="329"/>
        <item x="330"/>
        <item x="331"/>
        <item x="332"/>
        <item x="311"/>
        <item x="421"/>
        <item x="422"/>
        <item x="423"/>
        <item x="424"/>
        <item x="425"/>
        <item x="97"/>
        <item x="98"/>
        <item x="131"/>
        <item x="158"/>
        <item x="401"/>
        <item x="184"/>
        <item x="42"/>
        <item x="402"/>
        <item x="148"/>
        <item x="135"/>
        <item x="185"/>
        <item x="372"/>
        <item x="373"/>
        <item x="374"/>
        <item x="192"/>
        <item x="119"/>
        <item x="43"/>
        <item x="397"/>
        <item x="314"/>
        <item x="352"/>
        <item x="14"/>
        <item x="15"/>
        <item x="16"/>
        <item x="291"/>
        <item x="206"/>
        <item m="1" x="489"/>
        <item x="107"/>
        <item x="108"/>
        <item x="109"/>
        <item x="193"/>
        <item x="228"/>
        <item x="387"/>
        <item x="389"/>
        <item x="194"/>
        <item x="195"/>
        <item x="196"/>
        <item x="292"/>
        <item x="390"/>
        <item x="413"/>
        <item x="414"/>
        <item x="415"/>
        <item x="416"/>
        <item x="412"/>
        <item x="84"/>
        <item x="85"/>
        <item x="86"/>
        <item x="87"/>
        <item x="33"/>
        <item x="34"/>
        <item x="139"/>
        <item x="426"/>
        <item x="427"/>
        <item x="312"/>
        <item x="313"/>
        <item x="293"/>
        <item x="342"/>
        <item x="343"/>
        <item x="344"/>
        <item x="345"/>
        <item x="428"/>
        <item x="369"/>
        <item x="286"/>
        <item x="287"/>
        <item x="100"/>
        <item x="370"/>
        <item x="340"/>
        <item x="179"/>
        <item x="181"/>
        <item x="403"/>
        <item x="207"/>
        <item x="259"/>
        <item x="398"/>
        <item x="354"/>
        <item x="431"/>
        <item x="47"/>
        <item x="48"/>
        <item x="49"/>
        <item x="50"/>
        <item x="51"/>
        <item x="52"/>
        <item x="429"/>
        <item x="448"/>
        <item x="449"/>
        <item x="19"/>
        <item x="399"/>
        <item x="430"/>
        <item x="270"/>
        <item x="271"/>
        <item x="272"/>
        <item x="132"/>
        <item x="208"/>
        <item x="209"/>
        <item x="410"/>
        <item m="1" x="486"/>
        <item m="1" x="487"/>
        <item m="1" x="488"/>
        <item x="400"/>
        <item x="355"/>
        <item m="1" x="490"/>
        <item x="450"/>
        <item x="59"/>
        <item m="1" x="479"/>
        <item m="1" x="480"/>
        <item x="439"/>
        <item x="446"/>
        <item x="284"/>
        <item x="260"/>
        <item x="53"/>
        <item x="35"/>
        <item x="36"/>
        <item x="37"/>
        <item x="38"/>
        <item x="39"/>
        <item x="101"/>
        <item x="434"/>
        <item x="32"/>
        <item x="54"/>
        <item x="55"/>
        <item x="56"/>
        <item x="420"/>
        <item x="375"/>
        <item x="376"/>
        <item x="377"/>
        <item x="378"/>
        <item x="379"/>
        <item x="380"/>
        <item x="381"/>
        <item x="316"/>
        <item x="442"/>
        <item x="241"/>
        <item x="242"/>
        <item x="140"/>
        <item x="141"/>
        <item x="438"/>
        <item x="215"/>
        <item m="1" x="494"/>
        <item m="1" x="495"/>
        <item x="435"/>
        <item x="317"/>
        <item x="383"/>
        <item x="440"/>
        <item x="447"/>
        <item x="318"/>
        <item x="417"/>
        <item x="283"/>
        <item x="388"/>
        <item x="299"/>
        <item x="300"/>
        <item x="452"/>
        <item x="453"/>
        <item x="441"/>
        <item x="57"/>
        <item x="418"/>
        <item x="261"/>
        <item x="262"/>
        <item x="263"/>
        <item x="264"/>
        <item x="265"/>
        <item x="266"/>
        <item x="267"/>
        <item x="268"/>
        <item x="269"/>
        <item x="25"/>
        <item x="216"/>
        <item x="404"/>
        <item x="405"/>
        <item x="406"/>
        <item x="436"/>
        <item x="444"/>
        <item x="445"/>
        <item x="255"/>
        <item x="437"/>
        <item x="451"/>
        <item x="46"/>
        <item x="58"/>
        <item x="60"/>
        <item x="61"/>
        <item x="62"/>
        <item x="63"/>
        <item x="73"/>
        <item x="74"/>
        <item x="93"/>
        <item x="189"/>
        <item x="334"/>
        <item x="360"/>
        <item x="361"/>
        <item x="362"/>
        <item x="363"/>
        <item x="364"/>
        <item x="365"/>
        <item x="366"/>
        <item x="367"/>
        <item x="368"/>
        <item x="371"/>
        <item x="391"/>
        <item x="411"/>
        <item x="419"/>
        <item x="432"/>
        <item x="433"/>
        <item x="443"/>
        <item x="454"/>
        <item t="default"/>
      </items>
    </pivotField>
    <pivotField axis="axisRow" showAll="0">
      <items count="8">
        <item x="1"/>
        <item x="4"/>
        <item x="3"/>
        <item x="6"/>
        <item x="5"/>
        <item x="2"/>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h="1" sd="0" x="0"/>
        <item h="1" sd="0" x="1"/>
        <item h="1" sd="0" x="2"/>
        <item h="1" sd="0" x="3"/>
        <item h="1" sd="0" x="4"/>
        <item h="1" sd="0" x="5"/>
        <item h="1" sd="0" x="6"/>
        <item sd="0" x="7"/>
        <item h="1" sd="0" x="8"/>
        <item h="1" sd="0" x="9"/>
        <item h="1" sd="0" x="10"/>
        <item h="1" sd="0" x="11"/>
        <item h="1" sd="0" x="12"/>
        <item h="1" sd="0" x="13"/>
        <item t="default"/>
      </items>
    </pivotField>
  </pivotFields>
  <rowFields count="1">
    <field x="5"/>
  </rowFields>
  <rowItems count="6">
    <i>
      <x/>
    </i>
    <i>
      <x v="1"/>
    </i>
    <i>
      <x v="2"/>
    </i>
    <i>
      <x v="5"/>
    </i>
    <i>
      <x v="6"/>
    </i>
    <i t="grand">
      <x/>
    </i>
  </rowItems>
  <colFields count="1">
    <field x="20"/>
  </colFields>
  <colItems count="2">
    <i>
      <x v="7"/>
    </i>
    <i t="grand">
      <x/>
    </i>
  </colItems>
  <dataFields count="1">
    <dataField name="Count of Return Date" fld="4" subtotal="count" baseField="0" baseItem="0"/>
  </dataFields>
  <formats count="11">
    <format dxfId="96">
      <pivotArea type="all" dataOnly="0" outline="0" fieldPosition="0"/>
    </format>
    <format dxfId="95">
      <pivotArea outline="0" collapsedLevelsAreSubtotals="1" fieldPosition="0"/>
    </format>
    <format dxfId="94">
      <pivotArea type="origin" dataOnly="0" labelOnly="1" outline="0" fieldPosition="0"/>
    </format>
    <format dxfId="93">
      <pivotArea field="20" type="button" dataOnly="0" labelOnly="1" outline="0" axis="axisCol" fieldPosition="0"/>
    </format>
    <format dxfId="92">
      <pivotArea field="4" type="button" dataOnly="0" labelOnly="1" outline="0"/>
    </format>
    <format dxfId="91">
      <pivotArea type="topRight" dataOnly="0" labelOnly="1" outline="0" fieldPosition="0"/>
    </format>
    <format dxfId="90">
      <pivotArea field="5" type="button" dataOnly="0" labelOnly="1" outline="0" axis="axisRow" fieldPosition="0"/>
    </format>
    <format dxfId="89">
      <pivotArea dataOnly="0" labelOnly="1" fieldPosition="0">
        <references count="1">
          <reference field="5" count="0"/>
        </references>
      </pivotArea>
    </format>
    <format dxfId="88">
      <pivotArea dataOnly="0" labelOnly="1" grandRow="1" outline="0" fieldPosition="0"/>
    </format>
    <format dxfId="87">
      <pivotArea dataOnly="0" labelOnly="1" fieldPosition="0">
        <references count="1">
          <reference field="20" count="7">
            <x v="1"/>
            <x v="2"/>
            <x v="3"/>
            <x v="4"/>
            <x v="5"/>
            <x v="6"/>
            <x v="7"/>
          </reference>
        </references>
      </pivotArea>
    </format>
    <format dxfId="86">
      <pivotArea dataOnly="0" labelOnly="1" grandCol="1" outline="0" fieldPosition="0"/>
    </format>
  </formats>
  <chartFormats count="119">
    <chartFormat chart="0" format="0" series="1">
      <pivotArea type="data" outline="0" fieldPosition="0">
        <references count="2">
          <reference field="4294967294" count="1" selected="0">
            <x v="0"/>
          </reference>
          <reference field="20" count="1" selected="0">
            <x v="1"/>
          </reference>
        </references>
      </pivotArea>
    </chartFormat>
    <chartFormat chart="0" format="1" series="1">
      <pivotArea type="data" outline="0" fieldPosition="0">
        <references count="2">
          <reference field="4294967294" count="1" selected="0">
            <x v="0"/>
          </reference>
          <reference field="20" count="1" selected="0">
            <x v="2"/>
          </reference>
        </references>
      </pivotArea>
    </chartFormat>
    <chartFormat chart="0" format="2" series="1">
      <pivotArea type="data" outline="0" fieldPosition="0">
        <references count="2">
          <reference field="4294967294" count="1" selected="0">
            <x v="0"/>
          </reference>
          <reference field="20" count="1" selected="0">
            <x v="3"/>
          </reference>
        </references>
      </pivotArea>
    </chartFormat>
    <chartFormat chart="0" format="3" series="1">
      <pivotArea type="data" outline="0" fieldPosition="0">
        <references count="2">
          <reference field="4294967294" count="1" selected="0">
            <x v="0"/>
          </reference>
          <reference field="20" count="1" selected="0">
            <x v="4"/>
          </reference>
        </references>
      </pivotArea>
    </chartFormat>
    <chartFormat chart="0" format="4" series="1">
      <pivotArea type="data" outline="0" fieldPosition="0">
        <references count="2">
          <reference field="4294967294" count="1" selected="0">
            <x v="0"/>
          </reference>
          <reference field="20" count="1" selected="0">
            <x v="5"/>
          </reference>
        </references>
      </pivotArea>
    </chartFormat>
    <chartFormat chart="0" format="5" series="1">
      <pivotArea type="data" outline="0" fieldPosition="0">
        <references count="2">
          <reference field="4294967294" count="1" selected="0">
            <x v="0"/>
          </reference>
          <reference field="20" count="1" selected="0">
            <x v="6"/>
          </reference>
        </references>
      </pivotArea>
    </chartFormat>
    <chartFormat chart="0" format="6" series="1">
      <pivotArea type="data" outline="0" fieldPosition="0">
        <references count="2">
          <reference field="4294967294" count="1" selected="0">
            <x v="0"/>
          </reference>
          <reference field="20" count="1" selected="0">
            <x v="7"/>
          </reference>
        </references>
      </pivotArea>
    </chartFormat>
    <chartFormat chart="1" format="7" series="1">
      <pivotArea type="data" outline="0" fieldPosition="0">
        <references count="2">
          <reference field="4294967294" count="1" selected="0">
            <x v="0"/>
          </reference>
          <reference field="20" count="1" selected="0">
            <x v="1"/>
          </reference>
        </references>
      </pivotArea>
    </chartFormat>
    <chartFormat chart="1" format="8">
      <pivotArea type="data" outline="0" fieldPosition="0">
        <references count="3">
          <reference field="4294967294" count="1" selected="0">
            <x v="0"/>
          </reference>
          <reference field="5" count="1" selected="0">
            <x v="0"/>
          </reference>
          <reference field="20" count="1" selected="0">
            <x v="1"/>
          </reference>
        </references>
      </pivotArea>
    </chartFormat>
    <chartFormat chart="1" format="9">
      <pivotArea type="data" outline="0" fieldPosition="0">
        <references count="3">
          <reference field="4294967294" count="1" selected="0">
            <x v="0"/>
          </reference>
          <reference field="5" count="1" selected="0">
            <x v="1"/>
          </reference>
          <reference field="20" count="1" selected="0">
            <x v="1"/>
          </reference>
        </references>
      </pivotArea>
    </chartFormat>
    <chartFormat chart="1" format="10">
      <pivotArea type="data" outline="0" fieldPosition="0">
        <references count="3">
          <reference field="4294967294" count="1" selected="0">
            <x v="0"/>
          </reference>
          <reference field="5" count="1" selected="0">
            <x v="2"/>
          </reference>
          <reference field="20" count="1" selected="0">
            <x v="1"/>
          </reference>
        </references>
      </pivotArea>
    </chartFormat>
    <chartFormat chart="1" format="11">
      <pivotArea type="data" outline="0" fieldPosition="0">
        <references count="3">
          <reference field="4294967294" count="1" selected="0">
            <x v="0"/>
          </reference>
          <reference field="5" count="1" selected="0">
            <x v="3"/>
          </reference>
          <reference field="20" count="1" selected="0">
            <x v="1"/>
          </reference>
        </references>
      </pivotArea>
    </chartFormat>
    <chartFormat chart="1" format="12">
      <pivotArea type="data" outline="0" fieldPosition="0">
        <references count="3">
          <reference field="4294967294" count="1" selected="0">
            <x v="0"/>
          </reference>
          <reference field="5" count="1" selected="0">
            <x v="4"/>
          </reference>
          <reference field="20" count="1" selected="0">
            <x v="1"/>
          </reference>
        </references>
      </pivotArea>
    </chartFormat>
    <chartFormat chart="1" format="13">
      <pivotArea type="data" outline="0" fieldPosition="0">
        <references count="3">
          <reference field="4294967294" count="1" selected="0">
            <x v="0"/>
          </reference>
          <reference field="5" count="1" selected="0">
            <x v="5"/>
          </reference>
          <reference field="20" count="1" selected="0">
            <x v="1"/>
          </reference>
        </references>
      </pivotArea>
    </chartFormat>
    <chartFormat chart="1" format="14">
      <pivotArea type="data" outline="0" fieldPosition="0">
        <references count="3">
          <reference field="4294967294" count="1" selected="0">
            <x v="0"/>
          </reference>
          <reference field="5" count="1" selected="0">
            <x v="6"/>
          </reference>
          <reference field="20" count="1" selected="0">
            <x v="1"/>
          </reference>
        </references>
      </pivotArea>
    </chartFormat>
    <chartFormat chart="1" format="15" series="1">
      <pivotArea type="data" outline="0" fieldPosition="0">
        <references count="2">
          <reference field="4294967294" count="1" selected="0">
            <x v="0"/>
          </reference>
          <reference field="20" count="1" selected="0">
            <x v="2"/>
          </reference>
        </references>
      </pivotArea>
    </chartFormat>
    <chartFormat chart="1" format="16">
      <pivotArea type="data" outline="0" fieldPosition="0">
        <references count="3">
          <reference field="4294967294" count="1" selected="0">
            <x v="0"/>
          </reference>
          <reference field="5" count="1" selected="0">
            <x v="0"/>
          </reference>
          <reference field="20" count="1" selected="0">
            <x v="2"/>
          </reference>
        </references>
      </pivotArea>
    </chartFormat>
    <chartFormat chart="1" format="17">
      <pivotArea type="data" outline="0" fieldPosition="0">
        <references count="3">
          <reference field="4294967294" count="1" selected="0">
            <x v="0"/>
          </reference>
          <reference field="5" count="1" selected="0">
            <x v="1"/>
          </reference>
          <reference field="20" count="1" selected="0">
            <x v="2"/>
          </reference>
        </references>
      </pivotArea>
    </chartFormat>
    <chartFormat chart="1" format="18">
      <pivotArea type="data" outline="0" fieldPosition="0">
        <references count="3">
          <reference field="4294967294" count="1" selected="0">
            <x v="0"/>
          </reference>
          <reference field="5" count="1" selected="0">
            <x v="2"/>
          </reference>
          <reference field="20" count="1" selected="0">
            <x v="2"/>
          </reference>
        </references>
      </pivotArea>
    </chartFormat>
    <chartFormat chart="1" format="19">
      <pivotArea type="data" outline="0" fieldPosition="0">
        <references count="3">
          <reference field="4294967294" count="1" selected="0">
            <x v="0"/>
          </reference>
          <reference field="5" count="1" selected="0">
            <x v="3"/>
          </reference>
          <reference field="20" count="1" selected="0">
            <x v="2"/>
          </reference>
        </references>
      </pivotArea>
    </chartFormat>
    <chartFormat chart="1" format="20">
      <pivotArea type="data" outline="0" fieldPosition="0">
        <references count="3">
          <reference field="4294967294" count="1" selected="0">
            <x v="0"/>
          </reference>
          <reference field="5" count="1" selected="0">
            <x v="4"/>
          </reference>
          <reference field="20" count="1" selected="0">
            <x v="2"/>
          </reference>
        </references>
      </pivotArea>
    </chartFormat>
    <chartFormat chart="1" format="21">
      <pivotArea type="data" outline="0" fieldPosition="0">
        <references count="3">
          <reference field="4294967294" count="1" selected="0">
            <x v="0"/>
          </reference>
          <reference field="5" count="1" selected="0">
            <x v="5"/>
          </reference>
          <reference field="20" count="1" selected="0">
            <x v="2"/>
          </reference>
        </references>
      </pivotArea>
    </chartFormat>
    <chartFormat chart="1" format="22">
      <pivotArea type="data" outline="0" fieldPosition="0">
        <references count="3">
          <reference field="4294967294" count="1" selected="0">
            <x v="0"/>
          </reference>
          <reference field="5" count="1" selected="0">
            <x v="6"/>
          </reference>
          <reference field="20" count="1" selected="0">
            <x v="2"/>
          </reference>
        </references>
      </pivotArea>
    </chartFormat>
    <chartFormat chart="1" format="23" series="1">
      <pivotArea type="data" outline="0" fieldPosition="0">
        <references count="2">
          <reference field="4294967294" count="1" selected="0">
            <x v="0"/>
          </reference>
          <reference field="20" count="1" selected="0">
            <x v="3"/>
          </reference>
        </references>
      </pivotArea>
    </chartFormat>
    <chartFormat chart="1" format="24">
      <pivotArea type="data" outline="0" fieldPosition="0">
        <references count="3">
          <reference field="4294967294" count="1" selected="0">
            <x v="0"/>
          </reference>
          <reference field="5" count="1" selected="0">
            <x v="0"/>
          </reference>
          <reference field="20" count="1" selected="0">
            <x v="3"/>
          </reference>
        </references>
      </pivotArea>
    </chartFormat>
    <chartFormat chart="1" format="25">
      <pivotArea type="data" outline="0" fieldPosition="0">
        <references count="3">
          <reference field="4294967294" count="1" selected="0">
            <x v="0"/>
          </reference>
          <reference field="5" count="1" selected="0">
            <x v="1"/>
          </reference>
          <reference field="20" count="1" selected="0">
            <x v="3"/>
          </reference>
        </references>
      </pivotArea>
    </chartFormat>
    <chartFormat chart="1" format="26">
      <pivotArea type="data" outline="0" fieldPosition="0">
        <references count="3">
          <reference field="4294967294" count="1" selected="0">
            <x v="0"/>
          </reference>
          <reference field="5" count="1" selected="0">
            <x v="2"/>
          </reference>
          <reference field="20" count="1" selected="0">
            <x v="3"/>
          </reference>
        </references>
      </pivotArea>
    </chartFormat>
    <chartFormat chart="1" format="27">
      <pivotArea type="data" outline="0" fieldPosition="0">
        <references count="3">
          <reference field="4294967294" count="1" selected="0">
            <x v="0"/>
          </reference>
          <reference field="5" count="1" selected="0">
            <x v="3"/>
          </reference>
          <reference field="20" count="1" selected="0">
            <x v="3"/>
          </reference>
        </references>
      </pivotArea>
    </chartFormat>
    <chartFormat chart="1" format="28">
      <pivotArea type="data" outline="0" fieldPosition="0">
        <references count="3">
          <reference field="4294967294" count="1" selected="0">
            <x v="0"/>
          </reference>
          <reference field="5" count="1" selected="0">
            <x v="4"/>
          </reference>
          <reference field="20" count="1" selected="0">
            <x v="3"/>
          </reference>
        </references>
      </pivotArea>
    </chartFormat>
    <chartFormat chart="1" format="29">
      <pivotArea type="data" outline="0" fieldPosition="0">
        <references count="3">
          <reference field="4294967294" count="1" selected="0">
            <x v="0"/>
          </reference>
          <reference field="5" count="1" selected="0">
            <x v="5"/>
          </reference>
          <reference field="20" count="1" selected="0">
            <x v="3"/>
          </reference>
        </references>
      </pivotArea>
    </chartFormat>
    <chartFormat chart="1" format="30">
      <pivotArea type="data" outline="0" fieldPosition="0">
        <references count="3">
          <reference field="4294967294" count="1" selected="0">
            <x v="0"/>
          </reference>
          <reference field="5" count="1" selected="0">
            <x v="6"/>
          </reference>
          <reference field="20" count="1" selected="0">
            <x v="3"/>
          </reference>
        </references>
      </pivotArea>
    </chartFormat>
    <chartFormat chart="1" format="31" series="1">
      <pivotArea type="data" outline="0" fieldPosition="0">
        <references count="2">
          <reference field="4294967294" count="1" selected="0">
            <x v="0"/>
          </reference>
          <reference field="20" count="1" selected="0">
            <x v="4"/>
          </reference>
        </references>
      </pivotArea>
    </chartFormat>
    <chartFormat chart="1" format="32">
      <pivotArea type="data" outline="0" fieldPosition="0">
        <references count="3">
          <reference field="4294967294" count="1" selected="0">
            <x v="0"/>
          </reference>
          <reference field="5" count="1" selected="0">
            <x v="0"/>
          </reference>
          <reference field="20" count="1" selected="0">
            <x v="4"/>
          </reference>
        </references>
      </pivotArea>
    </chartFormat>
    <chartFormat chart="1" format="33">
      <pivotArea type="data" outline="0" fieldPosition="0">
        <references count="3">
          <reference field="4294967294" count="1" selected="0">
            <x v="0"/>
          </reference>
          <reference field="5" count="1" selected="0">
            <x v="1"/>
          </reference>
          <reference field="20" count="1" selected="0">
            <x v="4"/>
          </reference>
        </references>
      </pivotArea>
    </chartFormat>
    <chartFormat chart="1" format="34">
      <pivotArea type="data" outline="0" fieldPosition="0">
        <references count="3">
          <reference field="4294967294" count="1" selected="0">
            <x v="0"/>
          </reference>
          <reference field="5" count="1" selected="0">
            <x v="2"/>
          </reference>
          <reference field="20" count="1" selected="0">
            <x v="4"/>
          </reference>
        </references>
      </pivotArea>
    </chartFormat>
    <chartFormat chart="1" format="35">
      <pivotArea type="data" outline="0" fieldPosition="0">
        <references count="3">
          <reference field="4294967294" count="1" selected="0">
            <x v="0"/>
          </reference>
          <reference field="5" count="1" selected="0">
            <x v="3"/>
          </reference>
          <reference field="20" count="1" selected="0">
            <x v="4"/>
          </reference>
        </references>
      </pivotArea>
    </chartFormat>
    <chartFormat chart="1" format="36">
      <pivotArea type="data" outline="0" fieldPosition="0">
        <references count="3">
          <reference field="4294967294" count="1" selected="0">
            <x v="0"/>
          </reference>
          <reference field="5" count="1" selected="0">
            <x v="4"/>
          </reference>
          <reference field="20" count="1" selected="0">
            <x v="4"/>
          </reference>
        </references>
      </pivotArea>
    </chartFormat>
    <chartFormat chart="1" format="37">
      <pivotArea type="data" outline="0" fieldPosition="0">
        <references count="3">
          <reference field="4294967294" count="1" selected="0">
            <x v="0"/>
          </reference>
          <reference field="5" count="1" selected="0">
            <x v="5"/>
          </reference>
          <reference field="20" count="1" selected="0">
            <x v="4"/>
          </reference>
        </references>
      </pivotArea>
    </chartFormat>
    <chartFormat chart="1" format="38">
      <pivotArea type="data" outline="0" fieldPosition="0">
        <references count="3">
          <reference field="4294967294" count="1" selected="0">
            <x v="0"/>
          </reference>
          <reference field="5" count="1" selected="0">
            <x v="6"/>
          </reference>
          <reference field="20" count="1" selected="0">
            <x v="4"/>
          </reference>
        </references>
      </pivotArea>
    </chartFormat>
    <chartFormat chart="1" format="39" series="1">
      <pivotArea type="data" outline="0" fieldPosition="0">
        <references count="2">
          <reference field="4294967294" count="1" selected="0">
            <x v="0"/>
          </reference>
          <reference field="20" count="1" selected="0">
            <x v="5"/>
          </reference>
        </references>
      </pivotArea>
    </chartFormat>
    <chartFormat chart="1" format="40">
      <pivotArea type="data" outline="0" fieldPosition="0">
        <references count="3">
          <reference field="4294967294" count="1" selected="0">
            <x v="0"/>
          </reference>
          <reference field="5" count="1" selected="0">
            <x v="0"/>
          </reference>
          <reference field="20" count="1" selected="0">
            <x v="5"/>
          </reference>
        </references>
      </pivotArea>
    </chartFormat>
    <chartFormat chart="1" format="41">
      <pivotArea type="data" outline="0" fieldPosition="0">
        <references count="3">
          <reference field="4294967294" count="1" selected="0">
            <x v="0"/>
          </reference>
          <reference field="5" count="1" selected="0">
            <x v="1"/>
          </reference>
          <reference field="20" count="1" selected="0">
            <x v="5"/>
          </reference>
        </references>
      </pivotArea>
    </chartFormat>
    <chartFormat chart="1" format="42">
      <pivotArea type="data" outline="0" fieldPosition="0">
        <references count="3">
          <reference field="4294967294" count="1" selected="0">
            <x v="0"/>
          </reference>
          <reference field="5" count="1" selected="0">
            <x v="2"/>
          </reference>
          <reference field="20" count="1" selected="0">
            <x v="5"/>
          </reference>
        </references>
      </pivotArea>
    </chartFormat>
    <chartFormat chart="1" format="43">
      <pivotArea type="data" outline="0" fieldPosition="0">
        <references count="3">
          <reference field="4294967294" count="1" selected="0">
            <x v="0"/>
          </reference>
          <reference field="5" count="1" selected="0">
            <x v="3"/>
          </reference>
          <reference field="20" count="1" selected="0">
            <x v="5"/>
          </reference>
        </references>
      </pivotArea>
    </chartFormat>
    <chartFormat chart="1" format="44">
      <pivotArea type="data" outline="0" fieldPosition="0">
        <references count="3">
          <reference field="4294967294" count="1" selected="0">
            <x v="0"/>
          </reference>
          <reference field="5" count="1" selected="0">
            <x v="4"/>
          </reference>
          <reference field="20" count="1" selected="0">
            <x v="5"/>
          </reference>
        </references>
      </pivotArea>
    </chartFormat>
    <chartFormat chart="1" format="45">
      <pivotArea type="data" outline="0" fieldPosition="0">
        <references count="3">
          <reference field="4294967294" count="1" selected="0">
            <x v="0"/>
          </reference>
          <reference field="5" count="1" selected="0">
            <x v="5"/>
          </reference>
          <reference field="20" count="1" selected="0">
            <x v="5"/>
          </reference>
        </references>
      </pivotArea>
    </chartFormat>
    <chartFormat chart="1" format="46">
      <pivotArea type="data" outline="0" fieldPosition="0">
        <references count="3">
          <reference field="4294967294" count="1" selected="0">
            <x v="0"/>
          </reference>
          <reference field="5" count="1" selected="0">
            <x v="6"/>
          </reference>
          <reference field="20" count="1" selected="0">
            <x v="5"/>
          </reference>
        </references>
      </pivotArea>
    </chartFormat>
    <chartFormat chart="1" format="47" series="1">
      <pivotArea type="data" outline="0" fieldPosition="0">
        <references count="2">
          <reference field="4294967294" count="1" selected="0">
            <x v="0"/>
          </reference>
          <reference field="20" count="1" selected="0">
            <x v="6"/>
          </reference>
        </references>
      </pivotArea>
    </chartFormat>
    <chartFormat chart="1" format="48">
      <pivotArea type="data" outline="0" fieldPosition="0">
        <references count="3">
          <reference field="4294967294" count="1" selected="0">
            <x v="0"/>
          </reference>
          <reference field="5" count="1" selected="0">
            <x v="0"/>
          </reference>
          <reference field="20" count="1" selected="0">
            <x v="6"/>
          </reference>
        </references>
      </pivotArea>
    </chartFormat>
    <chartFormat chart="1" format="49">
      <pivotArea type="data" outline="0" fieldPosition="0">
        <references count="3">
          <reference field="4294967294" count="1" selected="0">
            <x v="0"/>
          </reference>
          <reference field="5" count="1" selected="0">
            <x v="1"/>
          </reference>
          <reference field="20" count="1" selected="0">
            <x v="6"/>
          </reference>
        </references>
      </pivotArea>
    </chartFormat>
    <chartFormat chart="1" format="50">
      <pivotArea type="data" outline="0" fieldPosition="0">
        <references count="3">
          <reference field="4294967294" count="1" selected="0">
            <x v="0"/>
          </reference>
          <reference field="5" count="1" selected="0">
            <x v="2"/>
          </reference>
          <reference field="20" count="1" selected="0">
            <x v="6"/>
          </reference>
        </references>
      </pivotArea>
    </chartFormat>
    <chartFormat chart="1" format="51">
      <pivotArea type="data" outline="0" fieldPosition="0">
        <references count="3">
          <reference field="4294967294" count="1" selected="0">
            <x v="0"/>
          </reference>
          <reference field="5" count="1" selected="0">
            <x v="3"/>
          </reference>
          <reference field="20" count="1" selected="0">
            <x v="6"/>
          </reference>
        </references>
      </pivotArea>
    </chartFormat>
    <chartFormat chart="1" format="52">
      <pivotArea type="data" outline="0" fieldPosition="0">
        <references count="3">
          <reference field="4294967294" count="1" selected="0">
            <x v="0"/>
          </reference>
          <reference field="5" count="1" selected="0">
            <x v="4"/>
          </reference>
          <reference field="20" count="1" selected="0">
            <x v="6"/>
          </reference>
        </references>
      </pivotArea>
    </chartFormat>
    <chartFormat chart="1" format="53">
      <pivotArea type="data" outline="0" fieldPosition="0">
        <references count="3">
          <reference field="4294967294" count="1" selected="0">
            <x v="0"/>
          </reference>
          <reference field="5" count="1" selected="0">
            <x v="5"/>
          </reference>
          <reference field="20" count="1" selected="0">
            <x v="6"/>
          </reference>
        </references>
      </pivotArea>
    </chartFormat>
    <chartFormat chart="1" format="54">
      <pivotArea type="data" outline="0" fieldPosition="0">
        <references count="3">
          <reference field="4294967294" count="1" selected="0">
            <x v="0"/>
          </reference>
          <reference field="5" count="1" selected="0">
            <x v="6"/>
          </reference>
          <reference field="20" count="1" selected="0">
            <x v="6"/>
          </reference>
        </references>
      </pivotArea>
    </chartFormat>
    <chartFormat chart="1" format="55" series="1">
      <pivotArea type="data" outline="0" fieldPosition="0">
        <references count="2">
          <reference field="4294967294" count="1" selected="0">
            <x v="0"/>
          </reference>
          <reference field="20" count="1" selected="0">
            <x v="7"/>
          </reference>
        </references>
      </pivotArea>
    </chartFormat>
    <chartFormat chart="1" format="56">
      <pivotArea type="data" outline="0" fieldPosition="0">
        <references count="3">
          <reference field="4294967294" count="1" selected="0">
            <x v="0"/>
          </reference>
          <reference field="5" count="1" selected="0">
            <x v="0"/>
          </reference>
          <reference field="20" count="1" selected="0">
            <x v="7"/>
          </reference>
        </references>
      </pivotArea>
    </chartFormat>
    <chartFormat chart="1" format="57">
      <pivotArea type="data" outline="0" fieldPosition="0">
        <references count="3">
          <reference field="4294967294" count="1" selected="0">
            <x v="0"/>
          </reference>
          <reference field="5" count="1" selected="0">
            <x v="1"/>
          </reference>
          <reference field="20" count="1" selected="0">
            <x v="7"/>
          </reference>
        </references>
      </pivotArea>
    </chartFormat>
    <chartFormat chart="1" format="58">
      <pivotArea type="data" outline="0" fieldPosition="0">
        <references count="3">
          <reference field="4294967294" count="1" selected="0">
            <x v="0"/>
          </reference>
          <reference field="5" count="1" selected="0">
            <x v="2"/>
          </reference>
          <reference field="20" count="1" selected="0">
            <x v="7"/>
          </reference>
        </references>
      </pivotArea>
    </chartFormat>
    <chartFormat chart="1" format="59">
      <pivotArea type="data" outline="0" fieldPosition="0">
        <references count="3">
          <reference field="4294967294" count="1" selected="0">
            <x v="0"/>
          </reference>
          <reference field="5" count="1" selected="0">
            <x v="3"/>
          </reference>
          <reference field="20" count="1" selected="0">
            <x v="7"/>
          </reference>
        </references>
      </pivotArea>
    </chartFormat>
    <chartFormat chart="1" format="60">
      <pivotArea type="data" outline="0" fieldPosition="0">
        <references count="3">
          <reference field="4294967294" count="1" selected="0">
            <x v="0"/>
          </reference>
          <reference field="5" count="1" selected="0">
            <x v="4"/>
          </reference>
          <reference field="20" count="1" selected="0">
            <x v="7"/>
          </reference>
        </references>
      </pivotArea>
    </chartFormat>
    <chartFormat chart="1" format="61">
      <pivotArea type="data" outline="0" fieldPosition="0">
        <references count="3">
          <reference field="4294967294" count="1" selected="0">
            <x v="0"/>
          </reference>
          <reference field="5" count="1" selected="0">
            <x v="5"/>
          </reference>
          <reference field="20" count="1" selected="0">
            <x v="7"/>
          </reference>
        </references>
      </pivotArea>
    </chartFormat>
    <chartFormat chart="1" format="62">
      <pivotArea type="data" outline="0" fieldPosition="0">
        <references count="3">
          <reference field="4294967294" count="1" selected="0">
            <x v="0"/>
          </reference>
          <reference field="5" count="1" selected="0">
            <x v="6"/>
          </reference>
          <reference field="20" count="1" selected="0">
            <x v="7"/>
          </reference>
        </references>
      </pivotArea>
    </chartFormat>
    <chartFormat chart="3" format="63" series="1">
      <pivotArea type="data" outline="0" fieldPosition="0">
        <references count="2">
          <reference field="4294967294" count="1" selected="0">
            <x v="0"/>
          </reference>
          <reference field="20" count="1" selected="0">
            <x v="1"/>
          </reference>
        </references>
      </pivotArea>
    </chartFormat>
    <chartFormat chart="3" format="64">
      <pivotArea type="data" outline="0" fieldPosition="0">
        <references count="3">
          <reference field="4294967294" count="1" selected="0">
            <x v="0"/>
          </reference>
          <reference field="5" count="1" selected="0">
            <x v="0"/>
          </reference>
          <reference field="20" count="1" selected="0">
            <x v="1"/>
          </reference>
        </references>
      </pivotArea>
    </chartFormat>
    <chartFormat chart="3" format="65">
      <pivotArea type="data" outline="0" fieldPosition="0">
        <references count="3">
          <reference field="4294967294" count="1" selected="0">
            <x v="0"/>
          </reference>
          <reference field="5" count="1" selected="0">
            <x v="1"/>
          </reference>
          <reference field="20" count="1" selected="0">
            <x v="1"/>
          </reference>
        </references>
      </pivotArea>
    </chartFormat>
    <chartFormat chart="3" format="66">
      <pivotArea type="data" outline="0" fieldPosition="0">
        <references count="3">
          <reference field="4294967294" count="1" selected="0">
            <x v="0"/>
          </reference>
          <reference field="5" count="1" selected="0">
            <x v="2"/>
          </reference>
          <reference field="20" count="1" selected="0">
            <x v="1"/>
          </reference>
        </references>
      </pivotArea>
    </chartFormat>
    <chartFormat chart="3" format="67">
      <pivotArea type="data" outline="0" fieldPosition="0">
        <references count="3">
          <reference field="4294967294" count="1" selected="0">
            <x v="0"/>
          </reference>
          <reference field="5" count="1" selected="0">
            <x v="3"/>
          </reference>
          <reference field="20" count="1" selected="0">
            <x v="1"/>
          </reference>
        </references>
      </pivotArea>
    </chartFormat>
    <chartFormat chart="3" format="68">
      <pivotArea type="data" outline="0" fieldPosition="0">
        <references count="3">
          <reference field="4294967294" count="1" selected="0">
            <x v="0"/>
          </reference>
          <reference field="5" count="1" selected="0">
            <x v="4"/>
          </reference>
          <reference field="20" count="1" selected="0">
            <x v="1"/>
          </reference>
        </references>
      </pivotArea>
    </chartFormat>
    <chartFormat chart="3" format="69">
      <pivotArea type="data" outline="0" fieldPosition="0">
        <references count="3">
          <reference field="4294967294" count="1" selected="0">
            <x v="0"/>
          </reference>
          <reference field="5" count="1" selected="0">
            <x v="5"/>
          </reference>
          <reference field="20" count="1" selected="0">
            <x v="1"/>
          </reference>
        </references>
      </pivotArea>
    </chartFormat>
    <chartFormat chart="3" format="70">
      <pivotArea type="data" outline="0" fieldPosition="0">
        <references count="3">
          <reference field="4294967294" count="1" selected="0">
            <x v="0"/>
          </reference>
          <reference field="5" count="1" selected="0">
            <x v="6"/>
          </reference>
          <reference field="20" count="1" selected="0">
            <x v="1"/>
          </reference>
        </references>
      </pivotArea>
    </chartFormat>
    <chartFormat chart="3" format="71" series="1">
      <pivotArea type="data" outline="0" fieldPosition="0">
        <references count="2">
          <reference field="4294967294" count="1" selected="0">
            <x v="0"/>
          </reference>
          <reference field="20" count="1" selected="0">
            <x v="2"/>
          </reference>
        </references>
      </pivotArea>
    </chartFormat>
    <chartFormat chart="3" format="72">
      <pivotArea type="data" outline="0" fieldPosition="0">
        <references count="3">
          <reference field="4294967294" count="1" selected="0">
            <x v="0"/>
          </reference>
          <reference field="5" count="1" selected="0">
            <x v="0"/>
          </reference>
          <reference field="20" count="1" selected="0">
            <x v="2"/>
          </reference>
        </references>
      </pivotArea>
    </chartFormat>
    <chartFormat chart="3" format="73">
      <pivotArea type="data" outline="0" fieldPosition="0">
        <references count="3">
          <reference field="4294967294" count="1" selected="0">
            <x v="0"/>
          </reference>
          <reference field="5" count="1" selected="0">
            <x v="1"/>
          </reference>
          <reference field="20" count="1" selected="0">
            <x v="2"/>
          </reference>
        </references>
      </pivotArea>
    </chartFormat>
    <chartFormat chart="3" format="74">
      <pivotArea type="data" outline="0" fieldPosition="0">
        <references count="3">
          <reference field="4294967294" count="1" selected="0">
            <x v="0"/>
          </reference>
          <reference field="5" count="1" selected="0">
            <x v="2"/>
          </reference>
          <reference field="20" count="1" selected="0">
            <x v="2"/>
          </reference>
        </references>
      </pivotArea>
    </chartFormat>
    <chartFormat chart="3" format="75">
      <pivotArea type="data" outline="0" fieldPosition="0">
        <references count="3">
          <reference field="4294967294" count="1" selected="0">
            <x v="0"/>
          </reference>
          <reference field="5" count="1" selected="0">
            <x v="3"/>
          </reference>
          <reference field="20" count="1" selected="0">
            <x v="2"/>
          </reference>
        </references>
      </pivotArea>
    </chartFormat>
    <chartFormat chart="3" format="76">
      <pivotArea type="data" outline="0" fieldPosition="0">
        <references count="3">
          <reference field="4294967294" count="1" selected="0">
            <x v="0"/>
          </reference>
          <reference field="5" count="1" selected="0">
            <x v="4"/>
          </reference>
          <reference field="20" count="1" selected="0">
            <x v="2"/>
          </reference>
        </references>
      </pivotArea>
    </chartFormat>
    <chartFormat chart="3" format="77">
      <pivotArea type="data" outline="0" fieldPosition="0">
        <references count="3">
          <reference field="4294967294" count="1" selected="0">
            <x v="0"/>
          </reference>
          <reference field="5" count="1" selected="0">
            <x v="5"/>
          </reference>
          <reference field="20" count="1" selected="0">
            <x v="2"/>
          </reference>
        </references>
      </pivotArea>
    </chartFormat>
    <chartFormat chart="3" format="78">
      <pivotArea type="data" outline="0" fieldPosition="0">
        <references count="3">
          <reference field="4294967294" count="1" selected="0">
            <x v="0"/>
          </reference>
          <reference field="5" count="1" selected="0">
            <x v="6"/>
          </reference>
          <reference field="20" count="1" selected="0">
            <x v="2"/>
          </reference>
        </references>
      </pivotArea>
    </chartFormat>
    <chartFormat chart="3" format="79" series="1">
      <pivotArea type="data" outline="0" fieldPosition="0">
        <references count="2">
          <reference field="4294967294" count="1" selected="0">
            <x v="0"/>
          </reference>
          <reference field="20" count="1" selected="0">
            <x v="3"/>
          </reference>
        </references>
      </pivotArea>
    </chartFormat>
    <chartFormat chart="3" format="80">
      <pivotArea type="data" outline="0" fieldPosition="0">
        <references count="3">
          <reference field="4294967294" count="1" selected="0">
            <x v="0"/>
          </reference>
          <reference field="5" count="1" selected="0">
            <x v="0"/>
          </reference>
          <reference field="20" count="1" selected="0">
            <x v="3"/>
          </reference>
        </references>
      </pivotArea>
    </chartFormat>
    <chartFormat chart="3" format="81">
      <pivotArea type="data" outline="0" fieldPosition="0">
        <references count="3">
          <reference field="4294967294" count="1" selected="0">
            <x v="0"/>
          </reference>
          <reference field="5" count="1" selected="0">
            <x v="1"/>
          </reference>
          <reference field="20" count="1" selected="0">
            <x v="3"/>
          </reference>
        </references>
      </pivotArea>
    </chartFormat>
    <chartFormat chart="3" format="82">
      <pivotArea type="data" outline="0" fieldPosition="0">
        <references count="3">
          <reference field="4294967294" count="1" selected="0">
            <x v="0"/>
          </reference>
          <reference field="5" count="1" selected="0">
            <x v="2"/>
          </reference>
          <reference field="20" count="1" selected="0">
            <x v="3"/>
          </reference>
        </references>
      </pivotArea>
    </chartFormat>
    <chartFormat chart="3" format="83">
      <pivotArea type="data" outline="0" fieldPosition="0">
        <references count="3">
          <reference field="4294967294" count="1" selected="0">
            <x v="0"/>
          </reference>
          <reference field="5" count="1" selected="0">
            <x v="3"/>
          </reference>
          <reference field="20" count="1" selected="0">
            <x v="3"/>
          </reference>
        </references>
      </pivotArea>
    </chartFormat>
    <chartFormat chart="3" format="84">
      <pivotArea type="data" outline="0" fieldPosition="0">
        <references count="3">
          <reference field="4294967294" count="1" selected="0">
            <x v="0"/>
          </reference>
          <reference field="5" count="1" selected="0">
            <x v="4"/>
          </reference>
          <reference field="20" count="1" selected="0">
            <x v="3"/>
          </reference>
        </references>
      </pivotArea>
    </chartFormat>
    <chartFormat chart="3" format="85">
      <pivotArea type="data" outline="0" fieldPosition="0">
        <references count="3">
          <reference field="4294967294" count="1" selected="0">
            <x v="0"/>
          </reference>
          <reference field="5" count="1" selected="0">
            <x v="5"/>
          </reference>
          <reference field="20" count="1" selected="0">
            <x v="3"/>
          </reference>
        </references>
      </pivotArea>
    </chartFormat>
    <chartFormat chart="3" format="86">
      <pivotArea type="data" outline="0" fieldPosition="0">
        <references count="3">
          <reference field="4294967294" count="1" selected="0">
            <x v="0"/>
          </reference>
          <reference field="5" count="1" selected="0">
            <x v="6"/>
          </reference>
          <reference field="20" count="1" selected="0">
            <x v="3"/>
          </reference>
        </references>
      </pivotArea>
    </chartFormat>
    <chartFormat chart="3" format="87" series="1">
      <pivotArea type="data" outline="0" fieldPosition="0">
        <references count="2">
          <reference field="4294967294" count="1" selected="0">
            <x v="0"/>
          </reference>
          <reference field="20" count="1" selected="0">
            <x v="4"/>
          </reference>
        </references>
      </pivotArea>
    </chartFormat>
    <chartFormat chart="3" format="88">
      <pivotArea type="data" outline="0" fieldPosition="0">
        <references count="3">
          <reference field="4294967294" count="1" selected="0">
            <x v="0"/>
          </reference>
          <reference field="5" count="1" selected="0">
            <x v="0"/>
          </reference>
          <reference field="20" count="1" selected="0">
            <x v="4"/>
          </reference>
        </references>
      </pivotArea>
    </chartFormat>
    <chartFormat chart="3" format="89">
      <pivotArea type="data" outline="0" fieldPosition="0">
        <references count="3">
          <reference field="4294967294" count="1" selected="0">
            <x v="0"/>
          </reference>
          <reference field="5" count="1" selected="0">
            <x v="1"/>
          </reference>
          <reference field="20" count="1" selected="0">
            <x v="4"/>
          </reference>
        </references>
      </pivotArea>
    </chartFormat>
    <chartFormat chart="3" format="90">
      <pivotArea type="data" outline="0" fieldPosition="0">
        <references count="3">
          <reference field="4294967294" count="1" selected="0">
            <x v="0"/>
          </reference>
          <reference field="5" count="1" selected="0">
            <x v="2"/>
          </reference>
          <reference field="20" count="1" selected="0">
            <x v="4"/>
          </reference>
        </references>
      </pivotArea>
    </chartFormat>
    <chartFormat chart="3" format="91">
      <pivotArea type="data" outline="0" fieldPosition="0">
        <references count="3">
          <reference field="4294967294" count="1" selected="0">
            <x v="0"/>
          </reference>
          <reference field="5" count="1" selected="0">
            <x v="3"/>
          </reference>
          <reference field="20" count="1" selected="0">
            <x v="4"/>
          </reference>
        </references>
      </pivotArea>
    </chartFormat>
    <chartFormat chart="3" format="92">
      <pivotArea type="data" outline="0" fieldPosition="0">
        <references count="3">
          <reference field="4294967294" count="1" selected="0">
            <x v="0"/>
          </reference>
          <reference field="5" count="1" selected="0">
            <x v="4"/>
          </reference>
          <reference field="20" count="1" selected="0">
            <x v="4"/>
          </reference>
        </references>
      </pivotArea>
    </chartFormat>
    <chartFormat chart="3" format="93">
      <pivotArea type="data" outline="0" fieldPosition="0">
        <references count="3">
          <reference field="4294967294" count="1" selected="0">
            <x v="0"/>
          </reference>
          <reference field="5" count="1" selected="0">
            <x v="5"/>
          </reference>
          <reference field="20" count="1" selected="0">
            <x v="4"/>
          </reference>
        </references>
      </pivotArea>
    </chartFormat>
    <chartFormat chart="3" format="94">
      <pivotArea type="data" outline="0" fieldPosition="0">
        <references count="3">
          <reference field="4294967294" count="1" selected="0">
            <x v="0"/>
          </reference>
          <reference field="5" count="1" selected="0">
            <x v="6"/>
          </reference>
          <reference field="20" count="1" selected="0">
            <x v="4"/>
          </reference>
        </references>
      </pivotArea>
    </chartFormat>
    <chartFormat chart="3" format="95" series="1">
      <pivotArea type="data" outline="0" fieldPosition="0">
        <references count="2">
          <reference field="4294967294" count="1" selected="0">
            <x v="0"/>
          </reference>
          <reference field="20" count="1" selected="0">
            <x v="5"/>
          </reference>
        </references>
      </pivotArea>
    </chartFormat>
    <chartFormat chart="3" format="96">
      <pivotArea type="data" outline="0" fieldPosition="0">
        <references count="3">
          <reference field="4294967294" count="1" selected="0">
            <x v="0"/>
          </reference>
          <reference field="5" count="1" selected="0">
            <x v="0"/>
          </reference>
          <reference field="20" count="1" selected="0">
            <x v="5"/>
          </reference>
        </references>
      </pivotArea>
    </chartFormat>
    <chartFormat chart="3" format="97">
      <pivotArea type="data" outline="0" fieldPosition="0">
        <references count="3">
          <reference field="4294967294" count="1" selected="0">
            <x v="0"/>
          </reference>
          <reference field="5" count="1" selected="0">
            <x v="1"/>
          </reference>
          <reference field="20" count="1" selected="0">
            <x v="5"/>
          </reference>
        </references>
      </pivotArea>
    </chartFormat>
    <chartFormat chart="3" format="98">
      <pivotArea type="data" outline="0" fieldPosition="0">
        <references count="3">
          <reference field="4294967294" count="1" selected="0">
            <x v="0"/>
          </reference>
          <reference field="5" count="1" selected="0">
            <x v="2"/>
          </reference>
          <reference field="20" count="1" selected="0">
            <x v="5"/>
          </reference>
        </references>
      </pivotArea>
    </chartFormat>
    <chartFormat chart="3" format="99">
      <pivotArea type="data" outline="0" fieldPosition="0">
        <references count="3">
          <reference field="4294967294" count="1" selected="0">
            <x v="0"/>
          </reference>
          <reference field="5" count="1" selected="0">
            <x v="3"/>
          </reference>
          <reference field="20" count="1" selected="0">
            <x v="5"/>
          </reference>
        </references>
      </pivotArea>
    </chartFormat>
    <chartFormat chart="3" format="100">
      <pivotArea type="data" outline="0" fieldPosition="0">
        <references count="3">
          <reference field="4294967294" count="1" selected="0">
            <x v="0"/>
          </reference>
          <reference field="5" count="1" selected="0">
            <x v="4"/>
          </reference>
          <reference field="20" count="1" selected="0">
            <x v="5"/>
          </reference>
        </references>
      </pivotArea>
    </chartFormat>
    <chartFormat chart="3" format="101">
      <pivotArea type="data" outline="0" fieldPosition="0">
        <references count="3">
          <reference field="4294967294" count="1" selected="0">
            <x v="0"/>
          </reference>
          <reference field="5" count="1" selected="0">
            <x v="5"/>
          </reference>
          <reference field="20" count="1" selected="0">
            <x v="5"/>
          </reference>
        </references>
      </pivotArea>
    </chartFormat>
    <chartFormat chart="3" format="102">
      <pivotArea type="data" outline="0" fieldPosition="0">
        <references count="3">
          <reference field="4294967294" count="1" selected="0">
            <x v="0"/>
          </reference>
          <reference field="5" count="1" selected="0">
            <x v="6"/>
          </reference>
          <reference field="20" count="1" selected="0">
            <x v="5"/>
          </reference>
        </references>
      </pivotArea>
    </chartFormat>
    <chartFormat chart="3" format="103" series="1">
      <pivotArea type="data" outline="0" fieldPosition="0">
        <references count="2">
          <reference field="4294967294" count="1" selected="0">
            <x v="0"/>
          </reference>
          <reference field="20" count="1" selected="0">
            <x v="6"/>
          </reference>
        </references>
      </pivotArea>
    </chartFormat>
    <chartFormat chart="3" format="104">
      <pivotArea type="data" outline="0" fieldPosition="0">
        <references count="3">
          <reference field="4294967294" count="1" selected="0">
            <x v="0"/>
          </reference>
          <reference field="5" count="1" selected="0">
            <x v="0"/>
          </reference>
          <reference field="20" count="1" selected="0">
            <x v="6"/>
          </reference>
        </references>
      </pivotArea>
    </chartFormat>
    <chartFormat chart="3" format="105">
      <pivotArea type="data" outline="0" fieldPosition="0">
        <references count="3">
          <reference field="4294967294" count="1" selected="0">
            <x v="0"/>
          </reference>
          <reference field="5" count="1" selected="0">
            <x v="1"/>
          </reference>
          <reference field="20" count="1" selected="0">
            <x v="6"/>
          </reference>
        </references>
      </pivotArea>
    </chartFormat>
    <chartFormat chart="3" format="106">
      <pivotArea type="data" outline="0" fieldPosition="0">
        <references count="3">
          <reference field="4294967294" count="1" selected="0">
            <x v="0"/>
          </reference>
          <reference field="5" count="1" selected="0">
            <x v="2"/>
          </reference>
          <reference field="20" count="1" selected="0">
            <x v="6"/>
          </reference>
        </references>
      </pivotArea>
    </chartFormat>
    <chartFormat chart="3" format="107">
      <pivotArea type="data" outline="0" fieldPosition="0">
        <references count="3">
          <reference field="4294967294" count="1" selected="0">
            <x v="0"/>
          </reference>
          <reference field="5" count="1" selected="0">
            <x v="3"/>
          </reference>
          <reference field="20" count="1" selected="0">
            <x v="6"/>
          </reference>
        </references>
      </pivotArea>
    </chartFormat>
    <chartFormat chart="3" format="108">
      <pivotArea type="data" outline="0" fieldPosition="0">
        <references count="3">
          <reference field="4294967294" count="1" selected="0">
            <x v="0"/>
          </reference>
          <reference field="5" count="1" selected="0">
            <x v="4"/>
          </reference>
          <reference field="20" count="1" selected="0">
            <x v="6"/>
          </reference>
        </references>
      </pivotArea>
    </chartFormat>
    <chartFormat chart="3" format="109">
      <pivotArea type="data" outline="0" fieldPosition="0">
        <references count="3">
          <reference field="4294967294" count="1" selected="0">
            <x v="0"/>
          </reference>
          <reference field="5" count="1" selected="0">
            <x v="5"/>
          </reference>
          <reference field="20" count="1" selected="0">
            <x v="6"/>
          </reference>
        </references>
      </pivotArea>
    </chartFormat>
    <chartFormat chart="3" format="110">
      <pivotArea type="data" outline="0" fieldPosition="0">
        <references count="3">
          <reference field="4294967294" count="1" selected="0">
            <x v="0"/>
          </reference>
          <reference field="5" count="1" selected="0">
            <x v="6"/>
          </reference>
          <reference field="20" count="1" selected="0">
            <x v="6"/>
          </reference>
        </references>
      </pivotArea>
    </chartFormat>
    <chartFormat chart="3" format="111" series="1">
      <pivotArea type="data" outline="0" fieldPosition="0">
        <references count="2">
          <reference field="4294967294" count="1" selected="0">
            <x v="0"/>
          </reference>
          <reference field="20" count="1" selected="0">
            <x v="7"/>
          </reference>
        </references>
      </pivotArea>
    </chartFormat>
    <chartFormat chart="3" format="112">
      <pivotArea type="data" outline="0" fieldPosition="0">
        <references count="3">
          <reference field="4294967294" count="1" selected="0">
            <x v="0"/>
          </reference>
          <reference field="5" count="1" selected="0">
            <x v="0"/>
          </reference>
          <reference field="20" count="1" selected="0">
            <x v="7"/>
          </reference>
        </references>
      </pivotArea>
    </chartFormat>
    <chartFormat chart="3" format="113">
      <pivotArea type="data" outline="0" fieldPosition="0">
        <references count="3">
          <reference field="4294967294" count="1" selected="0">
            <x v="0"/>
          </reference>
          <reference field="5" count="1" selected="0">
            <x v="1"/>
          </reference>
          <reference field="20" count="1" selected="0">
            <x v="7"/>
          </reference>
        </references>
      </pivotArea>
    </chartFormat>
    <chartFormat chart="3" format="114">
      <pivotArea type="data" outline="0" fieldPosition="0">
        <references count="3">
          <reference field="4294967294" count="1" selected="0">
            <x v="0"/>
          </reference>
          <reference field="5" count="1" selected="0">
            <x v="2"/>
          </reference>
          <reference field="20" count="1" selected="0">
            <x v="7"/>
          </reference>
        </references>
      </pivotArea>
    </chartFormat>
    <chartFormat chart="3" format="115">
      <pivotArea type="data" outline="0" fieldPosition="0">
        <references count="3">
          <reference field="4294967294" count="1" selected="0">
            <x v="0"/>
          </reference>
          <reference field="5" count="1" selected="0">
            <x v="3"/>
          </reference>
          <reference field="20" count="1" selected="0">
            <x v="7"/>
          </reference>
        </references>
      </pivotArea>
    </chartFormat>
    <chartFormat chart="3" format="116">
      <pivotArea type="data" outline="0" fieldPosition="0">
        <references count="3">
          <reference field="4294967294" count="1" selected="0">
            <x v="0"/>
          </reference>
          <reference field="5" count="1" selected="0">
            <x v="4"/>
          </reference>
          <reference field="20" count="1" selected="0">
            <x v="7"/>
          </reference>
        </references>
      </pivotArea>
    </chartFormat>
    <chartFormat chart="3" format="117">
      <pivotArea type="data" outline="0" fieldPosition="0">
        <references count="3">
          <reference field="4294967294" count="1" selected="0">
            <x v="0"/>
          </reference>
          <reference field="5" count="1" selected="0">
            <x v="5"/>
          </reference>
          <reference field="20" count="1" selected="0">
            <x v="7"/>
          </reference>
        </references>
      </pivotArea>
    </chartFormat>
    <chartFormat chart="3" format="118">
      <pivotArea type="data" outline="0" fieldPosition="0">
        <references count="3">
          <reference field="4294967294" count="1" selected="0">
            <x v="0"/>
          </reference>
          <reference field="5" count="1" selected="0">
            <x v="6"/>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1E8F6-01E0-4ED4-88BD-ED56E62BF2CC}">
  <sheetPr>
    <tabColor rgb="FF00B0F0"/>
  </sheetPr>
  <dimension ref="A1:Q796"/>
  <sheetViews>
    <sheetView workbookViewId="0">
      <pane ySplit="1" topLeftCell="A2" activePane="bottomLeft" state="frozen"/>
      <selection pane="bottomLeft" activeCell="A2" sqref="A2"/>
    </sheetView>
  </sheetViews>
  <sheetFormatPr defaultRowHeight="14.5" x14ac:dyDescent="0.35"/>
  <cols>
    <col min="2" max="2" width="19" bestFit="1" customWidth="1"/>
    <col min="3" max="3" width="11.1796875" bestFit="1" customWidth="1"/>
    <col min="4" max="4" width="8.26953125" bestFit="1" customWidth="1"/>
    <col min="10" max="12" width="10.7265625" bestFit="1" customWidth="1"/>
    <col min="15" max="16" width="10.7265625" bestFit="1" customWidth="1"/>
    <col min="17" max="17" width="8.7265625" bestFit="1" customWidth="1"/>
  </cols>
  <sheetData>
    <row r="1" spans="1:17" ht="29" x14ac:dyDescent="0.35">
      <c r="A1" s="1" t="s">
        <v>1</v>
      </c>
      <c r="B1" s="1" t="s">
        <v>0</v>
      </c>
      <c r="C1" s="1" t="s">
        <v>3</v>
      </c>
      <c r="D1" s="1" t="s">
        <v>2</v>
      </c>
      <c r="E1" s="1" t="s">
        <v>10</v>
      </c>
      <c r="F1" s="1" t="s">
        <v>8</v>
      </c>
      <c r="G1" s="1" t="s">
        <v>5</v>
      </c>
      <c r="H1" s="1" t="s">
        <v>6</v>
      </c>
      <c r="I1" s="1" t="s">
        <v>12</v>
      </c>
      <c r="J1" s="1" t="s">
        <v>14</v>
      </c>
      <c r="K1" s="1" t="s">
        <v>1963</v>
      </c>
      <c r="L1" s="1" t="s">
        <v>13</v>
      </c>
      <c r="M1" s="1" t="s">
        <v>1964</v>
      </c>
      <c r="N1" s="1" t="s">
        <v>1965</v>
      </c>
      <c r="O1" s="1" t="s">
        <v>1966</v>
      </c>
      <c r="P1" s="1" t="s">
        <v>1967</v>
      </c>
      <c r="Q1" s="6" t="s">
        <v>1968</v>
      </c>
    </row>
    <row r="2" spans="1:17" x14ac:dyDescent="0.35">
      <c r="A2">
        <v>100341</v>
      </c>
      <c r="B2" t="s">
        <v>23</v>
      </c>
      <c r="C2" t="s">
        <v>44</v>
      </c>
      <c r="D2" t="s">
        <v>113</v>
      </c>
      <c r="E2" t="s">
        <v>57</v>
      </c>
      <c r="F2" t="s">
        <v>30</v>
      </c>
      <c r="G2" t="s">
        <v>46</v>
      </c>
      <c r="J2" s="2">
        <v>45250.208333333336</v>
      </c>
      <c r="K2" s="2">
        <v>45313.854733935186</v>
      </c>
      <c r="L2" s="2">
        <v>45141.166666666664</v>
      </c>
      <c r="M2" t="s">
        <v>1969</v>
      </c>
      <c r="N2" t="s">
        <v>1970</v>
      </c>
      <c r="O2" s="2">
        <v>45147.566163090276</v>
      </c>
      <c r="P2" s="2">
        <v>45147.615703240743</v>
      </c>
      <c r="Q2" s="7">
        <f>IF(OR(O2="", P2=""), "", IF(OR(E2="PW1000G", E2="PW800"), P2 - O2, NETWORKDAYS(O2, P2)))</f>
        <v>1</v>
      </c>
    </row>
    <row r="3" spans="1:17" x14ac:dyDescent="0.35">
      <c r="A3">
        <v>100872</v>
      </c>
      <c r="B3" t="s">
        <v>23</v>
      </c>
      <c r="C3" t="s">
        <v>44</v>
      </c>
      <c r="D3" t="s">
        <v>76</v>
      </c>
      <c r="E3" t="s">
        <v>57</v>
      </c>
      <c r="F3" t="s">
        <v>30</v>
      </c>
      <c r="G3" t="s">
        <v>28</v>
      </c>
      <c r="H3">
        <v>4</v>
      </c>
      <c r="J3" s="2">
        <v>45282.208333333336</v>
      </c>
      <c r="K3" s="2">
        <v>45338.823000011573</v>
      </c>
      <c r="L3" s="2">
        <v>45169.166666666664</v>
      </c>
      <c r="M3" t="s">
        <v>1969</v>
      </c>
      <c r="N3" t="s">
        <v>1970</v>
      </c>
      <c r="O3" s="2">
        <v>45170.629984039355</v>
      </c>
      <c r="P3" s="2">
        <v>45175.507781481479</v>
      </c>
      <c r="Q3" s="7">
        <f t="shared" ref="Q3:Q66" si="0">IF(OR(O3="", P3=""), "", IF(OR(E3="PW1000G", E3="PW800"), P3 - O3, NETWORKDAYS(O3, P3)))</f>
        <v>4</v>
      </c>
    </row>
    <row r="4" spans="1:17" x14ac:dyDescent="0.35">
      <c r="A4">
        <v>101380</v>
      </c>
      <c r="B4" t="s">
        <v>23</v>
      </c>
      <c r="C4" t="s">
        <v>44</v>
      </c>
      <c r="D4" t="s">
        <v>113</v>
      </c>
      <c r="E4" t="s">
        <v>57</v>
      </c>
      <c r="F4" t="s">
        <v>30</v>
      </c>
      <c r="G4" t="s">
        <v>1441</v>
      </c>
      <c r="H4">
        <v>3</v>
      </c>
      <c r="J4" s="2">
        <v>45321.208333333336</v>
      </c>
      <c r="K4" s="2">
        <v>45399.6026246412</v>
      </c>
      <c r="L4" s="2">
        <v>45196.166666666664</v>
      </c>
      <c r="M4" t="s">
        <v>1971</v>
      </c>
      <c r="N4" t="s">
        <v>1970</v>
      </c>
      <c r="O4" s="2">
        <v>45215.681699942128</v>
      </c>
      <c r="P4" s="2">
        <v>45226.702192916666</v>
      </c>
      <c r="Q4" s="7">
        <f t="shared" si="0"/>
        <v>10</v>
      </c>
    </row>
    <row r="5" spans="1:17" x14ac:dyDescent="0.35">
      <c r="A5">
        <v>101380</v>
      </c>
      <c r="B5" t="s">
        <v>23</v>
      </c>
      <c r="C5" t="s">
        <v>44</v>
      </c>
      <c r="D5" t="s">
        <v>113</v>
      </c>
      <c r="E5" t="s">
        <v>57</v>
      </c>
      <c r="F5" t="s">
        <v>30</v>
      </c>
      <c r="G5" t="s">
        <v>1441</v>
      </c>
      <c r="H5">
        <v>3</v>
      </c>
      <c r="J5" s="2">
        <v>45321.208333333336</v>
      </c>
      <c r="K5" s="2">
        <v>45399.6026246412</v>
      </c>
      <c r="L5" s="2">
        <v>45196.166666666664</v>
      </c>
      <c r="M5" t="s">
        <v>1972</v>
      </c>
      <c r="N5" t="s">
        <v>1970</v>
      </c>
      <c r="O5" s="2">
        <v>45315.576992314818</v>
      </c>
      <c r="P5" s="2">
        <v>45323.726175891206</v>
      </c>
      <c r="Q5" s="7">
        <f t="shared" si="0"/>
        <v>7</v>
      </c>
    </row>
    <row r="6" spans="1:17" x14ac:dyDescent="0.35">
      <c r="A6">
        <v>101380</v>
      </c>
      <c r="B6" t="s">
        <v>23</v>
      </c>
      <c r="C6" t="s">
        <v>44</v>
      </c>
      <c r="D6" t="s">
        <v>113</v>
      </c>
      <c r="E6" t="s">
        <v>57</v>
      </c>
      <c r="F6" t="s">
        <v>30</v>
      </c>
      <c r="G6" t="s">
        <v>1441</v>
      </c>
      <c r="H6">
        <v>3</v>
      </c>
      <c r="J6" s="2">
        <v>45321.208333333336</v>
      </c>
      <c r="K6" s="2">
        <v>45399.6026246412</v>
      </c>
      <c r="L6" s="2">
        <v>45196.166666666664</v>
      </c>
      <c r="M6" t="s">
        <v>1973</v>
      </c>
      <c r="N6" t="s">
        <v>1970</v>
      </c>
      <c r="O6" s="2">
        <v>45315.623001261571</v>
      </c>
      <c r="P6" s="2">
        <v>45324.694146724534</v>
      </c>
      <c r="Q6" s="7">
        <f t="shared" si="0"/>
        <v>8</v>
      </c>
    </row>
    <row r="7" spans="1:17" x14ac:dyDescent="0.35">
      <c r="A7">
        <v>101523</v>
      </c>
      <c r="B7" t="s">
        <v>23</v>
      </c>
      <c r="C7" t="s">
        <v>44</v>
      </c>
      <c r="D7" t="s">
        <v>76</v>
      </c>
      <c r="E7" t="s">
        <v>57</v>
      </c>
      <c r="F7" t="s">
        <v>30</v>
      </c>
      <c r="G7" t="s">
        <v>28</v>
      </c>
      <c r="H7">
        <v>7</v>
      </c>
      <c r="J7" s="2">
        <v>45302.208333333336</v>
      </c>
      <c r="K7" s="2">
        <v>45303.614653368058</v>
      </c>
      <c r="L7" s="2">
        <v>45203.166666666664</v>
      </c>
      <c r="M7" t="s">
        <v>1969</v>
      </c>
      <c r="N7" t="s">
        <v>1970</v>
      </c>
      <c r="O7" s="2">
        <v>45208.842101087961</v>
      </c>
      <c r="P7" s="2">
        <v>45211.76661013889</v>
      </c>
      <c r="Q7" s="7">
        <f t="shared" si="0"/>
        <v>4</v>
      </c>
    </row>
    <row r="8" spans="1:17" x14ac:dyDescent="0.35">
      <c r="A8">
        <v>101523</v>
      </c>
      <c r="B8" t="s">
        <v>23</v>
      </c>
      <c r="C8" t="s">
        <v>44</v>
      </c>
      <c r="D8" t="s">
        <v>76</v>
      </c>
      <c r="E8" t="s">
        <v>57</v>
      </c>
      <c r="F8" t="s">
        <v>30</v>
      </c>
      <c r="G8" t="s">
        <v>28</v>
      </c>
      <c r="H8">
        <v>7</v>
      </c>
      <c r="J8" s="2">
        <v>45302.208333333336</v>
      </c>
      <c r="K8" s="2">
        <v>45303.614653368058</v>
      </c>
      <c r="L8" s="2">
        <v>45203.166666666664</v>
      </c>
      <c r="M8" t="s">
        <v>1971</v>
      </c>
      <c r="N8" t="s">
        <v>1970</v>
      </c>
      <c r="O8" s="2">
        <v>45211.768076944441</v>
      </c>
      <c r="P8" s="2">
        <v>45223.860216226851</v>
      </c>
      <c r="Q8" s="7">
        <f t="shared" si="0"/>
        <v>9</v>
      </c>
    </row>
    <row r="9" spans="1:17" x14ac:dyDescent="0.35">
      <c r="A9">
        <v>102132</v>
      </c>
      <c r="B9" t="s">
        <v>23</v>
      </c>
      <c r="C9" t="s">
        <v>44</v>
      </c>
      <c r="D9" t="s">
        <v>113</v>
      </c>
      <c r="E9" t="s">
        <v>57</v>
      </c>
      <c r="F9" t="s">
        <v>30</v>
      </c>
      <c r="G9" t="s">
        <v>46</v>
      </c>
      <c r="J9" s="2">
        <v>45317.208333333336</v>
      </c>
      <c r="K9" s="2">
        <v>45313.85583108796</v>
      </c>
      <c r="L9" s="2">
        <v>45232.166666666664</v>
      </c>
      <c r="M9" t="s">
        <v>1969</v>
      </c>
      <c r="N9" t="s">
        <v>1970</v>
      </c>
      <c r="O9" s="2">
        <v>45237.690966469905</v>
      </c>
      <c r="P9" s="2">
        <v>45275.563129155089</v>
      </c>
      <c r="Q9" s="7">
        <f t="shared" si="0"/>
        <v>29</v>
      </c>
    </row>
    <row r="10" spans="1:17" x14ac:dyDescent="0.35">
      <c r="A10">
        <v>102278</v>
      </c>
      <c r="B10" t="s">
        <v>23</v>
      </c>
      <c r="C10" t="s">
        <v>44</v>
      </c>
      <c r="D10" t="s">
        <v>113</v>
      </c>
      <c r="E10" t="s">
        <v>57</v>
      </c>
      <c r="F10" t="s">
        <v>30</v>
      </c>
      <c r="G10" t="s">
        <v>28</v>
      </c>
      <c r="H10">
        <v>7</v>
      </c>
      <c r="J10" s="2">
        <v>45380.166666666664</v>
      </c>
      <c r="K10" s="2">
        <v>45411.857052245374</v>
      </c>
      <c r="L10" s="2">
        <v>45239.208333333336</v>
      </c>
      <c r="M10" t="s">
        <v>1969</v>
      </c>
      <c r="N10" t="s">
        <v>1970</v>
      </c>
      <c r="O10" s="2">
        <v>45257.655351516201</v>
      </c>
      <c r="P10" s="2">
        <v>45265.680510150465</v>
      </c>
      <c r="Q10" s="7">
        <f t="shared" si="0"/>
        <v>7</v>
      </c>
    </row>
    <row r="11" spans="1:17" x14ac:dyDescent="0.35">
      <c r="A11">
        <v>102680</v>
      </c>
      <c r="B11" t="s">
        <v>23</v>
      </c>
      <c r="C11" t="s">
        <v>44</v>
      </c>
      <c r="D11" t="s">
        <v>113</v>
      </c>
      <c r="E11" t="s">
        <v>57</v>
      </c>
      <c r="F11" t="s">
        <v>30</v>
      </c>
      <c r="G11" t="s">
        <v>1441</v>
      </c>
      <c r="H11">
        <v>9</v>
      </c>
      <c r="J11" s="2">
        <v>45426.166666666664</v>
      </c>
      <c r="K11" s="2">
        <v>45504.627005196759</v>
      </c>
      <c r="L11" s="2">
        <v>45260.208333333336</v>
      </c>
      <c r="M11" t="s">
        <v>1971</v>
      </c>
      <c r="N11" t="s">
        <v>1970</v>
      </c>
      <c r="O11" s="2">
        <v>45307.763265543981</v>
      </c>
      <c r="P11" s="2">
        <v>45316.67596778935</v>
      </c>
      <c r="Q11" s="7">
        <f t="shared" si="0"/>
        <v>8</v>
      </c>
    </row>
    <row r="12" spans="1:17" x14ac:dyDescent="0.35">
      <c r="A12">
        <v>102863</v>
      </c>
      <c r="B12" t="s">
        <v>23</v>
      </c>
      <c r="C12" t="s">
        <v>44</v>
      </c>
      <c r="D12" t="s">
        <v>76</v>
      </c>
      <c r="E12" t="s">
        <v>57</v>
      </c>
      <c r="F12" t="s">
        <v>30</v>
      </c>
      <c r="G12" t="s">
        <v>1633</v>
      </c>
      <c r="H12">
        <v>8</v>
      </c>
      <c r="J12" s="2">
        <v>45349.208333333336</v>
      </c>
      <c r="K12" s="2">
        <v>45342.796444525462</v>
      </c>
      <c r="L12" s="2">
        <v>45268.208333333336</v>
      </c>
      <c r="M12" t="s">
        <v>1969</v>
      </c>
      <c r="N12" t="s">
        <v>1970</v>
      </c>
      <c r="O12" s="2">
        <v>45273.578622592591</v>
      </c>
      <c r="P12" s="2">
        <v>45273.681416689818</v>
      </c>
      <c r="Q12" s="7">
        <f t="shared" si="0"/>
        <v>1</v>
      </c>
    </row>
    <row r="13" spans="1:17" x14ac:dyDescent="0.35">
      <c r="A13">
        <v>103122</v>
      </c>
      <c r="B13" t="s">
        <v>23</v>
      </c>
      <c r="C13" t="s">
        <v>44</v>
      </c>
      <c r="D13" t="s">
        <v>113</v>
      </c>
      <c r="E13" t="s">
        <v>57</v>
      </c>
      <c r="F13" t="s">
        <v>30</v>
      </c>
      <c r="G13" t="s">
        <v>1633</v>
      </c>
      <c r="H13">
        <v>8</v>
      </c>
      <c r="J13" s="2">
        <v>45526.166666666664</v>
      </c>
      <c r="K13" s="2">
        <v>45503.724924606482</v>
      </c>
      <c r="L13" s="2">
        <v>45281.208333333336</v>
      </c>
      <c r="M13" t="s">
        <v>1971</v>
      </c>
      <c r="N13" t="s">
        <v>1974</v>
      </c>
      <c r="O13" s="2">
        <v>45324.73878803241</v>
      </c>
      <c r="P13" s="2">
        <v>45405.728507835651</v>
      </c>
      <c r="Q13" s="7">
        <f t="shared" si="0"/>
        <v>58</v>
      </c>
    </row>
    <row r="14" spans="1:17" x14ac:dyDescent="0.35">
      <c r="A14">
        <v>103122</v>
      </c>
      <c r="B14" t="s">
        <v>23</v>
      </c>
      <c r="C14" t="s">
        <v>44</v>
      </c>
      <c r="D14" t="s">
        <v>113</v>
      </c>
      <c r="E14" t="s">
        <v>57</v>
      </c>
      <c r="F14" t="s">
        <v>30</v>
      </c>
      <c r="G14" t="s">
        <v>1633</v>
      </c>
      <c r="H14">
        <v>8</v>
      </c>
      <c r="J14" s="2">
        <v>45526.166666666664</v>
      </c>
      <c r="K14" s="2">
        <v>45503.724924606482</v>
      </c>
      <c r="L14" s="2">
        <v>45281.208333333336</v>
      </c>
      <c r="M14" t="s">
        <v>1973</v>
      </c>
      <c r="N14" t="s">
        <v>1970</v>
      </c>
      <c r="O14" s="2">
        <v>45394.600812430559</v>
      </c>
      <c r="P14" s="2">
        <v>45443.710232002311</v>
      </c>
      <c r="Q14" s="7">
        <f t="shared" si="0"/>
        <v>36</v>
      </c>
    </row>
    <row r="15" spans="1:17" x14ac:dyDescent="0.35">
      <c r="A15">
        <v>103192</v>
      </c>
      <c r="B15" t="s">
        <v>23</v>
      </c>
      <c r="C15" t="s">
        <v>44</v>
      </c>
      <c r="D15" t="s">
        <v>43</v>
      </c>
      <c r="E15" t="s">
        <v>57</v>
      </c>
      <c r="F15" t="s">
        <v>30</v>
      </c>
      <c r="G15" t="s">
        <v>1441</v>
      </c>
      <c r="H15">
        <v>1</v>
      </c>
      <c r="J15" s="2">
        <v>45324.208333333336</v>
      </c>
      <c r="K15" s="2">
        <v>45342.737190798609</v>
      </c>
      <c r="L15" s="2">
        <v>45294.208333333336</v>
      </c>
      <c r="M15" t="s">
        <v>1971</v>
      </c>
      <c r="N15" t="s">
        <v>1970</v>
      </c>
      <c r="O15" s="2">
        <v>45299.886617800927</v>
      </c>
      <c r="P15" s="2">
        <v>45301.796075104168</v>
      </c>
      <c r="Q15" s="7">
        <f t="shared" si="0"/>
        <v>3</v>
      </c>
    </row>
    <row r="16" spans="1:17" x14ac:dyDescent="0.35">
      <c r="A16">
        <v>103225</v>
      </c>
      <c r="B16" t="s">
        <v>23</v>
      </c>
      <c r="C16" t="s">
        <v>44</v>
      </c>
      <c r="D16" t="s">
        <v>43</v>
      </c>
      <c r="E16" t="s">
        <v>57</v>
      </c>
      <c r="F16" t="s">
        <v>30</v>
      </c>
      <c r="G16" t="s">
        <v>28</v>
      </c>
      <c r="H16">
        <v>2</v>
      </c>
      <c r="J16" s="2">
        <v>45317.208333333336</v>
      </c>
      <c r="K16" s="2">
        <v>45322.686495023147</v>
      </c>
      <c r="L16" s="2">
        <v>45295.208333333336</v>
      </c>
      <c r="M16" t="s">
        <v>1971</v>
      </c>
      <c r="N16" t="s">
        <v>1970</v>
      </c>
      <c r="O16" s="2">
        <v>45299.886441238428</v>
      </c>
      <c r="P16" s="2">
        <v>45306.765229814817</v>
      </c>
      <c r="Q16" s="7">
        <f t="shared" si="0"/>
        <v>6</v>
      </c>
    </row>
    <row r="17" spans="1:17" x14ac:dyDescent="0.35">
      <c r="A17">
        <v>103235</v>
      </c>
      <c r="B17" t="s">
        <v>23</v>
      </c>
      <c r="C17" t="s">
        <v>44</v>
      </c>
      <c r="D17" t="s">
        <v>43</v>
      </c>
      <c r="E17" t="s">
        <v>57</v>
      </c>
      <c r="F17" t="s">
        <v>30</v>
      </c>
      <c r="G17" t="s">
        <v>1633</v>
      </c>
      <c r="H17">
        <v>7</v>
      </c>
      <c r="J17" s="2">
        <v>45380.166666666664</v>
      </c>
      <c r="K17" s="2">
        <v>45348.754568460645</v>
      </c>
      <c r="L17" s="2">
        <v>45295.208333333336</v>
      </c>
      <c r="M17" t="s">
        <v>1971</v>
      </c>
      <c r="N17" t="s">
        <v>1970</v>
      </c>
      <c r="O17" s="2">
        <v>45296.611003437501</v>
      </c>
      <c r="P17" s="2">
        <v>45321.809826574077</v>
      </c>
      <c r="Q17" s="7">
        <f t="shared" si="0"/>
        <v>18</v>
      </c>
    </row>
    <row r="18" spans="1:17" x14ac:dyDescent="0.35">
      <c r="A18">
        <v>103694</v>
      </c>
      <c r="B18" t="s">
        <v>23</v>
      </c>
      <c r="C18" t="s">
        <v>44</v>
      </c>
      <c r="D18" t="s">
        <v>113</v>
      </c>
      <c r="E18" t="s">
        <v>57</v>
      </c>
      <c r="F18" t="s">
        <v>30</v>
      </c>
      <c r="G18" t="s">
        <v>46</v>
      </c>
      <c r="J18" s="2">
        <v>45366.166666666664</v>
      </c>
      <c r="K18" s="2">
        <v>45344.761192673614</v>
      </c>
      <c r="L18" s="2">
        <v>45317.208333333336</v>
      </c>
      <c r="M18" t="s">
        <v>1972</v>
      </c>
      <c r="N18" t="s">
        <v>1970</v>
      </c>
      <c r="O18" s="2">
        <v>45334.602169143516</v>
      </c>
      <c r="P18" s="2">
        <v>45334.657642800928</v>
      </c>
      <c r="Q18" s="7">
        <f t="shared" si="0"/>
        <v>1</v>
      </c>
    </row>
    <row r="19" spans="1:17" x14ac:dyDescent="0.35">
      <c r="A19">
        <v>104000</v>
      </c>
      <c r="B19" t="s">
        <v>23</v>
      </c>
      <c r="C19" t="s">
        <v>44</v>
      </c>
      <c r="D19" t="s">
        <v>43</v>
      </c>
      <c r="E19" t="s">
        <v>57</v>
      </c>
      <c r="F19" t="s">
        <v>30</v>
      </c>
      <c r="G19" t="s">
        <v>1719</v>
      </c>
      <c r="J19" s="2"/>
      <c r="K19" s="2">
        <v>45350.739344629626</v>
      </c>
      <c r="L19" s="2">
        <v>45331.208333333336</v>
      </c>
      <c r="M19" t="s">
        <v>1969</v>
      </c>
      <c r="N19" t="s">
        <v>1970</v>
      </c>
      <c r="O19" s="2">
        <v>45335.873365960651</v>
      </c>
      <c r="P19" s="2">
        <v>45341.557605069444</v>
      </c>
      <c r="Q19" s="7">
        <f t="shared" si="0"/>
        <v>5</v>
      </c>
    </row>
    <row r="20" spans="1:17" x14ac:dyDescent="0.35">
      <c r="A20">
        <v>104024</v>
      </c>
      <c r="B20" t="s">
        <v>23</v>
      </c>
      <c r="C20" t="s">
        <v>44</v>
      </c>
      <c r="D20" t="s">
        <v>43</v>
      </c>
      <c r="E20" t="s">
        <v>57</v>
      </c>
      <c r="F20" t="s">
        <v>30</v>
      </c>
      <c r="G20" t="s">
        <v>1633</v>
      </c>
      <c r="H20">
        <v>10</v>
      </c>
      <c r="J20" s="2">
        <v>45415.166666666664</v>
      </c>
      <c r="K20" s="2">
        <v>45378.767460416668</v>
      </c>
      <c r="L20" s="2">
        <v>45334.208333333336</v>
      </c>
      <c r="M20" t="s">
        <v>1969</v>
      </c>
      <c r="N20" t="s">
        <v>1970</v>
      </c>
      <c r="O20" s="2">
        <v>45335.873533287035</v>
      </c>
      <c r="P20" s="2">
        <v>45355.602898368059</v>
      </c>
      <c r="Q20" s="7">
        <f t="shared" si="0"/>
        <v>15</v>
      </c>
    </row>
    <row r="21" spans="1:17" x14ac:dyDescent="0.35">
      <c r="A21">
        <v>104185</v>
      </c>
      <c r="B21" t="s">
        <v>23</v>
      </c>
      <c r="C21" t="s">
        <v>44</v>
      </c>
      <c r="D21" t="s">
        <v>76</v>
      </c>
      <c r="E21" t="s">
        <v>57</v>
      </c>
      <c r="F21" t="s">
        <v>30</v>
      </c>
      <c r="G21" t="s">
        <v>28</v>
      </c>
      <c r="H21">
        <v>7</v>
      </c>
      <c r="J21" s="2">
        <v>45478.166666666664</v>
      </c>
      <c r="K21" s="2">
        <v>45523.57848113426</v>
      </c>
      <c r="L21" s="2">
        <v>45341.208333333336</v>
      </c>
      <c r="M21" t="s">
        <v>1969</v>
      </c>
      <c r="N21" t="s">
        <v>1970</v>
      </c>
      <c r="O21" s="2">
        <v>45342.582049050929</v>
      </c>
      <c r="P21" s="2">
        <v>45355.900624664355</v>
      </c>
      <c r="Q21" s="7">
        <f t="shared" si="0"/>
        <v>10</v>
      </c>
    </row>
    <row r="22" spans="1:17" x14ac:dyDescent="0.35">
      <c r="A22">
        <v>104185</v>
      </c>
      <c r="B22" t="s">
        <v>23</v>
      </c>
      <c r="C22" t="s">
        <v>44</v>
      </c>
      <c r="D22" t="s">
        <v>76</v>
      </c>
      <c r="E22" t="s">
        <v>57</v>
      </c>
      <c r="F22" t="s">
        <v>30</v>
      </c>
      <c r="G22" t="s">
        <v>28</v>
      </c>
      <c r="H22">
        <v>7</v>
      </c>
      <c r="J22" s="2">
        <v>45478.166666666664</v>
      </c>
      <c r="K22" s="2">
        <v>45523.57848113426</v>
      </c>
      <c r="L22" s="2">
        <v>45341.208333333336</v>
      </c>
      <c r="M22" t="s">
        <v>1969</v>
      </c>
      <c r="N22" t="s">
        <v>1970</v>
      </c>
      <c r="O22" s="2">
        <v>45356.642019016203</v>
      </c>
      <c r="P22" s="2">
        <v>45365.739541724535</v>
      </c>
      <c r="Q22" s="7">
        <f t="shared" si="0"/>
        <v>8</v>
      </c>
    </row>
    <row r="23" spans="1:17" x14ac:dyDescent="0.35">
      <c r="A23">
        <v>104185</v>
      </c>
      <c r="B23" t="s">
        <v>23</v>
      </c>
      <c r="C23" t="s">
        <v>44</v>
      </c>
      <c r="D23" t="s">
        <v>76</v>
      </c>
      <c r="E23" t="s">
        <v>57</v>
      </c>
      <c r="F23" t="s">
        <v>30</v>
      </c>
      <c r="G23" t="s">
        <v>28</v>
      </c>
      <c r="H23">
        <v>7</v>
      </c>
      <c r="J23" s="2">
        <v>45478.166666666664</v>
      </c>
      <c r="K23" s="2">
        <v>45523.57848113426</v>
      </c>
      <c r="L23" s="2">
        <v>45341.208333333336</v>
      </c>
      <c r="M23" t="s">
        <v>1971</v>
      </c>
      <c r="N23" t="s">
        <v>1970</v>
      </c>
      <c r="O23" s="2">
        <v>45365.742363622689</v>
      </c>
      <c r="P23" s="2">
        <v>45383.566102997684</v>
      </c>
      <c r="Q23" s="7">
        <f t="shared" si="0"/>
        <v>13</v>
      </c>
    </row>
    <row r="24" spans="1:17" x14ac:dyDescent="0.35">
      <c r="A24">
        <v>104660</v>
      </c>
      <c r="B24" t="s">
        <v>23</v>
      </c>
      <c r="C24" t="s">
        <v>44</v>
      </c>
      <c r="D24" t="s">
        <v>113</v>
      </c>
      <c r="E24" t="s">
        <v>57</v>
      </c>
      <c r="F24" t="s">
        <v>30</v>
      </c>
      <c r="G24" t="s">
        <v>1441</v>
      </c>
      <c r="H24">
        <v>8</v>
      </c>
      <c r="J24" s="2">
        <v>45503.166666666664</v>
      </c>
      <c r="K24" s="2">
        <v>45447.68092846065</v>
      </c>
      <c r="L24" s="2">
        <v>45363.166666666664</v>
      </c>
      <c r="M24" t="s">
        <v>1971</v>
      </c>
      <c r="N24" t="s">
        <v>1970</v>
      </c>
      <c r="O24" s="2">
        <v>45384.669428171299</v>
      </c>
      <c r="P24" s="2">
        <v>45385.769407685184</v>
      </c>
      <c r="Q24" s="7">
        <f t="shared" si="0"/>
        <v>2</v>
      </c>
    </row>
    <row r="25" spans="1:17" x14ac:dyDescent="0.35">
      <c r="A25">
        <v>104723</v>
      </c>
      <c r="B25" t="s">
        <v>23</v>
      </c>
      <c r="C25" t="s">
        <v>44</v>
      </c>
      <c r="D25" t="s">
        <v>113</v>
      </c>
      <c r="E25" t="s">
        <v>57</v>
      </c>
      <c r="F25" t="s">
        <v>30</v>
      </c>
      <c r="G25" t="s">
        <v>28</v>
      </c>
      <c r="H25">
        <v>10</v>
      </c>
      <c r="J25" s="2">
        <v>45464.166666666664</v>
      </c>
      <c r="K25" s="2">
        <v>45587.795332395835</v>
      </c>
      <c r="L25" s="2">
        <v>45366.166666666664</v>
      </c>
      <c r="M25" t="s">
        <v>1975</v>
      </c>
      <c r="N25" t="s">
        <v>1970</v>
      </c>
      <c r="O25" s="2">
        <v>45483.735557615742</v>
      </c>
      <c r="P25" s="2">
        <v>45488.469514456017</v>
      </c>
      <c r="Q25" s="7">
        <f t="shared" si="0"/>
        <v>4</v>
      </c>
    </row>
    <row r="26" spans="1:17" x14ac:dyDescent="0.35">
      <c r="A26">
        <v>104738</v>
      </c>
      <c r="B26" t="s">
        <v>23</v>
      </c>
      <c r="C26" t="s">
        <v>44</v>
      </c>
      <c r="D26" t="s">
        <v>113</v>
      </c>
      <c r="E26" t="s">
        <v>57</v>
      </c>
      <c r="F26" t="s">
        <v>30</v>
      </c>
      <c r="G26" t="s">
        <v>28</v>
      </c>
      <c r="H26">
        <v>7</v>
      </c>
      <c r="J26" s="2">
        <v>45485.166666666664</v>
      </c>
      <c r="K26" s="2">
        <v>45495.829660243056</v>
      </c>
      <c r="L26" s="2">
        <v>45366.166666666664</v>
      </c>
      <c r="M26" t="s">
        <v>1969</v>
      </c>
      <c r="N26" t="s">
        <v>1970</v>
      </c>
      <c r="O26" s="2">
        <v>45394.665794502318</v>
      </c>
      <c r="P26" s="2">
        <v>45407.671958287036</v>
      </c>
      <c r="Q26" s="7">
        <f t="shared" si="0"/>
        <v>10</v>
      </c>
    </row>
    <row r="27" spans="1:17" x14ac:dyDescent="0.35">
      <c r="A27">
        <v>104973</v>
      </c>
      <c r="B27" t="s">
        <v>23</v>
      </c>
      <c r="C27" t="s">
        <v>44</v>
      </c>
      <c r="D27" t="s">
        <v>54</v>
      </c>
      <c r="E27" t="s">
        <v>57</v>
      </c>
      <c r="F27" t="s">
        <v>30</v>
      </c>
      <c r="G27" t="s">
        <v>28</v>
      </c>
      <c r="H27">
        <v>1</v>
      </c>
      <c r="J27" s="2">
        <v>45477.166666666664</v>
      </c>
      <c r="K27" s="2">
        <v>45419.619010324073</v>
      </c>
      <c r="L27" s="2">
        <v>45378.166666666664</v>
      </c>
      <c r="M27" t="s">
        <v>1969</v>
      </c>
      <c r="N27" t="s">
        <v>1970</v>
      </c>
      <c r="O27" s="2">
        <v>45383.614101701387</v>
      </c>
      <c r="P27" s="2">
        <v>45394.49404070602</v>
      </c>
      <c r="Q27" s="7">
        <f t="shared" si="0"/>
        <v>10</v>
      </c>
    </row>
    <row r="28" spans="1:17" x14ac:dyDescent="0.35">
      <c r="A28">
        <v>105143</v>
      </c>
      <c r="B28" t="s">
        <v>23</v>
      </c>
      <c r="C28" t="s">
        <v>44</v>
      </c>
      <c r="D28" t="s">
        <v>76</v>
      </c>
      <c r="E28" t="s">
        <v>57</v>
      </c>
      <c r="F28" t="s">
        <v>30</v>
      </c>
      <c r="G28" t="s">
        <v>46</v>
      </c>
      <c r="I28" t="s">
        <v>140</v>
      </c>
      <c r="J28" s="2">
        <v>45574.166666666664</v>
      </c>
      <c r="K28" s="2">
        <v>45558.643454212965</v>
      </c>
      <c r="L28" s="2">
        <v>45387.166666666664</v>
      </c>
      <c r="M28" t="s">
        <v>1969</v>
      </c>
      <c r="N28" t="s">
        <v>1976</v>
      </c>
      <c r="O28" s="2">
        <v>45394.595012175923</v>
      </c>
      <c r="P28" s="2">
        <v>45394.685648680555</v>
      </c>
      <c r="Q28" s="7">
        <f t="shared" si="0"/>
        <v>1</v>
      </c>
    </row>
    <row r="29" spans="1:17" x14ac:dyDescent="0.35">
      <c r="A29">
        <v>105143</v>
      </c>
      <c r="B29" t="s">
        <v>23</v>
      </c>
      <c r="C29" t="s">
        <v>44</v>
      </c>
      <c r="D29" t="s">
        <v>76</v>
      </c>
      <c r="E29" t="s">
        <v>57</v>
      </c>
      <c r="F29" t="s">
        <v>30</v>
      </c>
      <c r="G29" t="s">
        <v>46</v>
      </c>
      <c r="I29" t="s">
        <v>140</v>
      </c>
      <c r="J29" s="2">
        <v>45574.166666666664</v>
      </c>
      <c r="K29" s="2">
        <v>45558.643454212965</v>
      </c>
      <c r="L29" s="2">
        <v>45387.166666666664</v>
      </c>
      <c r="M29" t="s">
        <v>1969</v>
      </c>
      <c r="N29" t="s">
        <v>1970</v>
      </c>
      <c r="O29" s="2">
        <v>45394.685745532406</v>
      </c>
      <c r="P29" s="2">
        <v>45398.91093672454</v>
      </c>
      <c r="Q29" s="7">
        <f t="shared" si="0"/>
        <v>3</v>
      </c>
    </row>
    <row r="30" spans="1:17" x14ac:dyDescent="0.35">
      <c r="A30">
        <v>105143</v>
      </c>
      <c r="B30" t="s">
        <v>23</v>
      </c>
      <c r="C30" t="s">
        <v>44</v>
      </c>
      <c r="D30" t="s">
        <v>76</v>
      </c>
      <c r="E30" t="s">
        <v>57</v>
      </c>
      <c r="F30" t="s">
        <v>30</v>
      </c>
      <c r="G30" t="s">
        <v>46</v>
      </c>
      <c r="I30" t="s">
        <v>140</v>
      </c>
      <c r="J30" s="2">
        <v>45574.166666666664</v>
      </c>
      <c r="K30" s="2">
        <v>45558.643454212965</v>
      </c>
      <c r="L30" s="2">
        <v>45387.166666666664</v>
      </c>
      <c r="M30" t="s">
        <v>1969</v>
      </c>
      <c r="N30" t="s">
        <v>1970</v>
      </c>
      <c r="O30" s="2">
        <v>45401.714894386576</v>
      </c>
      <c r="P30" s="2">
        <v>45408.730589965278</v>
      </c>
      <c r="Q30" s="7">
        <f t="shared" si="0"/>
        <v>6</v>
      </c>
    </row>
    <row r="31" spans="1:17" x14ac:dyDescent="0.35">
      <c r="A31">
        <v>105143</v>
      </c>
      <c r="B31" t="s">
        <v>23</v>
      </c>
      <c r="C31" t="s">
        <v>44</v>
      </c>
      <c r="D31" t="s">
        <v>76</v>
      </c>
      <c r="E31" t="s">
        <v>57</v>
      </c>
      <c r="F31" t="s">
        <v>30</v>
      </c>
      <c r="G31" t="s">
        <v>46</v>
      </c>
      <c r="I31" t="s">
        <v>140</v>
      </c>
      <c r="J31" s="2">
        <v>45574.166666666664</v>
      </c>
      <c r="K31" s="2">
        <v>45558.643454212965</v>
      </c>
      <c r="L31" s="2">
        <v>45387.166666666664</v>
      </c>
      <c r="M31" t="s">
        <v>1977</v>
      </c>
      <c r="N31" t="s">
        <v>1978</v>
      </c>
      <c r="O31" s="2">
        <v>45408.936220231481</v>
      </c>
      <c r="P31" s="2">
        <v>45520.831161469905</v>
      </c>
      <c r="Q31" s="7">
        <f t="shared" si="0"/>
        <v>81</v>
      </c>
    </row>
    <row r="32" spans="1:17" x14ac:dyDescent="0.35">
      <c r="A32">
        <v>105143</v>
      </c>
      <c r="B32" t="s">
        <v>23</v>
      </c>
      <c r="C32" t="s">
        <v>44</v>
      </c>
      <c r="D32" t="s">
        <v>76</v>
      </c>
      <c r="E32" t="s">
        <v>57</v>
      </c>
      <c r="F32" t="s">
        <v>30</v>
      </c>
      <c r="G32" t="s">
        <v>46</v>
      </c>
      <c r="I32" t="s">
        <v>140</v>
      </c>
      <c r="J32" s="2">
        <v>45574.166666666664</v>
      </c>
      <c r="K32" s="2">
        <v>45558.643454212965</v>
      </c>
      <c r="L32" s="2">
        <v>45387.166666666664</v>
      </c>
      <c r="M32" t="s">
        <v>1979</v>
      </c>
      <c r="N32" t="s">
        <v>1970</v>
      </c>
      <c r="O32" s="2">
        <v>45520.831548148148</v>
      </c>
      <c r="P32" s="2">
        <v>45525.532959942131</v>
      </c>
      <c r="Q32" s="7">
        <f t="shared" si="0"/>
        <v>4</v>
      </c>
    </row>
    <row r="33" spans="1:17" x14ac:dyDescent="0.35">
      <c r="A33">
        <v>105228</v>
      </c>
      <c r="B33" t="s">
        <v>23</v>
      </c>
      <c r="C33" t="s">
        <v>44</v>
      </c>
      <c r="D33" t="s">
        <v>113</v>
      </c>
      <c r="E33" t="s">
        <v>57</v>
      </c>
      <c r="F33" t="s">
        <v>30</v>
      </c>
      <c r="G33" t="s">
        <v>46</v>
      </c>
      <c r="J33" s="2">
        <v>45443.166666666664</v>
      </c>
      <c r="K33" s="2">
        <v>45436.648384143518</v>
      </c>
      <c r="L33" s="2">
        <v>45392.166666666664</v>
      </c>
      <c r="M33" t="s">
        <v>1975</v>
      </c>
      <c r="N33" t="s">
        <v>1970</v>
      </c>
      <c r="O33" s="2">
        <v>45408.619518576386</v>
      </c>
      <c r="P33" s="2">
        <v>45414.726793182868</v>
      </c>
      <c r="Q33" s="7">
        <f t="shared" si="0"/>
        <v>5</v>
      </c>
    </row>
    <row r="34" spans="1:17" x14ac:dyDescent="0.35">
      <c r="A34">
        <v>105355</v>
      </c>
      <c r="B34" t="s">
        <v>23</v>
      </c>
      <c r="C34" t="s">
        <v>44</v>
      </c>
      <c r="D34" t="s">
        <v>54</v>
      </c>
      <c r="E34" t="s">
        <v>57</v>
      </c>
      <c r="F34" t="s">
        <v>30</v>
      </c>
      <c r="G34" t="s">
        <v>28</v>
      </c>
      <c r="J34" s="2">
        <v>45492.166666666664</v>
      </c>
      <c r="K34" s="2">
        <v>45434.562133912033</v>
      </c>
      <c r="L34" s="2">
        <v>45399.166666666664</v>
      </c>
      <c r="M34" t="s">
        <v>1971</v>
      </c>
      <c r="N34" t="s">
        <v>1970</v>
      </c>
      <c r="O34" s="2">
        <v>45400.658898217589</v>
      </c>
      <c r="P34" s="2">
        <v>45407.540074131946</v>
      </c>
      <c r="Q34" s="7">
        <f t="shared" si="0"/>
        <v>6</v>
      </c>
    </row>
    <row r="35" spans="1:17" x14ac:dyDescent="0.35">
      <c r="A35">
        <v>105360</v>
      </c>
      <c r="B35" t="s">
        <v>23</v>
      </c>
      <c r="C35" t="s">
        <v>44</v>
      </c>
      <c r="D35" t="s">
        <v>113</v>
      </c>
      <c r="E35" t="s">
        <v>57</v>
      </c>
      <c r="F35" t="s">
        <v>30</v>
      </c>
      <c r="G35" t="s">
        <v>28</v>
      </c>
      <c r="H35">
        <v>4</v>
      </c>
      <c r="J35" s="2">
        <v>45440.166666666664</v>
      </c>
      <c r="K35" s="2">
        <v>45434.529205289349</v>
      </c>
      <c r="L35" s="2">
        <v>45399.166666666664</v>
      </c>
      <c r="M35" t="s">
        <v>1980</v>
      </c>
      <c r="N35" t="s">
        <v>1970</v>
      </c>
      <c r="O35" s="2">
        <v>45419.835778622684</v>
      </c>
      <c r="P35" s="2">
        <v>45419.893341284725</v>
      </c>
      <c r="Q35" s="7">
        <f t="shared" si="0"/>
        <v>1</v>
      </c>
    </row>
    <row r="36" spans="1:17" x14ac:dyDescent="0.35">
      <c r="A36">
        <v>105554</v>
      </c>
      <c r="B36" t="s">
        <v>23</v>
      </c>
      <c r="C36" t="s">
        <v>44</v>
      </c>
      <c r="D36" t="s">
        <v>54</v>
      </c>
      <c r="E36" t="s">
        <v>57</v>
      </c>
      <c r="F36" t="s">
        <v>30</v>
      </c>
      <c r="G36" t="s">
        <v>46</v>
      </c>
      <c r="H36">
        <v>1</v>
      </c>
      <c r="I36" t="s">
        <v>33</v>
      </c>
      <c r="J36" s="2">
        <v>45575.166666666664</v>
      </c>
      <c r="K36" s="2">
        <v>45531.826953657408</v>
      </c>
      <c r="L36" s="2">
        <v>45407.166666666664</v>
      </c>
      <c r="M36" t="s">
        <v>1975</v>
      </c>
      <c r="N36" t="s">
        <v>1970</v>
      </c>
      <c r="O36" s="2">
        <v>45502.608691388887</v>
      </c>
      <c r="P36" s="2">
        <v>45504.811894710649</v>
      </c>
      <c r="Q36" s="7">
        <f t="shared" si="0"/>
        <v>3</v>
      </c>
    </row>
    <row r="37" spans="1:17" x14ac:dyDescent="0.35">
      <c r="A37">
        <v>105567</v>
      </c>
      <c r="B37" t="s">
        <v>23</v>
      </c>
      <c r="C37" t="s">
        <v>44</v>
      </c>
      <c r="D37" t="s">
        <v>54</v>
      </c>
      <c r="E37" t="s">
        <v>57</v>
      </c>
      <c r="F37" t="s">
        <v>30</v>
      </c>
      <c r="G37" t="s">
        <v>28</v>
      </c>
      <c r="H37">
        <v>10</v>
      </c>
      <c r="I37" t="s">
        <v>81</v>
      </c>
      <c r="J37" s="2">
        <v>45512.166666666664</v>
      </c>
      <c r="K37" s="2">
        <v>45569.721513564815</v>
      </c>
      <c r="L37" s="2">
        <v>45408.166666666664</v>
      </c>
      <c r="M37" t="s">
        <v>1981</v>
      </c>
      <c r="N37" t="s">
        <v>1974</v>
      </c>
      <c r="O37" s="2">
        <v>45422.605801550926</v>
      </c>
      <c r="P37" s="2">
        <v>45442.764454675926</v>
      </c>
      <c r="Q37" s="7">
        <f t="shared" si="0"/>
        <v>15</v>
      </c>
    </row>
    <row r="38" spans="1:17" x14ac:dyDescent="0.35">
      <c r="A38">
        <v>106031</v>
      </c>
      <c r="B38" t="s">
        <v>23</v>
      </c>
      <c r="C38" t="s">
        <v>44</v>
      </c>
      <c r="D38" t="s">
        <v>76</v>
      </c>
      <c r="E38" t="s">
        <v>57</v>
      </c>
      <c r="F38" t="s">
        <v>30</v>
      </c>
      <c r="G38" t="s">
        <v>1719</v>
      </c>
      <c r="I38" t="s">
        <v>81</v>
      </c>
      <c r="J38" s="2"/>
      <c r="K38" s="2">
        <v>45582.818586909721</v>
      </c>
      <c r="L38" s="2">
        <v>45433.166666666664</v>
      </c>
      <c r="M38" t="s">
        <v>1981</v>
      </c>
      <c r="N38" t="s">
        <v>1970</v>
      </c>
      <c r="O38" s="2">
        <v>45440.678796550928</v>
      </c>
      <c r="P38" s="2">
        <v>45446.49086859954</v>
      </c>
      <c r="Q38" s="7">
        <f t="shared" si="0"/>
        <v>5</v>
      </c>
    </row>
    <row r="39" spans="1:17" x14ac:dyDescent="0.35">
      <c r="A39">
        <v>106033</v>
      </c>
      <c r="B39" t="s">
        <v>23</v>
      </c>
      <c r="C39" t="s">
        <v>44</v>
      </c>
      <c r="D39" t="s">
        <v>76</v>
      </c>
      <c r="E39" t="s">
        <v>57</v>
      </c>
      <c r="F39" t="s">
        <v>30</v>
      </c>
      <c r="G39" t="s">
        <v>46</v>
      </c>
      <c r="I39" t="s">
        <v>33</v>
      </c>
      <c r="J39" s="2">
        <v>45594.166666666664</v>
      </c>
      <c r="K39" s="2">
        <v>45574.577539317128</v>
      </c>
      <c r="L39" s="2">
        <v>45433.166666666664</v>
      </c>
      <c r="M39" t="s">
        <v>1981</v>
      </c>
      <c r="N39" t="s">
        <v>1970</v>
      </c>
      <c r="O39" s="2">
        <v>45434.79209466435</v>
      </c>
      <c r="P39" s="2">
        <v>45447.750510034719</v>
      </c>
      <c r="Q39" s="7">
        <f t="shared" si="0"/>
        <v>10</v>
      </c>
    </row>
    <row r="40" spans="1:17" x14ac:dyDescent="0.35">
      <c r="A40">
        <v>106033</v>
      </c>
      <c r="B40" t="s">
        <v>23</v>
      </c>
      <c r="C40" t="s">
        <v>44</v>
      </c>
      <c r="D40" t="s">
        <v>76</v>
      </c>
      <c r="E40" t="s">
        <v>57</v>
      </c>
      <c r="F40" t="s">
        <v>30</v>
      </c>
      <c r="G40" t="s">
        <v>46</v>
      </c>
      <c r="I40" t="s">
        <v>33</v>
      </c>
      <c r="J40" s="2">
        <v>45594.166666666664</v>
      </c>
      <c r="K40" s="2">
        <v>45574.577539317128</v>
      </c>
      <c r="L40" s="2">
        <v>45433.166666666664</v>
      </c>
      <c r="M40" t="s">
        <v>1981</v>
      </c>
      <c r="N40" t="s">
        <v>1970</v>
      </c>
      <c r="O40" s="2">
        <v>45454.714358831021</v>
      </c>
      <c r="P40" s="2">
        <v>45476.629269722223</v>
      </c>
      <c r="Q40" s="7">
        <f t="shared" si="0"/>
        <v>17</v>
      </c>
    </row>
    <row r="41" spans="1:17" x14ac:dyDescent="0.35">
      <c r="A41">
        <v>106033</v>
      </c>
      <c r="B41" t="s">
        <v>23</v>
      </c>
      <c r="C41" t="s">
        <v>44</v>
      </c>
      <c r="D41" t="s">
        <v>76</v>
      </c>
      <c r="E41" t="s">
        <v>57</v>
      </c>
      <c r="F41" t="s">
        <v>30</v>
      </c>
      <c r="G41" t="s">
        <v>46</v>
      </c>
      <c r="I41" t="s">
        <v>33</v>
      </c>
      <c r="J41" s="2">
        <v>45594.166666666664</v>
      </c>
      <c r="K41" s="2">
        <v>45574.577539317128</v>
      </c>
      <c r="L41" s="2">
        <v>45433.166666666664</v>
      </c>
      <c r="M41" t="s">
        <v>1975</v>
      </c>
      <c r="N41" t="s">
        <v>1970</v>
      </c>
      <c r="O41" s="2">
        <v>45513.786786875004</v>
      </c>
      <c r="P41" s="2">
        <v>45538.71060510417</v>
      </c>
      <c r="Q41" s="7">
        <f t="shared" si="0"/>
        <v>18</v>
      </c>
    </row>
    <row r="42" spans="1:17" x14ac:dyDescent="0.35">
      <c r="A42">
        <v>106493</v>
      </c>
      <c r="B42" t="s">
        <v>23</v>
      </c>
      <c r="C42" t="s">
        <v>44</v>
      </c>
      <c r="D42" t="s">
        <v>76</v>
      </c>
      <c r="E42" t="s">
        <v>57</v>
      </c>
      <c r="F42" t="s">
        <v>30</v>
      </c>
      <c r="G42" t="s">
        <v>46</v>
      </c>
      <c r="H42">
        <v>4</v>
      </c>
      <c r="I42" t="s">
        <v>33</v>
      </c>
      <c r="J42" s="2">
        <v>45705.208333333336</v>
      </c>
      <c r="K42" s="2">
        <v>45693.868655185186</v>
      </c>
      <c r="L42" s="2">
        <v>45456.166666666664</v>
      </c>
      <c r="M42" t="s">
        <v>1981</v>
      </c>
      <c r="N42" t="s">
        <v>1970</v>
      </c>
      <c r="O42" s="2">
        <v>45464.579330138891</v>
      </c>
      <c r="P42" s="2">
        <v>45478.666714583334</v>
      </c>
      <c r="Q42" s="7">
        <f t="shared" si="0"/>
        <v>11</v>
      </c>
    </row>
    <row r="43" spans="1:17" x14ac:dyDescent="0.35">
      <c r="A43">
        <v>106493</v>
      </c>
      <c r="B43" t="s">
        <v>23</v>
      </c>
      <c r="C43" t="s">
        <v>44</v>
      </c>
      <c r="D43" t="s">
        <v>76</v>
      </c>
      <c r="E43" t="s">
        <v>57</v>
      </c>
      <c r="F43" t="s">
        <v>30</v>
      </c>
      <c r="G43" t="s">
        <v>46</v>
      </c>
      <c r="H43">
        <v>4</v>
      </c>
      <c r="I43" t="s">
        <v>33</v>
      </c>
      <c r="J43" s="2">
        <v>45705.208333333336</v>
      </c>
      <c r="K43" s="2">
        <v>45693.868655185186</v>
      </c>
      <c r="L43" s="2">
        <v>45456.166666666664</v>
      </c>
      <c r="M43" t="s">
        <v>1981</v>
      </c>
      <c r="N43" t="s">
        <v>1970</v>
      </c>
      <c r="O43" s="2">
        <v>45482.753835972224</v>
      </c>
      <c r="P43" s="2">
        <v>45489.513387199077</v>
      </c>
      <c r="Q43" s="7">
        <f t="shared" si="0"/>
        <v>6</v>
      </c>
    </row>
    <row r="44" spans="1:17" x14ac:dyDescent="0.35">
      <c r="A44">
        <v>106493</v>
      </c>
      <c r="B44" t="s">
        <v>23</v>
      </c>
      <c r="C44" t="s">
        <v>44</v>
      </c>
      <c r="D44" t="s">
        <v>76</v>
      </c>
      <c r="E44" t="s">
        <v>57</v>
      </c>
      <c r="F44" t="s">
        <v>30</v>
      </c>
      <c r="G44" t="s">
        <v>46</v>
      </c>
      <c r="H44">
        <v>4</v>
      </c>
      <c r="I44" t="s">
        <v>33</v>
      </c>
      <c r="J44" s="2">
        <v>45705.208333333336</v>
      </c>
      <c r="K44" s="2">
        <v>45693.868655185186</v>
      </c>
      <c r="L44" s="2">
        <v>45456.166666666664</v>
      </c>
      <c r="M44" t="s">
        <v>1982</v>
      </c>
      <c r="N44" t="s">
        <v>1970</v>
      </c>
      <c r="O44" s="2">
        <v>45540.77182736111</v>
      </c>
      <c r="P44" s="2">
        <v>45541.527405173612</v>
      </c>
      <c r="Q44" s="7">
        <f t="shared" si="0"/>
        <v>2</v>
      </c>
    </row>
    <row r="45" spans="1:17" x14ac:dyDescent="0.35">
      <c r="A45">
        <v>106493</v>
      </c>
      <c r="B45" t="s">
        <v>23</v>
      </c>
      <c r="C45" t="s">
        <v>44</v>
      </c>
      <c r="D45" t="s">
        <v>76</v>
      </c>
      <c r="E45" t="s">
        <v>57</v>
      </c>
      <c r="F45" t="s">
        <v>30</v>
      </c>
      <c r="G45" t="s">
        <v>46</v>
      </c>
      <c r="H45">
        <v>4</v>
      </c>
      <c r="I45" t="s">
        <v>33</v>
      </c>
      <c r="J45" s="2">
        <v>45705.208333333336</v>
      </c>
      <c r="K45" s="2">
        <v>45693.868655185186</v>
      </c>
      <c r="L45" s="2">
        <v>45456.166666666664</v>
      </c>
      <c r="M45" t="s">
        <v>1979</v>
      </c>
      <c r="N45" t="s">
        <v>1983</v>
      </c>
      <c r="O45" s="2">
        <v>45552.576715821757</v>
      </c>
      <c r="P45" s="2">
        <v>45650.73484553241</v>
      </c>
      <c r="Q45" s="7">
        <f t="shared" si="0"/>
        <v>71</v>
      </c>
    </row>
    <row r="46" spans="1:17" x14ac:dyDescent="0.35">
      <c r="A46">
        <v>106501</v>
      </c>
      <c r="B46" t="s">
        <v>23</v>
      </c>
      <c r="C46" t="s">
        <v>44</v>
      </c>
      <c r="D46" t="s">
        <v>43</v>
      </c>
      <c r="E46" t="s">
        <v>57</v>
      </c>
      <c r="F46" t="s">
        <v>30</v>
      </c>
      <c r="G46" t="s">
        <v>1441</v>
      </c>
      <c r="H46">
        <v>2</v>
      </c>
      <c r="I46" t="s">
        <v>33</v>
      </c>
      <c r="J46" s="2">
        <v>45596.166666666664</v>
      </c>
      <c r="K46" s="2">
        <v>45524.742444965275</v>
      </c>
      <c r="L46" s="2">
        <v>45456.166666666664</v>
      </c>
      <c r="M46" t="s">
        <v>1975</v>
      </c>
      <c r="N46" t="s">
        <v>1970</v>
      </c>
      <c r="O46" s="2">
        <v>45491.763351122689</v>
      </c>
      <c r="P46" s="2">
        <v>45496.513259259256</v>
      </c>
      <c r="Q46" s="7">
        <f t="shared" si="0"/>
        <v>4</v>
      </c>
    </row>
    <row r="47" spans="1:17" x14ac:dyDescent="0.35">
      <c r="A47">
        <v>106524</v>
      </c>
      <c r="B47" t="s">
        <v>23</v>
      </c>
      <c r="C47" t="s">
        <v>44</v>
      </c>
      <c r="D47" t="s">
        <v>43</v>
      </c>
      <c r="E47" t="s">
        <v>57</v>
      </c>
      <c r="F47" t="s">
        <v>30</v>
      </c>
      <c r="G47" t="s">
        <v>1719</v>
      </c>
      <c r="I47" t="s">
        <v>33</v>
      </c>
      <c r="J47" s="2"/>
      <c r="K47" s="2">
        <v>45533.734480370367</v>
      </c>
      <c r="L47" s="2">
        <v>45457.166666666664</v>
      </c>
      <c r="M47" t="s">
        <v>1977</v>
      </c>
      <c r="N47" t="s">
        <v>1970</v>
      </c>
      <c r="O47" s="2">
        <v>45467.56969271991</v>
      </c>
      <c r="P47" s="2">
        <v>45476.537711261575</v>
      </c>
      <c r="Q47" s="7">
        <f t="shared" si="0"/>
        <v>8</v>
      </c>
    </row>
    <row r="48" spans="1:17" x14ac:dyDescent="0.35">
      <c r="A48">
        <v>106524</v>
      </c>
      <c r="B48" t="s">
        <v>23</v>
      </c>
      <c r="C48" t="s">
        <v>44</v>
      </c>
      <c r="D48" t="s">
        <v>43</v>
      </c>
      <c r="E48" t="s">
        <v>57</v>
      </c>
      <c r="F48" t="s">
        <v>30</v>
      </c>
      <c r="G48" t="s">
        <v>1719</v>
      </c>
      <c r="I48" t="s">
        <v>33</v>
      </c>
      <c r="J48" s="2"/>
      <c r="K48" s="2">
        <v>45533.734480370367</v>
      </c>
      <c r="L48" s="2">
        <v>45457.166666666664</v>
      </c>
      <c r="M48" t="s">
        <v>1977</v>
      </c>
      <c r="N48" t="s">
        <v>1974</v>
      </c>
      <c r="O48" s="2">
        <v>45476.53836259259</v>
      </c>
      <c r="P48" s="2">
        <v>45489.488035810187</v>
      </c>
      <c r="Q48" s="7">
        <f t="shared" si="0"/>
        <v>10</v>
      </c>
    </row>
    <row r="49" spans="1:17" x14ac:dyDescent="0.35">
      <c r="A49">
        <v>106581</v>
      </c>
      <c r="B49" t="s">
        <v>23</v>
      </c>
      <c r="C49" t="s">
        <v>44</v>
      </c>
      <c r="D49" t="s">
        <v>76</v>
      </c>
      <c r="E49" t="s">
        <v>57</v>
      </c>
      <c r="F49" t="s">
        <v>30</v>
      </c>
      <c r="G49" t="s">
        <v>46</v>
      </c>
      <c r="I49" t="s">
        <v>33</v>
      </c>
      <c r="J49" s="2">
        <v>45672.208333333336</v>
      </c>
      <c r="K49" s="2">
        <v>45649.882273564814</v>
      </c>
      <c r="L49" s="2">
        <v>45462.166666666664</v>
      </c>
      <c r="M49" t="s">
        <v>1981</v>
      </c>
      <c r="N49" t="s">
        <v>1970</v>
      </c>
      <c r="O49" s="2">
        <v>45468.714450567131</v>
      </c>
      <c r="P49" s="2">
        <v>45576.711208032408</v>
      </c>
      <c r="Q49" s="7">
        <f t="shared" si="0"/>
        <v>79</v>
      </c>
    </row>
    <row r="50" spans="1:17" x14ac:dyDescent="0.35">
      <c r="A50">
        <v>106581</v>
      </c>
      <c r="B50" t="s">
        <v>23</v>
      </c>
      <c r="C50" t="s">
        <v>44</v>
      </c>
      <c r="D50" t="s">
        <v>76</v>
      </c>
      <c r="E50" t="s">
        <v>57</v>
      </c>
      <c r="F50" t="s">
        <v>30</v>
      </c>
      <c r="G50" t="s">
        <v>46</v>
      </c>
      <c r="I50" t="s">
        <v>33</v>
      </c>
      <c r="J50" s="2">
        <v>45672.208333333336</v>
      </c>
      <c r="K50" s="2">
        <v>45649.882273564814</v>
      </c>
      <c r="L50" s="2">
        <v>45462.166666666664</v>
      </c>
      <c r="M50" t="s">
        <v>1979</v>
      </c>
      <c r="N50" t="s">
        <v>1970</v>
      </c>
      <c r="O50" s="2">
        <v>45579.621402835648</v>
      </c>
      <c r="P50" s="2">
        <v>45579.770165416667</v>
      </c>
      <c r="Q50" s="7">
        <f t="shared" si="0"/>
        <v>1</v>
      </c>
    </row>
    <row r="51" spans="1:17" x14ac:dyDescent="0.35">
      <c r="A51">
        <v>106581</v>
      </c>
      <c r="B51" t="s">
        <v>23</v>
      </c>
      <c r="C51" t="s">
        <v>44</v>
      </c>
      <c r="D51" t="s">
        <v>76</v>
      </c>
      <c r="E51" t="s">
        <v>57</v>
      </c>
      <c r="F51" t="s">
        <v>30</v>
      </c>
      <c r="G51" t="s">
        <v>46</v>
      </c>
      <c r="I51" t="s">
        <v>33</v>
      </c>
      <c r="J51" s="2">
        <v>45672.208333333336</v>
      </c>
      <c r="K51" s="2">
        <v>45649.882273564814</v>
      </c>
      <c r="L51" s="2">
        <v>45462.166666666664</v>
      </c>
      <c r="M51" t="s">
        <v>1979</v>
      </c>
      <c r="N51" t="s">
        <v>1970</v>
      </c>
      <c r="O51" s="2">
        <v>45580.580118368052</v>
      </c>
      <c r="P51" s="2">
        <v>45580.617722615738</v>
      </c>
      <c r="Q51" s="7">
        <f t="shared" si="0"/>
        <v>1</v>
      </c>
    </row>
    <row r="52" spans="1:17" x14ac:dyDescent="0.35">
      <c r="A52">
        <v>106581</v>
      </c>
      <c r="B52" t="s">
        <v>23</v>
      </c>
      <c r="C52" t="s">
        <v>44</v>
      </c>
      <c r="D52" t="s">
        <v>76</v>
      </c>
      <c r="E52" t="s">
        <v>57</v>
      </c>
      <c r="F52" t="s">
        <v>30</v>
      </c>
      <c r="G52" t="s">
        <v>46</v>
      </c>
      <c r="I52" t="s">
        <v>33</v>
      </c>
      <c r="J52" s="2">
        <v>45672.208333333336</v>
      </c>
      <c r="K52" s="2">
        <v>45649.882273564814</v>
      </c>
      <c r="L52" s="2">
        <v>45462.166666666664</v>
      </c>
      <c r="M52" t="s">
        <v>1975</v>
      </c>
      <c r="N52" t="s">
        <v>1970</v>
      </c>
      <c r="O52" s="2">
        <v>45589.849191608795</v>
      </c>
      <c r="P52" s="2">
        <v>45590.75521466435</v>
      </c>
      <c r="Q52" s="7">
        <f t="shared" si="0"/>
        <v>2</v>
      </c>
    </row>
    <row r="53" spans="1:17" x14ac:dyDescent="0.35">
      <c r="A53">
        <v>106773</v>
      </c>
      <c r="B53" t="s">
        <v>23</v>
      </c>
      <c r="C53" t="s">
        <v>44</v>
      </c>
      <c r="D53" t="s">
        <v>76</v>
      </c>
      <c r="E53" t="s">
        <v>57</v>
      </c>
      <c r="F53" t="s">
        <v>30</v>
      </c>
      <c r="G53" t="s">
        <v>28</v>
      </c>
      <c r="I53" t="s">
        <v>33</v>
      </c>
      <c r="J53" s="2">
        <v>45642.208333333336</v>
      </c>
      <c r="K53" s="2">
        <v>45583.832040127316</v>
      </c>
      <c r="L53" s="2">
        <v>45471.166666666664</v>
      </c>
      <c r="M53" t="s">
        <v>1981</v>
      </c>
      <c r="N53" t="s">
        <v>1970</v>
      </c>
      <c r="O53" s="2">
        <v>45478.623047546294</v>
      </c>
      <c r="P53" s="2">
        <v>45478.623967071762</v>
      </c>
      <c r="Q53" s="7">
        <f t="shared" si="0"/>
        <v>1</v>
      </c>
    </row>
    <row r="54" spans="1:17" x14ac:dyDescent="0.35">
      <c r="A54">
        <v>106773</v>
      </c>
      <c r="B54" t="s">
        <v>23</v>
      </c>
      <c r="C54" t="s">
        <v>44</v>
      </c>
      <c r="D54" t="s">
        <v>76</v>
      </c>
      <c r="E54" t="s">
        <v>57</v>
      </c>
      <c r="F54" t="s">
        <v>30</v>
      </c>
      <c r="G54" t="s">
        <v>28</v>
      </c>
      <c r="I54" t="s">
        <v>33</v>
      </c>
      <c r="J54" s="2">
        <v>45642.208333333336</v>
      </c>
      <c r="K54" s="2">
        <v>45583.832040127316</v>
      </c>
      <c r="L54" s="2">
        <v>45471.166666666664</v>
      </c>
      <c r="M54" t="s">
        <v>1981</v>
      </c>
      <c r="N54" t="s">
        <v>1970</v>
      </c>
      <c r="O54" s="2">
        <v>45482.752478958333</v>
      </c>
      <c r="P54" s="2">
        <v>45483.520815254633</v>
      </c>
      <c r="Q54" s="7">
        <f t="shared" si="0"/>
        <v>2</v>
      </c>
    </row>
    <row r="55" spans="1:17" x14ac:dyDescent="0.35">
      <c r="A55">
        <v>107180</v>
      </c>
      <c r="B55" t="s">
        <v>23</v>
      </c>
      <c r="C55" t="s">
        <v>44</v>
      </c>
      <c r="D55" t="s">
        <v>76</v>
      </c>
      <c r="E55" t="s">
        <v>57</v>
      </c>
      <c r="F55" t="s">
        <v>30</v>
      </c>
      <c r="G55" t="s">
        <v>1719</v>
      </c>
      <c r="I55" t="s">
        <v>33</v>
      </c>
      <c r="J55" s="2"/>
      <c r="K55" s="2">
        <v>45610.603135636571</v>
      </c>
      <c r="L55" s="2">
        <v>45497.166666666664</v>
      </c>
      <c r="M55" t="s">
        <v>1981</v>
      </c>
      <c r="N55" t="s">
        <v>1970</v>
      </c>
      <c r="O55" s="2">
        <v>45503.770227581015</v>
      </c>
      <c r="P55" s="2">
        <v>45506.696792627314</v>
      </c>
      <c r="Q55" s="7">
        <f t="shared" si="0"/>
        <v>4</v>
      </c>
    </row>
    <row r="56" spans="1:17" x14ac:dyDescent="0.35">
      <c r="A56">
        <v>107180</v>
      </c>
      <c r="B56" t="s">
        <v>23</v>
      </c>
      <c r="C56" t="s">
        <v>44</v>
      </c>
      <c r="D56" t="s">
        <v>76</v>
      </c>
      <c r="E56" t="s">
        <v>57</v>
      </c>
      <c r="F56" t="s">
        <v>30</v>
      </c>
      <c r="G56" t="s">
        <v>1719</v>
      </c>
      <c r="I56" t="s">
        <v>33</v>
      </c>
      <c r="J56" s="2"/>
      <c r="K56" s="2">
        <v>45610.603135636571</v>
      </c>
      <c r="L56" s="2">
        <v>45497.166666666664</v>
      </c>
      <c r="M56" t="s">
        <v>1977</v>
      </c>
      <c r="N56" t="s">
        <v>1970</v>
      </c>
      <c r="O56" s="2">
        <v>45554.846483402776</v>
      </c>
      <c r="P56" s="2">
        <v>45574.655093865738</v>
      </c>
      <c r="Q56" s="7">
        <f t="shared" si="0"/>
        <v>15</v>
      </c>
    </row>
    <row r="57" spans="1:17" x14ac:dyDescent="0.35">
      <c r="A57">
        <v>107180</v>
      </c>
      <c r="B57" t="s">
        <v>23</v>
      </c>
      <c r="C57" t="s">
        <v>44</v>
      </c>
      <c r="D57" t="s">
        <v>76</v>
      </c>
      <c r="E57" t="s">
        <v>57</v>
      </c>
      <c r="F57" t="s">
        <v>30</v>
      </c>
      <c r="G57" t="s">
        <v>1719</v>
      </c>
      <c r="I57" t="s">
        <v>33</v>
      </c>
      <c r="J57" s="2"/>
      <c r="K57" s="2">
        <v>45610.603135636571</v>
      </c>
      <c r="L57" s="2">
        <v>45497.166666666664</v>
      </c>
      <c r="M57" t="s">
        <v>1980</v>
      </c>
      <c r="N57" t="s">
        <v>1970</v>
      </c>
      <c r="O57" s="2">
        <v>45579.797702430558</v>
      </c>
      <c r="P57" s="2">
        <v>45580.855375636573</v>
      </c>
      <c r="Q57" s="7">
        <f t="shared" si="0"/>
        <v>2</v>
      </c>
    </row>
    <row r="58" spans="1:17" x14ac:dyDescent="0.35">
      <c r="A58">
        <v>107185</v>
      </c>
      <c r="B58" t="s">
        <v>23</v>
      </c>
      <c r="C58" t="s">
        <v>44</v>
      </c>
      <c r="D58" t="s">
        <v>76</v>
      </c>
      <c r="E58" t="s">
        <v>57</v>
      </c>
      <c r="F58" t="s">
        <v>30</v>
      </c>
      <c r="G58" t="s">
        <v>1441</v>
      </c>
      <c r="H58">
        <v>8</v>
      </c>
      <c r="I58" t="s">
        <v>81</v>
      </c>
      <c r="J58" s="2">
        <v>45601.208333333336</v>
      </c>
      <c r="K58" s="2">
        <v>45572.877535300926</v>
      </c>
      <c r="L58" s="2">
        <v>45497.166666666664</v>
      </c>
      <c r="M58" t="s">
        <v>1981</v>
      </c>
      <c r="N58" t="s">
        <v>1970</v>
      </c>
      <c r="O58" s="2">
        <v>45503.772016909723</v>
      </c>
      <c r="P58" s="2">
        <v>45506.714391886577</v>
      </c>
      <c r="Q58" s="7">
        <f t="shared" si="0"/>
        <v>4</v>
      </c>
    </row>
    <row r="59" spans="1:17" x14ac:dyDescent="0.35">
      <c r="A59">
        <v>107185</v>
      </c>
      <c r="B59" t="s">
        <v>23</v>
      </c>
      <c r="C59" t="s">
        <v>44</v>
      </c>
      <c r="D59" t="s">
        <v>76</v>
      </c>
      <c r="E59" t="s">
        <v>57</v>
      </c>
      <c r="F59" t="s">
        <v>30</v>
      </c>
      <c r="G59" t="s">
        <v>1441</v>
      </c>
      <c r="H59">
        <v>8</v>
      </c>
      <c r="I59" t="s">
        <v>81</v>
      </c>
      <c r="J59" s="2">
        <v>45601.208333333336</v>
      </c>
      <c r="K59" s="2">
        <v>45572.877535300926</v>
      </c>
      <c r="L59" s="2">
        <v>45497.166666666664</v>
      </c>
      <c r="M59" t="s">
        <v>1975</v>
      </c>
      <c r="N59" t="s">
        <v>1974</v>
      </c>
      <c r="O59" s="2">
        <v>45562.62636584491</v>
      </c>
      <c r="P59" s="2">
        <v>45567.80464347222</v>
      </c>
      <c r="Q59" s="7">
        <f t="shared" si="0"/>
        <v>4</v>
      </c>
    </row>
    <row r="60" spans="1:17" x14ac:dyDescent="0.35">
      <c r="A60">
        <v>107426</v>
      </c>
      <c r="B60" t="s">
        <v>23</v>
      </c>
      <c r="C60" t="s">
        <v>44</v>
      </c>
      <c r="D60" t="s">
        <v>76</v>
      </c>
      <c r="E60" t="s">
        <v>57</v>
      </c>
      <c r="F60" t="s">
        <v>30</v>
      </c>
      <c r="G60" t="s">
        <v>28</v>
      </c>
      <c r="H60">
        <v>22</v>
      </c>
      <c r="I60" t="s">
        <v>33</v>
      </c>
      <c r="J60" s="2">
        <v>45714.208333333336</v>
      </c>
      <c r="K60" s="2">
        <v>45672.880501250002</v>
      </c>
      <c r="L60" s="2">
        <v>45509.166666666664</v>
      </c>
      <c r="M60" t="s">
        <v>1981</v>
      </c>
      <c r="N60" t="s">
        <v>1970</v>
      </c>
      <c r="O60" s="2">
        <v>45510.820327199071</v>
      </c>
      <c r="P60" s="2">
        <v>45520.761227719908</v>
      </c>
      <c r="Q60" s="7">
        <f t="shared" si="0"/>
        <v>9</v>
      </c>
    </row>
    <row r="61" spans="1:17" x14ac:dyDescent="0.35">
      <c r="A61">
        <v>108089</v>
      </c>
      <c r="B61" t="s">
        <v>23</v>
      </c>
      <c r="C61" t="s">
        <v>44</v>
      </c>
      <c r="D61" t="s">
        <v>76</v>
      </c>
      <c r="E61" t="s">
        <v>57</v>
      </c>
      <c r="F61" t="s">
        <v>30</v>
      </c>
      <c r="G61" t="s">
        <v>28</v>
      </c>
      <c r="H61">
        <v>20</v>
      </c>
      <c r="I61" t="s">
        <v>33</v>
      </c>
      <c r="J61" s="2">
        <v>45608.208333333336</v>
      </c>
      <c r="K61" s="2">
        <v>45602.643363541669</v>
      </c>
      <c r="L61" s="2">
        <v>45538.166666666664</v>
      </c>
      <c r="M61" t="s">
        <v>1981</v>
      </c>
      <c r="N61" t="s">
        <v>1970</v>
      </c>
      <c r="O61" s="2">
        <v>45545.853220127312</v>
      </c>
      <c r="P61" s="2">
        <v>45548.80111197917</v>
      </c>
      <c r="Q61" s="7">
        <f t="shared" si="0"/>
        <v>4</v>
      </c>
    </row>
    <row r="62" spans="1:17" x14ac:dyDescent="0.35">
      <c r="A62">
        <v>108334</v>
      </c>
      <c r="B62" t="s">
        <v>23</v>
      </c>
      <c r="C62" t="s">
        <v>44</v>
      </c>
      <c r="D62" t="s">
        <v>76</v>
      </c>
      <c r="E62" t="s">
        <v>57</v>
      </c>
      <c r="F62" t="s">
        <v>30</v>
      </c>
      <c r="G62" t="s">
        <v>46</v>
      </c>
      <c r="I62" t="s">
        <v>81</v>
      </c>
      <c r="J62" s="2">
        <v>45623.208333333336</v>
      </c>
      <c r="K62" s="2">
        <v>45638.799131377316</v>
      </c>
      <c r="L62" s="2">
        <v>45548.166666666664</v>
      </c>
      <c r="M62" t="s">
        <v>1981</v>
      </c>
      <c r="N62" t="s">
        <v>1970</v>
      </c>
      <c r="O62" s="2">
        <v>45552.780106655089</v>
      </c>
      <c r="P62" s="2">
        <v>45573.517079884259</v>
      </c>
      <c r="Q62" s="7">
        <f t="shared" si="0"/>
        <v>16</v>
      </c>
    </row>
    <row r="63" spans="1:17" x14ac:dyDescent="0.35">
      <c r="A63">
        <v>108392</v>
      </c>
      <c r="B63" t="s">
        <v>23</v>
      </c>
      <c r="C63" t="s">
        <v>44</v>
      </c>
      <c r="D63" t="s">
        <v>51</v>
      </c>
      <c r="E63" t="s">
        <v>57</v>
      </c>
      <c r="F63" t="s">
        <v>30</v>
      </c>
      <c r="G63" t="s">
        <v>46</v>
      </c>
      <c r="H63">
        <v>11</v>
      </c>
      <c r="J63" s="2">
        <v>45622.208333333336</v>
      </c>
      <c r="K63" s="2">
        <v>45637.93848178241</v>
      </c>
      <c r="L63" s="2">
        <v>45552.166666666664</v>
      </c>
      <c r="M63" t="s">
        <v>1975</v>
      </c>
      <c r="N63" t="s">
        <v>1970</v>
      </c>
      <c r="O63" s="2">
        <v>45601.497620381946</v>
      </c>
      <c r="P63" s="2">
        <v>45610.927552962959</v>
      </c>
      <c r="Q63" s="7">
        <f t="shared" si="0"/>
        <v>8</v>
      </c>
    </row>
    <row r="64" spans="1:17" x14ac:dyDescent="0.35">
      <c r="A64">
        <v>108880</v>
      </c>
      <c r="B64" t="s">
        <v>23</v>
      </c>
      <c r="C64" t="s">
        <v>44</v>
      </c>
      <c r="D64" t="s">
        <v>76</v>
      </c>
      <c r="E64" t="s">
        <v>57</v>
      </c>
      <c r="F64" t="s">
        <v>30</v>
      </c>
      <c r="G64" t="s">
        <v>46</v>
      </c>
      <c r="H64">
        <v>2</v>
      </c>
      <c r="I64" t="s">
        <v>33</v>
      </c>
      <c r="J64" s="2">
        <v>45708.208333333336</v>
      </c>
      <c r="K64" s="2">
        <v>45681.913408182867</v>
      </c>
      <c r="L64" s="2">
        <v>45575.166666666664</v>
      </c>
      <c r="M64" t="s">
        <v>1981</v>
      </c>
      <c r="N64" t="s">
        <v>1970</v>
      </c>
      <c r="O64" s="2">
        <v>45580.762050925929</v>
      </c>
      <c r="P64" s="2">
        <v>45583.680319305553</v>
      </c>
      <c r="Q64" s="7">
        <f t="shared" si="0"/>
        <v>4</v>
      </c>
    </row>
    <row r="65" spans="1:17" x14ac:dyDescent="0.35">
      <c r="A65">
        <v>108880</v>
      </c>
      <c r="B65" t="s">
        <v>23</v>
      </c>
      <c r="C65" t="s">
        <v>44</v>
      </c>
      <c r="D65" t="s">
        <v>76</v>
      </c>
      <c r="E65" t="s">
        <v>57</v>
      </c>
      <c r="F65" t="s">
        <v>30</v>
      </c>
      <c r="G65" t="s">
        <v>46</v>
      </c>
      <c r="H65">
        <v>2</v>
      </c>
      <c r="I65" t="s">
        <v>33</v>
      </c>
      <c r="J65" s="2">
        <v>45708.208333333336</v>
      </c>
      <c r="K65" s="2">
        <v>45681.913408182867</v>
      </c>
      <c r="L65" s="2">
        <v>45575.166666666664</v>
      </c>
      <c r="M65" t="s">
        <v>1979</v>
      </c>
      <c r="N65" t="s">
        <v>1970</v>
      </c>
      <c r="O65" s="2">
        <v>45638.591989537039</v>
      </c>
      <c r="P65" s="2">
        <v>45644.631692199073</v>
      </c>
      <c r="Q65" s="7">
        <f t="shared" si="0"/>
        <v>5</v>
      </c>
    </row>
    <row r="66" spans="1:17" x14ac:dyDescent="0.35">
      <c r="A66">
        <v>108959</v>
      </c>
      <c r="B66" t="s">
        <v>23</v>
      </c>
      <c r="C66" t="s">
        <v>44</v>
      </c>
      <c r="D66" t="s">
        <v>36</v>
      </c>
      <c r="E66" t="s">
        <v>57</v>
      </c>
      <c r="F66" t="s">
        <v>30</v>
      </c>
      <c r="G66" t="s">
        <v>46</v>
      </c>
      <c r="H66">
        <v>10</v>
      </c>
      <c r="I66" t="s">
        <v>81</v>
      </c>
      <c r="J66" s="2">
        <v>45679.208333333336</v>
      </c>
      <c r="K66" s="2">
        <v>45772.64265037037</v>
      </c>
      <c r="L66" s="2">
        <v>45580.166666666664</v>
      </c>
      <c r="M66" t="s">
        <v>1979</v>
      </c>
      <c r="N66" t="s">
        <v>1970</v>
      </c>
      <c r="O66" s="2">
        <v>45608.81636798611</v>
      </c>
      <c r="P66" s="2">
        <v>45660.665705914354</v>
      </c>
      <c r="Q66" s="7">
        <f t="shared" si="0"/>
        <v>39</v>
      </c>
    </row>
    <row r="67" spans="1:17" x14ac:dyDescent="0.35">
      <c r="A67">
        <v>109083</v>
      </c>
      <c r="B67" t="s">
        <v>23</v>
      </c>
      <c r="C67" t="s">
        <v>44</v>
      </c>
      <c r="D67" t="s">
        <v>54</v>
      </c>
      <c r="E67" t="s">
        <v>57</v>
      </c>
      <c r="F67" t="s">
        <v>30</v>
      </c>
      <c r="G67" t="s">
        <v>46</v>
      </c>
      <c r="I67" t="s">
        <v>33</v>
      </c>
      <c r="J67" s="2">
        <v>45736.166666666664</v>
      </c>
      <c r="K67" s="2">
        <v>45741.753818391204</v>
      </c>
      <c r="L67" s="2">
        <v>45583.166666666664</v>
      </c>
      <c r="M67" t="s">
        <v>1981</v>
      </c>
      <c r="N67" t="s">
        <v>1970</v>
      </c>
      <c r="O67" s="2">
        <v>45587.648733020833</v>
      </c>
      <c r="P67" s="2">
        <v>45588.846580555553</v>
      </c>
      <c r="Q67" s="7">
        <f t="shared" ref="Q67:Q130" si="1">IF(OR(O67="", P67=""), "", IF(OR(E67="PW1000G", E67="PW800"), P67 - O67, NETWORKDAYS(O67, P67)))</f>
        <v>2</v>
      </c>
    </row>
    <row r="68" spans="1:17" x14ac:dyDescent="0.35">
      <c r="A68">
        <v>109083</v>
      </c>
      <c r="B68" t="s">
        <v>23</v>
      </c>
      <c r="C68" t="s">
        <v>44</v>
      </c>
      <c r="D68" t="s">
        <v>54</v>
      </c>
      <c r="E68" t="s">
        <v>57</v>
      </c>
      <c r="F68" t="s">
        <v>30</v>
      </c>
      <c r="G68" t="s">
        <v>46</v>
      </c>
      <c r="I68" t="s">
        <v>33</v>
      </c>
      <c r="J68" s="2">
        <v>45736.166666666664</v>
      </c>
      <c r="K68" s="2">
        <v>45741.753818391204</v>
      </c>
      <c r="L68" s="2">
        <v>45583.166666666664</v>
      </c>
      <c r="M68" t="s">
        <v>1979</v>
      </c>
      <c r="N68" t="s">
        <v>1970</v>
      </c>
      <c r="O68" s="2">
        <v>45639.760032222221</v>
      </c>
      <c r="P68" s="2">
        <v>45642.601362256944</v>
      </c>
      <c r="Q68" s="7">
        <f t="shared" si="1"/>
        <v>2</v>
      </c>
    </row>
    <row r="69" spans="1:17" x14ac:dyDescent="0.35">
      <c r="A69">
        <v>109098</v>
      </c>
      <c r="B69" t="s">
        <v>23</v>
      </c>
      <c r="C69" t="s">
        <v>44</v>
      </c>
      <c r="D69" t="s">
        <v>461</v>
      </c>
      <c r="E69" t="s">
        <v>57</v>
      </c>
      <c r="F69" t="s">
        <v>30</v>
      </c>
      <c r="G69" t="s">
        <v>1719</v>
      </c>
      <c r="J69" s="2"/>
      <c r="K69" s="2">
        <v>45666.71125497685</v>
      </c>
      <c r="L69" s="2">
        <v>45587.166666666664</v>
      </c>
      <c r="M69" t="s">
        <v>1979</v>
      </c>
      <c r="N69" t="s">
        <v>1970</v>
      </c>
      <c r="O69" s="2">
        <v>45602.617118287038</v>
      </c>
      <c r="P69" s="2">
        <v>45603.613646053243</v>
      </c>
      <c r="Q69" s="7">
        <f t="shared" si="1"/>
        <v>2</v>
      </c>
    </row>
    <row r="70" spans="1:17" x14ac:dyDescent="0.35">
      <c r="A70">
        <v>109098</v>
      </c>
      <c r="B70" t="s">
        <v>23</v>
      </c>
      <c r="C70" t="s">
        <v>44</v>
      </c>
      <c r="D70" t="s">
        <v>461</v>
      </c>
      <c r="E70" t="s">
        <v>57</v>
      </c>
      <c r="F70" t="s">
        <v>30</v>
      </c>
      <c r="G70" t="s">
        <v>1719</v>
      </c>
      <c r="J70" s="2"/>
      <c r="K70" s="2">
        <v>45666.71125497685</v>
      </c>
      <c r="L70" s="2">
        <v>45587.166666666664</v>
      </c>
      <c r="M70" t="s">
        <v>1975</v>
      </c>
      <c r="N70" t="s">
        <v>1970</v>
      </c>
      <c r="O70" s="2">
        <v>45604.825985277777</v>
      </c>
      <c r="P70" s="2">
        <v>45607.825963935182</v>
      </c>
      <c r="Q70" s="7">
        <f t="shared" si="1"/>
        <v>2</v>
      </c>
    </row>
    <row r="71" spans="1:17" x14ac:dyDescent="0.35">
      <c r="A71">
        <v>109158</v>
      </c>
      <c r="B71" t="s">
        <v>23</v>
      </c>
      <c r="C71" t="s">
        <v>44</v>
      </c>
      <c r="D71" t="s">
        <v>76</v>
      </c>
      <c r="E71" t="s">
        <v>57</v>
      </c>
      <c r="F71" t="s">
        <v>30</v>
      </c>
      <c r="G71" t="s">
        <v>46</v>
      </c>
      <c r="H71">
        <v>3</v>
      </c>
      <c r="I71" t="s">
        <v>33</v>
      </c>
      <c r="J71" s="2">
        <v>45708.208333333336</v>
      </c>
      <c r="K71" s="2">
        <v>45681.68133835648</v>
      </c>
      <c r="L71" s="2">
        <v>45588.166666666664</v>
      </c>
      <c r="M71" t="s">
        <v>1981</v>
      </c>
      <c r="N71" t="s">
        <v>1970</v>
      </c>
      <c r="O71" s="2">
        <v>45594.698161342596</v>
      </c>
      <c r="P71" s="2">
        <v>45611.686610300923</v>
      </c>
      <c r="Q71" s="7">
        <f t="shared" si="1"/>
        <v>14</v>
      </c>
    </row>
    <row r="72" spans="1:17" x14ac:dyDescent="0.35">
      <c r="A72">
        <v>109158</v>
      </c>
      <c r="B72" t="s">
        <v>23</v>
      </c>
      <c r="C72" t="s">
        <v>44</v>
      </c>
      <c r="D72" t="s">
        <v>76</v>
      </c>
      <c r="E72" t="s">
        <v>57</v>
      </c>
      <c r="F72" t="s">
        <v>30</v>
      </c>
      <c r="G72" t="s">
        <v>46</v>
      </c>
      <c r="H72">
        <v>3</v>
      </c>
      <c r="I72" t="s">
        <v>33</v>
      </c>
      <c r="J72" s="2">
        <v>45708.208333333336</v>
      </c>
      <c r="K72" s="2">
        <v>45681.68133835648</v>
      </c>
      <c r="L72" s="2">
        <v>45588.166666666664</v>
      </c>
      <c r="M72" t="s">
        <v>1981</v>
      </c>
      <c r="N72" t="s">
        <v>1970</v>
      </c>
      <c r="O72" s="2">
        <v>45615.610768391205</v>
      </c>
      <c r="P72" s="2">
        <v>45618.82049982639</v>
      </c>
      <c r="Q72" s="7">
        <f t="shared" si="1"/>
        <v>4</v>
      </c>
    </row>
    <row r="73" spans="1:17" x14ac:dyDescent="0.35">
      <c r="A73">
        <v>109887</v>
      </c>
      <c r="B73" t="s">
        <v>23</v>
      </c>
      <c r="C73" t="s">
        <v>44</v>
      </c>
      <c r="D73" t="s">
        <v>76</v>
      </c>
      <c r="E73" t="s">
        <v>57</v>
      </c>
      <c r="F73" t="s">
        <v>30</v>
      </c>
      <c r="G73" t="s">
        <v>28</v>
      </c>
      <c r="I73" t="s">
        <v>33</v>
      </c>
      <c r="J73" s="2">
        <v>45723.208333333336</v>
      </c>
      <c r="K73" s="2">
        <v>45699.703151550922</v>
      </c>
      <c r="L73" s="2">
        <v>45628.208333333336</v>
      </c>
      <c r="M73" t="s">
        <v>1981</v>
      </c>
      <c r="N73" t="s">
        <v>1970</v>
      </c>
      <c r="O73" s="2">
        <v>45629.692644421295</v>
      </c>
      <c r="P73" s="2">
        <v>45638.578055150465</v>
      </c>
      <c r="Q73" s="7">
        <f t="shared" si="1"/>
        <v>8</v>
      </c>
    </row>
    <row r="74" spans="1:17" x14ac:dyDescent="0.35">
      <c r="A74">
        <v>110312</v>
      </c>
      <c r="B74" t="s">
        <v>23</v>
      </c>
      <c r="C74" t="s">
        <v>44</v>
      </c>
      <c r="D74" t="s">
        <v>54</v>
      </c>
      <c r="E74" t="s">
        <v>57</v>
      </c>
      <c r="F74" t="s">
        <v>30</v>
      </c>
      <c r="G74" t="s">
        <v>28</v>
      </c>
      <c r="H74">
        <v>12</v>
      </c>
      <c r="I74" t="s">
        <v>33</v>
      </c>
      <c r="J74" s="2">
        <v>45806.166666666664</v>
      </c>
      <c r="K74" s="2">
        <v>45771.732643587966</v>
      </c>
      <c r="L74" s="2">
        <v>45653.208333333336</v>
      </c>
      <c r="M74" t="s">
        <v>1975</v>
      </c>
      <c r="N74" t="s">
        <v>1970</v>
      </c>
      <c r="O74" s="2">
        <v>45679.568187222219</v>
      </c>
      <c r="P74" s="2">
        <v>45698.734729791664</v>
      </c>
      <c r="Q74" s="7">
        <f t="shared" si="1"/>
        <v>14</v>
      </c>
    </row>
    <row r="75" spans="1:17" x14ac:dyDescent="0.35">
      <c r="A75">
        <v>110679</v>
      </c>
      <c r="B75" t="s">
        <v>23</v>
      </c>
      <c r="C75" t="s">
        <v>44</v>
      </c>
      <c r="D75" t="s">
        <v>76</v>
      </c>
      <c r="E75" t="s">
        <v>57</v>
      </c>
      <c r="F75" t="s">
        <v>30</v>
      </c>
      <c r="G75" t="s">
        <v>46</v>
      </c>
      <c r="I75" t="s">
        <v>33</v>
      </c>
      <c r="J75" s="2">
        <v>45747.166666666664</v>
      </c>
      <c r="K75" s="2">
        <v>45735.81783925926</v>
      </c>
      <c r="L75" s="2">
        <v>45677.208333333336</v>
      </c>
      <c r="M75" t="s">
        <v>1981</v>
      </c>
      <c r="N75" t="s">
        <v>1970</v>
      </c>
      <c r="O75" s="2">
        <v>45678.879913379627</v>
      </c>
      <c r="P75" s="2">
        <v>45681.770892546294</v>
      </c>
      <c r="Q75" s="7">
        <f t="shared" si="1"/>
        <v>4</v>
      </c>
    </row>
    <row r="76" spans="1:17" x14ac:dyDescent="0.35">
      <c r="A76">
        <v>110679</v>
      </c>
      <c r="B76" t="s">
        <v>23</v>
      </c>
      <c r="C76" t="s">
        <v>44</v>
      </c>
      <c r="D76" t="s">
        <v>76</v>
      </c>
      <c r="E76" t="s">
        <v>57</v>
      </c>
      <c r="F76" t="s">
        <v>30</v>
      </c>
      <c r="G76" t="s">
        <v>46</v>
      </c>
      <c r="I76" t="s">
        <v>33</v>
      </c>
      <c r="J76" s="2">
        <v>45747.166666666664</v>
      </c>
      <c r="K76" s="2">
        <v>45735.81783925926</v>
      </c>
      <c r="L76" s="2">
        <v>45677.208333333336</v>
      </c>
      <c r="M76" t="s">
        <v>1981</v>
      </c>
      <c r="N76" t="s">
        <v>1970</v>
      </c>
      <c r="O76" s="2">
        <v>45686.582854282409</v>
      </c>
      <c r="P76" s="2">
        <v>45716.786701215278</v>
      </c>
      <c r="Q76" s="7">
        <f t="shared" si="1"/>
        <v>23</v>
      </c>
    </row>
    <row r="77" spans="1:17" x14ac:dyDescent="0.35">
      <c r="A77">
        <v>110856</v>
      </c>
      <c r="B77" t="s">
        <v>23</v>
      </c>
      <c r="C77" t="s">
        <v>44</v>
      </c>
      <c r="D77" t="s">
        <v>98</v>
      </c>
      <c r="E77" t="s">
        <v>57</v>
      </c>
      <c r="F77" t="s">
        <v>30</v>
      </c>
      <c r="G77" t="s">
        <v>28</v>
      </c>
      <c r="H77">
        <v>14</v>
      </c>
      <c r="I77" t="s">
        <v>81</v>
      </c>
      <c r="J77" s="2">
        <v>45884.166666666664</v>
      </c>
      <c r="K77" s="2">
        <v>45868.866969490744</v>
      </c>
      <c r="L77" s="2">
        <v>45686.208333333336</v>
      </c>
      <c r="M77" t="s">
        <v>1977</v>
      </c>
      <c r="N77" t="s">
        <v>1970</v>
      </c>
      <c r="O77" s="2">
        <v>45707.700847129629</v>
      </c>
      <c r="P77" s="2">
        <v>45716.635241192133</v>
      </c>
      <c r="Q77" s="7">
        <f t="shared" si="1"/>
        <v>8</v>
      </c>
    </row>
    <row r="78" spans="1:17" x14ac:dyDescent="0.35">
      <c r="A78">
        <v>111022</v>
      </c>
      <c r="B78" t="s">
        <v>23</v>
      </c>
      <c r="C78" t="s">
        <v>44</v>
      </c>
      <c r="D78" t="s">
        <v>76</v>
      </c>
      <c r="E78" t="s">
        <v>57</v>
      </c>
      <c r="F78" t="s">
        <v>30</v>
      </c>
      <c r="G78" t="s">
        <v>46</v>
      </c>
      <c r="I78" t="s">
        <v>33</v>
      </c>
      <c r="J78" s="2">
        <v>45744.166666666664</v>
      </c>
      <c r="K78" s="2">
        <v>45736.562463587965</v>
      </c>
      <c r="L78" s="2">
        <v>45694.208333333336</v>
      </c>
      <c r="M78" t="s">
        <v>1981</v>
      </c>
      <c r="N78" t="s">
        <v>1970</v>
      </c>
      <c r="O78" s="2">
        <v>45699.751922673611</v>
      </c>
      <c r="P78" s="2">
        <v>45716.844796249999</v>
      </c>
      <c r="Q78" s="7">
        <f t="shared" si="1"/>
        <v>14</v>
      </c>
    </row>
    <row r="79" spans="1:17" x14ac:dyDescent="0.35">
      <c r="A79">
        <v>111315</v>
      </c>
      <c r="B79" t="s">
        <v>23</v>
      </c>
      <c r="C79" t="s">
        <v>44</v>
      </c>
      <c r="D79" t="s">
        <v>98</v>
      </c>
      <c r="E79" t="s">
        <v>57</v>
      </c>
      <c r="F79" t="s">
        <v>30</v>
      </c>
      <c r="G79" t="s">
        <v>46</v>
      </c>
      <c r="H79">
        <v>10</v>
      </c>
      <c r="I79" t="s">
        <v>81</v>
      </c>
      <c r="J79" s="2">
        <v>45849.166666666664</v>
      </c>
      <c r="K79" s="2">
        <v>45844.735818402776</v>
      </c>
      <c r="L79" s="2">
        <v>45712.208333333336</v>
      </c>
      <c r="M79" t="s">
        <v>1981</v>
      </c>
      <c r="N79" t="s">
        <v>1970</v>
      </c>
      <c r="O79" s="2">
        <v>45720.634798321757</v>
      </c>
      <c r="P79" s="2">
        <v>45800.565103854169</v>
      </c>
      <c r="Q79" s="7">
        <f t="shared" si="1"/>
        <v>59</v>
      </c>
    </row>
    <row r="80" spans="1:17" x14ac:dyDescent="0.35">
      <c r="A80">
        <v>111336</v>
      </c>
      <c r="B80" t="s">
        <v>23</v>
      </c>
      <c r="C80" t="s">
        <v>44</v>
      </c>
      <c r="D80" t="s">
        <v>36</v>
      </c>
      <c r="E80" t="s">
        <v>57</v>
      </c>
      <c r="F80" t="s">
        <v>30</v>
      </c>
      <c r="G80" t="s">
        <v>28</v>
      </c>
      <c r="H80">
        <v>19</v>
      </c>
      <c r="I80" t="s">
        <v>33</v>
      </c>
      <c r="J80" s="2">
        <v>45765.166666666664</v>
      </c>
      <c r="K80" s="2">
        <v>45769.747007951388</v>
      </c>
      <c r="L80" s="2">
        <v>45712.208333333336</v>
      </c>
      <c r="M80" t="s">
        <v>1979</v>
      </c>
      <c r="N80" t="s">
        <v>1970</v>
      </c>
      <c r="O80" s="2">
        <v>45740.725063680555</v>
      </c>
      <c r="P80" s="2">
        <v>45744.620252974535</v>
      </c>
      <c r="Q80" s="7">
        <f t="shared" si="1"/>
        <v>5</v>
      </c>
    </row>
    <row r="81" spans="1:17" x14ac:dyDescent="0.35">
      <c r="A81">
        <v>111395</v>
      </c>
      <c r="B81" t="s">
        <v>23</v>
      </c>
      <c r="C81" t="s">
        <v>44</v>
      </c>
      <c r="D81" t="s">
        <v>98</v>
      </c>
      <c r="E81" t="s">
        <v>57</v>
      </c>
      <c r="F81" t="s">
        <v>30</v>
      </c>
      <c r="G81" t="s">
        <v>46</v>
      </c>
      <c r="H81">
        <v>12</v>
      </c>
      <c r="I81" t="s">
        <v>33</v>
      </c>
      <c r="J81" s="2">
        <v>46203.166666666664</v>
      </c>
      <c r="K81" s="2">
        <v>45852.804294780093</v>
      </c>
      <c r="L81" s="2">
        <v>45714.208333333336</v>
      </c>
      <c r="M81" t="s">
        <v>1981</v>
      </c>
      <c r="N81" t="s">
        <v>1970</v>
      </c>
      <c r="O81" s="2">
        <v>45715.793390474537</v>
      </c>
      <c r="P81" s="2">
        <v>45804.621288912036</v>
      </c>
      <c r="Q81" s="7">
        <f t="shared" si="1"/>
        <v>64</v>
      </c>
    </row>
    <row r="82" spans="1:17" x14ac:dyDescent="0.35">
      <c r="A82">
        <v>111395</v>
      </c>
      <c r="B82" t="s">
        <v>23</v>
      </c>
      <c r="C82" t="s">
        <v>44</v>
      </c>
      <c r="D82" t="s">
        <v>98</v>
      </c>
      <c r="E82" t="s">
        <v>57</v>
      </c>
      <c r="F82" t="s">
        <v>30</v>
      </c>
      <c r="G82" t="s">
        <v>46</v>
      </c>
      <c r="H82">
        <v>12</v>
      </c>
      <c r="I82" t="s">
        <v>33</v>
      </c>
      <c r="J82" s="2">
        <v>46203.166666666664</v>
      </c>
      <c r="K82" s="2">
        <v>45852.804294780093</v>
      </c>
      <c r="L82" s="2">
        <v>45714.208333333336</v>
      </c>
      <c r="M82" t="s">
        <v>1979</v>
      </c>
      <c r="N82" t="s">
        <v>1970</v>
      </c>
      <c r="O82" s="2">
        <v>45814.633962199077</v>
      </c>
      <c r="P82" s="2">
        <v>45817.742059201388</v>
      </c>
      <c r="Q82" s="7">
        <f t="shared" si="1"/>
        <v>2</v>
      </c>
    </row>
    <row r="83" spans="1:17" x14ac:dyDescent="0.35">
      <c r="A83">
        <v>111395</v>
      </c>
      <c r="B83" t="s">
        <v>23</v>
      </c>
      <c r="C83" t="s">
        <v>44</v>
      </c>
      <c r="D83" t="s">
        <v>98</v>
      </c>
      <c r="E83" t="s">
        <v>57</v>
      </c>
      <c r="F83" t="s">
        <v>30</v>
      </c>
      <c r="G83" t="s">
        <v>46</v>
      </c>
      <c r="H83">
        <v>12</v>
      </c>
      <c r="I83" t="s">
        <v>33</v>
      </c>
      <c r="J83" s="2">
        <v>46203.166666666664</v>
      </c>
      <c r="K83" s="2">
        <v>45852.804294780093</v>
      </c>
      <c r="L83" s="2">
        <v>45714.208333333336</v>
      </c>
      <c r="M83" t="s">
        <v>1975</v>
      </c>
      <c r="N83" t="s">
        <v>1970</v>
      </c>
      <c r="O83" s="2">
        <v>45817.742377719907</v>
      </c>
      <c r="P83" s="2">
        <v>45819.605193148149</v>
      </c>
      <c r="Q83" s="7">
        <f t="shared" si="1"/>
        <v>3</v>
      </c>
    </row>
    <row r="84" spans="1:17" x14ac:dyDescent="0.35">
      <c r="A84">
        <v>111471</v>
      </c>
      <c r="B84" t="s">
        <v>23</v>
      </c>
      <c r="C84" t="s">
        <v>44</v>
      </c>
      <c r="D84" t="s">
        <v>54</v>
      </c>
      <c r="E84" t="s">
        <v>57</v>
      </c>
      <c r="F84" t="s">
        <v>30</v>
      </c>
      <c r="G84" t="s">
        <v>46</v>
      </c>
      <c r="I84" t="s">
        <v>33</v>
      </c>
      <c r="J84" s="2">
        <v>45763.166666666664</v>
      </c>
      <c r="K84" s="2">
        <v>45747.80031903935</v>
      </c>
      <c r="L84" s="2">
        <v>45716.208333333336</v>
      </c>
      <c r="M84" t="s">
        <v>1981</v>
      </c>
      <c r="N84" t="s">
        <v>1970</v>
      </c>
      <c r="O84" s="2">
        <v>45720.841761365744</v>
      </c>
      <c r="P84" s="2">
        <v>45730.750025162037</v>
      </c>
      <c r="Q84" s="7">
        <f t="shared" si="1"/>
        <v>9</v>
      </c>
    </row>
    <row r="85" spans="1:17" x14ac:dyDescent="0.35">
      <c r="A85">
        <v>111746</v>
      </c>
      <c r="B85" t="s">
        <v>23</v>
      </c>
      <c r="C85" t="s">
        <v>44</v>
      </c>
      <c r="D85" t="s">
        <v>76</v>
      </c>
      <c r="E85" t="s">
        <v>57</v>
      </c>
      <c r="F85" t="s">
        <v>30</v>
      </c>
      <c r="G85" t="s">
        <v>46</v>
      </c>
      <c r="I85" t="s">
        <v>33</v>
      </c>
      <c r="J85" s="2">
        <v>45863.166666666664</v>
      </c>
      <c r="K85" s="2">
        <v>45852.801702557874</v>
      </c>
      <c r="L85" s="2">
        <v>45730.166666666664</v>
      </c>
      <c r="M85" t="s">
        <v>1981</v>
      </c>
      <c r="N85" t="s">
        <v>1970</v>
      </c>
      <c r="O85" s="2">
        <v>45755.643043611111</v>
      </c>
      <c r="P85" s="2">
        <v>45758.554109456018</v>
      </c>
      <c r="Q85" s="7">
        <f t="shared" si="1"/>
        <v>4</v>
      </c>
    </row>
    <row r="86" spans="1:17" x14ac:dyDescent="0.35">
      <c r="A86">
        <v>111758</v>
      </c>
      <c r="B86" t="s">
        <v>23</v>
      </c>
      <c r="C86" t="s">
        <v>44</v>
      </c>
      <c r="D86" t="s">
        <v>98</v>
      </c>
      <c r="E86" t="s">
        <v>57</v>
      </c>
      <c r="F86" t="s">
        <v>30</v>
      </c>
      <c r="G86" t="s">
        <v>46</v>
      </c>
      <c r="H86">
        <v>11</v>
      </c>
      <c r="J86" s="2">
        <v>46203.166666666664</v>
      </c>
      <c r="K86" s="2">
        <v>45839.819126886578</v>
      </c>
      <c r="L86" s="2">
        <v>45734.166666666664</v>
      </c>
      <c r="M86" t="s">
        <v>1981</v>
      </c>
      <c r="N86" t="s">
        <v>1970</v>
      </c>
      <c r="O86" s="2">
        <v>45740.723764733797</v>
      </c>
      <c r="P86" s="2">
        <v>45800.565004965276</v>
      </c>
      <c r="Q86" s="7">
        <f t="shared" si="1"/>
        <v>45</v>
      </c>
    </row>
    <row r="87" spans="1:17" x14ac:dyDescent="0.35">
      <c r="A87">
        <v>112658</v>
      </c>
      <c r="B87" t="s">
        <v>23</v>
      </c>
      <c r="C87" t="s">
        <v>44</v>
      </c>
      <c r="D87" t="s">
        <v>76</v>
      </c>
      <c r="E87" t="s">
        <v>57</v>
      </c>
      <c r="F87" t="s">
        <v>30</v>
      </c>
      <c r="G87" t="s">
        <v>46</v>
      </c>
      <c r="I87" t="s">
        <v>33</v>
      </c>
      <c r="J87" s="2">
        <v>45903.166666666664</v>
      </c>
      <c r="K87" s="2">
        <v>45866.55716802083</v>
      </c>
      <c r="L87" s="2">
        <v>45771.166666666664</v>
      </c>
      <c r="M87" t="s">
        <v>1981</v>
      </c>
      <c r="N87" t="s">
        <v>1970</v>
      </c>
      <c r="O87" s="2">
        <v>45776.771379375001</v>
      </c>
      <c r="P87" s="2">
        <v>45817.824068229165</v>
      </c>
      <c r="Q87" s="7">
        <f t="shared" si="1"/>
        <v>30</v>
      </c>
    </row>
    <row r="88" spans="1:17" x14ac:dyDescent="0.35">
      <c r="A88">
        <v>113644</v>
      </c>
      <c r="B88" t="s">
        <v>23</v>
      </c>
      <c r="C88" t="s">
        <v>44</v>
      </c>
      <c r="D88" t="s">
        <v>76</v>
      </c>
      <c r="E88" t="s">
        <v>57</v>
      </c>
      <c r="F88" t="s">
        <v>30</v>
      </c>
      <c r="G88" t="s">
        <v>28</v>
      </c>
      <c r="I88" t="s">
        <v>33</v>
      </c>
      <c r="J88" s="2">
        <v>45903.166666666664</v>
      </c>
      <c r="K88" s="2">
        <v>45869.839183865741</v>
      </c>
      <c r="L88" s="2">
        <v>45824.166666666664</v>
      </c>
      <c r="M88" t="s">
        <v>1981</v>
      </c>
      <c r="N88" t="s">
        <v>1970</v>
      </c>
      <c r="O88" s="2">
        <v>45825.686147997687</v>
      </c>
      <c r="P88" s="2">
        <v>45832.520826018517</v>
      </c>
      <c r="Q88" s="7">
        <f t="shared" si="1"/>
        <v>6</v>
      </c>
    </row>
    <row r="89" spans="1:17" x14ac:dyDescent="0.35">
      <c r="A89">
        <v>114305</v>
      </c>
      <c r="B89" t="s">
        <v>23</v>
      </c>
      <c r="C89" t="s">
        <v>44</v>
      </c>
      <c r="D89" t="s">
        <v>36</v>
      </c>
      <c r="E89" t="s">
        <v>57</v>
      </c>
      <c r="F89" t="s">
        <v>30</v>
      </c>
      <c r="G89" t="s">
        <v>46</v>
      </c>
      <c r="I89" t="s">
        <v>33</v>
      </c>
      <c r="J89" s="2">
        <v>45891.166666666664</v>
      </c>
      <c r="K89" s="2">
        <v>45869.731115613424</v>
      </c>
      <c r="L89" s="2">
        <v>45859.166666666664</v>
      </c>
      <c r="M89" t="s">
        <v>1981</v>
      </c>
      <c r="N89" t="s">
        <v>1970</v>
      </c>
      <c r="O89" s="2">
        <v>45860.561518634262</v>
      </c>
      <c r="P89" s="2">
        <v>45862.556026006947</v>
      </c>
      <c r="Q89" s="7">
        <f t="shared" si="1"/>
        <v>3</v>
      </c>
    </row>
    <row r="90" spans="1:17" x14ac:dyDescent="0.35">
      <c r="A90">
        <v>96147</v>
      </c>
      <c r="B90" t="s">
        <v>23</v>
      </c>
      <c r="C90" t="s">
        <v>44</v>
      </c>
      <c r="D90" t="s">
        <v>54</v>
      </c>
      <c r="E90" t="s">
        <v>57</v>
      </c>
      <c r="F90" t="s">
        <v>30</v>
      </c>
      <c r="G90" t="s">
        <v>28</v>
      </c>
      <c r="H90">
        <v>11</v>
      </c>
      <c r="J90" s="2">
        <v>45387.166666666664</v>
      </c>
      <c r="K90" s="2">
        <v>45784.891706631941</v>
      </c>
      <c r="L90" s="2">
        <v>44938.208333333336</v>
      </c>
      <c r="M90" t="s">
        <v>1969</v>
      </c>
      <c r="N90" t="s">
        <v>1984</v>
      </c>
      <c r="O90" s="2">
        <v>45223.704033148148</v>
      </c>
      <c r="P90" s="2">
        <v>45293.857074687498</v>
      </c>
      <c r="Q90" s="7">
        <f t="shared" si="1"/>
        <v>51</v>
      </c>
    </row>
    <row r="91" spans="1:17" x14ac:dyDescent="0.35">
      <c r="A91">
        <v>97184</v>
      </c>
      <c r="B91" t="s">
        <v>23</v>
      </c>
      <c r="C91" t="s">
        <v>44</v>
      </c>
      <c r="D91" t="s">
        <v>54</v>
      </c>
      <c r="E91" t="s">
        <v>57</v>
      </c>
      <c r="F91" t="s">
        <v>30</v>
      </c>
      <c r="G91" t="s">
        <v>28</v>
      </c>
      <c r="I91" t="s">
        <v>33</v>
      </c>
      <c r="J91" s="2">
        <v>45687.208333333336</v>
      </c>
      <c r="K91" s="2">
        <v>45730.808892187502</v>
      </c>
      <c r="L91" s="2">
        <v>44986.208333333336</v>
      </c>
      <c r="M91" t="s">
        <v>1981</v>
      </c>
      <c r="N91" t="s">
        <v>1976</v>
      </c>
      <c r="O91" s="2">
        <v>45502.791954849534</v>
      </c>
      <c r="P91" s="2">
        <v>45506.714060046295</v>
      </c>
      <c r="Q91" s="7">
        <f t="shared" si="1"/>
        <v>5</v>
      </c>
    </row>
    <row r="92" spans="1:17" x14ac:dyDescent="0.35">
      <c r="A92" t="s">
        <v>729</v>
      </c>
      <c r="B92" t="s">
        <v>23</v>
      </c>
      <c r="C92" t="s">
        <v>44</v>
      </c>
      <c r="D92" t="s">
        <v>54</v>
      </c>
      <c r="E92" t="s">
        <v>38</v>
      </c>
      <c r="F92" t="s">
        <v>30</v>
      </c>
      <c r="G92" t="s">
        <v>28</v>
      </c>
      <c r="H92">
        <v>13</v>
      </c>
      <c r="J92" s="2">
        <v>45532.166666666664</v>
      </c>
      <c r="K92" s="2">
        <v>45590.660477164354</v>
      </c>
      <c r="L92" s="2">
        <v>44265.701539351852</v>
      </c>
      <c r="M92" t="s">
        <v>1971</v>
      </c>
      <c r="N92" t="s">
        <v>1984</v>
      </c>
      <c r="O92" s="2">
        <v>44797.806550706016</v>
      </c>
      <c r="P92" s="2">
        <v>44802.606512592596</v>
      </c>
      <c r="Q92" s="7">
        <f t="shared" si="1"/>
        <v>4</v>
      </c>
    </row>
    <row r="93" spans="1:17" x14ac:dyDescent="0.35">
      <c r="A93" t="s">
        <v>876</v>
      </c>
      <c r="B93" t="s">
        <v>23</v>
      </c>
      <c r="C93" t="s">
        <v>44</v>
      </c>
      <c r="D93" t="s">
        <v>135</v>
      </c>
      <c r="E93" t="s">
        <v>32</v>
      </c>
      <c r="F93" t="s">
        <v>30</v>
      </c>
      <c r="G93" t="s">
        <v>28</v>
      </c>
      <c r="H93">
        <v>18</v>
      </c>
      <c r="J93" s="2">
        <v>44540.208333333336</v>
      </c>
      <c r="K93" s="2">
        <v>45580.607528819448</v>
      </c>
      <c r="L93" s="2">
        <v>44378.140081018515</v>
      </c>
      <c r="M93" t="s">
        <v>1971</v>
      </c>
      <c r="N93" t="s">
        <v>1985</v>
      </c>
      <c r="O93" s="2">
        <v>45314.868193287039</v>
      </c>
      <c r="P93" s="2">
        <v>45358.619302106483</v>
      </c>
      <c r="Q93" s="7">
        <f t="shared" si="1"/>
        <v>33</v>
      </c>
    </row>
    <row r="94" spans="1:17" x14ac:dyDescent="0.35">
      <c r="A94" t="s">
        <v>737</v>
      </c>
      <c r="B94" t="s">
        <v>23</v>
      </c>
      <c r="C94" t="s">
        <v>44</v>
      </c>
      <c r="D94" t="s">
        <v>135</v>
      </c>
      <c r="E94" t="s">
        <v>32</v>
      </c>
      <c r="F94" t="s">
        <v>30</v>
      </c>
      <c r="G94" t="s">
        <v>28</v>
      </c>
      <c r="H94">
        <v>13</v>
      </c>
      <c r="J94" s="2">
        <v>45169.166666666664</v>
      </c>
      <c r="K94" s="2">
        <v>45721.831060578705</v>
      </c>
      <c r="L94" s="2">
        <v>44449.397847222222</v>
      </c>
      <c r="M94" t="s">
        <v>1969</v>
      </c>
      <c r="N94" t="s">
        <v>1970</v>
      </c>
      <c r="O94" s="2">
        <v>45000.627775763889</v>
      </c>
      <c r="P94" s="2">
        <v>45092.576215185189</v>
      </c>
      <c r="Q94" s="7">
        <f t="shared" si="1"/>
        <v>67</v>
      </c>
    </row>
    <row r="95" spans="1:17" x14ac:dyDescent="0.35">
      <c r="A95" t="s">
        <v>737</v>
      </c>
      <c r="B95" t="s">
        <v>23</v>
      </c>
      <c r="C95" t="s">
        <v>44</v>
      </c>
      <c r="D95" t="s">
        <v>135</v>
      </c>
      <c r="E95" t="s">
        <v>32</v>
      </c>
      <c r="F95" t="s">
        <v>30</v>
      </c>
      <c r="G95" t="s">
        <v>28</v>
      </c>
      <c r="H95">
        <v>13</v>
      </c>
      <c r="J95" s="2">
        <v>45169.166666666664</v>
      </c>
      <c r="K95" s="2">
        <v>45721.831060578705</v>
      </c>
      <c r="L95" s="2">
        <v>44449.397847222222</v>
      </c>
      <c r="M95" t="s">
        <v>1969</v>
      </c>
      <c r="N95" t="s">
        <v>1970</v>
      </c>
      <c r="O95" s="2">
        <v>45092.577051736109</v>
      </c>
      <c r="P95" s="2">
        <v>45096.785591990738</v>
      </c>
      <c r="Q95" s="7">
        <f t="shared" si="1"/>
        <v>3</v>
      </c>
    </row>
    <row r="96" spans="1:17" x14ac:dyDescent="0.35">
      <c r="A96" t="s">
        <v>737</v>
      </c>
      <c r="B96" t="s">
        <v>23</v>
      </c>
      <c r="C96" t="s">
        <v>44</v>
      </c>
      <c r="D96" t="s">
        <v>135</v>
      </c>
      <c r="E96" t="s">
        <v>32</v>
      </c>
      <c r="F96" t="s">
        <v>30</v>
      </c>
      <c r="G96" t="s">
        <v>28</v>
      </c>
      <c r="H96">
        <v>13</v>
      </c>
      <c r="J96" s="2">
        <v>45169.166666666664</v>
      </c>
      <c r="K96" s="2">
        <v>45721.831060578705</v>
      </c>
      <c r="L96" s="2">
        <v>44449.397847222222</v>
      </c>
      <c r="M96" t="s">
        <v>1971</v>
      </c>
      <c r="N96" t="s">
        <v>1974</v>
      </c>
      <c r="O96" s="2">
        <v>45107.602623784725</v>
      </c>
      <c r="P96" s="2">
        <v>45204.581975347224</v>
      </c>
      <c r="Q96" s="7">
        <f t="shared" si="1"/>
        <v>70</v>
      </c>
    </row>
    <row r="97" spans="1:17" x14ac:dyDescent="0.35">
      <c r="A97" t="s">
        <v>1045</v>
      </c>
      <c r="B97" t="s">
        <v>23</v>
      </c>
      <c r="C97" t="s">
        <v>44</v>
      </c>
      <c r="D97" t="s">
        <v>135</v>
      </c>
      <c r="E97" t="s">
        <v>32</v>
      </c>
      <c r="F97" t="s">
        <v>30</v>
      </c>
      <c r="G97" t="s">
        <v>28</v>
      </c>
      <c r="J97" s="2">
        <v>45092.166666666664</v>
      </c>
      <c r="K97" s="2">
        <v>45597.081542291664</v>
      </c>
      <c r="L97" s="2">
        <v>44601.704756944448</v>
      </c>
      <c r="M97" t="s">
        <v>1969</v>
      </c>
      <c r="N97" t="s">
        <v>1970</v>
      </c>
      <c r="O97" s="2">
        <v>44615.631951527779</v>
      </c>
      <c r="P97" s="2">
        <v>44672.827108263889</v>
      </c>
      <c r="Q97" s="7">
        <f t="shared" si="1"/>
        <v>42</v>
      </c>
    </row>
    <row r="98" spans="1:17" x14ac:dyDescent="0.35">
      <c r="A98" t="s">
        <v>1045</v>
      </c>
      <c r="B98" t="s">
        <v>23</v>
      </c>
      <c r="C98" t="s">
        <v>44</v>
      </c>
      <c r="D98" t="s">
        <v>135</v>
      </c>
      <c r="E98" t="s">
        <v>32</v>
      </c>
      <c r="F98" t="s">
        <v>30</v>
      </c>
      <c r="G98" t="s">
        <v>28</v>
      </c>
      <c r="J98" s="2">
        <v>45092.166666666664</v>
      </c>
      <c r="K98" s="2">
        <v>45597.081542291664</v>
      </c>
      <c r="L98" s="2">
        <v>44601.704756944448</v>
      </c>
      <c r="M98" t="s">
        <v>1969</v>
      </c>
      <c r="N98" t="s">
        <v>1974</v>
      </c>
      <c r="O98" s="2">
        <v>44700.934923217595</v>
      </c>
      <c r="P98" s="2">
        <v>44952.566719884257</v>
      </c>
      <c r="Q98" s="7">
        <f t="shared" si="1"/>
        <v>181</v>
      </c>
    </row>
    <row r="99" spans="1:17" x14ac:dyDescent="0.35">
      <c r="A99" t="s">
        <v>1045</v>
      </c>
      <c r="B99" t="s">
        <v>23</v>
      </c>
      <c r="C99" t="s">
        <v>44</v>
      </c>
      <c r="D99" t="s">
        <v>135</v>
      </c>
      <c r="E99" t="s">
        <v>32</v>
      </c>
      <c r="F99" t="s">
        <v>30</v>
      </c>
      <c r="G99" t="s">
        <v>28</v>
      </c>
      <c r="J99" s="2">
        <v>45092.166666666664</v>
      </c>
      <c r="K99" s="2">
        <v>45597.081542291664</v>
      </c>
      <c r="L99" s="2">
        <v>44601.704756944448</v>
      </c>
      <c r="M99" t="s">
        <v>1972</v>
      </c>
      <c r="N99" t="s">
        <v>1986</v>
      </c>
      <c r="O99" s="2">
        <v>44992.769256979169</v>
      </c>
      <c r="P99" s="2">
        <v>45030.614187372688</v>
      </c>
      <c r="Q99" s="7">
        <f t="shared" si="1"/>
        <v>29</v>
      </c>
    </row>
    <row r="100" spans="1:17" x14ac:dyDescent="0.35">
      <c r="A100" t="s">
        <v>1045</v>
      </c>
      <c r="B100" t="s">
        <v>23</v>
      </c>
      <c r="C100" t="s">
        <v>44</v>
      </c>
      <c r="D100" t="s">
        <v>135</v>
      </c>
      <c r="E100" t="s">
        <v>32</v>
      </c>
      <c r="F100" t="s">
        <v>30</v>
      </c>
      <c r="G100" t="s">
        <v>28</v>
      </c>
      <c r="J100" s="2">
        <v>45092.166666666664</v>
      </c>
      <c r="K100" s="2">
        <v>45597.081542291664</v>
      </c>
      <c r="L100" s="2">
        <v>44601.704756944448</v>
      </c>
      <c r="M100" t="s">
        <v>1972</v>
      </c>
      <c r="N100" t="s">
        <v>1987</v>
      </c>
      <c r="O100" s="2">
        <v>45054.764509513887</v>
      </c>
      <c r="P100" s="2">
        <v>45069.63629800926</v>
      </c>
      <c r="Q100" s="7">
        <f t="shared" si="1"/>
        <v>12</v>
      </c>
    </row>
    <row r="101" spans="1:17" x14ac:dyDescent="0.35">
      <c r="A101" t="s">
        <v>1045</v>
      </c>
      <c r="B101" t="s">
        <v>23</v>
      </c>
      <c r="C101" t="s">
        <v>44</v>
      </c>
      <c r="D101" t="s">
        <v>135</v>
      </c>
      <c r="E101" t="s">
        <v>32</v>
      </c>
      <c r="F101" t="s">
        <v>30</v>
      </c>
      <c r="G101" t="s">
        <v>28</v>
      </c>
      <c r="J101" s="2">
        <v>45092.166666666664</v>
      </c>
      <c r="K101" s="2">
        <v>45597.081542291664</v>
      </c>
      <c r="L101" s="2">
        <v>44601.704756944448</v>
      </c>
      <c r="M101" t="s">
        <v>1971</v>
      </c>
      <c r="N101" t="s">
        <v>1970</v>
      </c>
      <c r="O101" s="2">
        <v>45092.848714120373</v>
      </c>
      <c r="P101" s="2">
        <v>45126.654645671297</v>
      </c>
      <c r="Q101" s="7">
        <f t="shared" si="1"/>
        <v>25</v>
      </c>
    </row>
    <row r="102" spans="1:17" x14ac:dyDescent="0.35">
      <c r="A102" t="s">
        <v>1045</v>
      </c>
      <c r="B102" t="s">
        <v>23</v>
      </c>
      <c r="C102" t="s">
        <v>44</v>
      </c>
      <c r="D102" t="s">
        <v>135</v>
      </c>
      <c r="E102" t="s">
        <v>32</v>
      </c>
      <c r="F102" t="s">
        <v>30</v>
      </c>
      <c r="G102" t="s">
        <v>28</v>
      </c>
      <c r="J102" s="2">
        <v>45092.166666666664</v>
      </c>
      <c r="K102" s="2">
        <v>45597.081542291664</v>
      </c>
      <c r="L102" s="2">
        <v>44601.704756944448</v>
      </c>
      <c r="M102" t="s">
        <v>1971</v>
      </c>
      <c r="N102" t="s">
        <v>1970</v>
      </c>
      <c r="O102" s="2">
        <v>45208.764238009258</v>
      </c>
      <c r="P102" s="2">
        <v>45313.937203541667</v>
      </c>
      <c r="Q102" s="7">
        <f t="shared" si="1"/>
        <v>76</v>
      </c>
    </row>
    <row r="103" spans="1:17" x14ac:dyDescent="0.35">
      <c r="A103" t="s">
        <v>1546</v>
      </c>
      <c r="B103" t="s">
        <v>23</v>
      </c>
      <c r="C103" t="s">
        <v>44</v>
      </c>
      <c r="D103" t="s">
        <v>54</v>
      </c>
      <c r="E103" t="s">
        <v>349</v>
      </c>
      <c r="F103" t="s">
        <v>30</v>
      </c>
      <c r="G103" t="s">
        <v>1441</v>
      </c>
      <c r="H103">
        <v>8</v>
      </c>
      <c r="J103" s="2">
        <v>45205.166666666664</v>
      </c>
      <c r="K103" s="2">
        <v>45401.558160949076</v>
      </c>
      <c r="L103" s="2">
        <v>44692.856909722221</v>
      </c>
      <c r="M103" t="s">
        <v>1988</v>
      </c>
      <c r="N103" t="s">
        <v>1984</v>
      </c>
      <c r="O103" s="2">
        <v>45299.650104340275</v>
      </c>
      <c r="P103" s="2">
        <v>45313.634666736114</v>
      </c>
      <c r="Q103" s="7">
        <f t="shared" si="1"/>
        <v>13.984562395839021</v>
      </c>
    </row>
    <row r="104" spans="1:17" x14ac:dyDescent="0.35">
      <c r="A104" t="s">
        <v>549</v>
      </c>
      <c r="B104" t="s">
        <v>23</v>
      </c>
      <c r="C104" t="s">
        <v>44</v>
      </c>
      <c r="D104" t="s">
        <v>51</v>
      </c>
      <c r="E104" t="s">
        <v>349</v>
      </c>
      <c r="F104" t="s">
        <v>30</v>
      </c>
      <c r="G104" t="s">
        <v>28</v>
      </c>
      <c r="H104">
        <v>9</v>
      </c>
      <c r="J104" s="2">
        <v>45338.208333333336</v>
      </c>
      <c r="K104" s="2">
        <v>45386.675268587962</v>
      </c>
      <c r="L104" s="2">
        <v>44692.863923611112</v>
      </c>
      <c r="M104" t="s">
        <v>1988</v>
      </c>
      <c r="N104" t="s">
        <v>1984</v>
      </c>
      <c r="O104" s="2">
        <v>45299.65025741898</v>
      </c>
      <c r="P104" s="2">
        <v>45313.634574131946</v>
      </c>
      <c r="Q104" s="7">
        <f t="shared" si="1"/>
        <v>13.984316712965665</v>
      </c>
    </row>
    <row r="105" spans="1:17" x14ac:dyDescent="0.35">
      <c r="A105" t="s">
        <v>347</v>
      </c>
      <c r="B105" t="s">
        <v>23</v>
      </c>
      <c r="C105" t="s">
        <v>44</v>
      </c>
      <c r="D105" t="s">
        <v>54</v>
      </c>
      <c r="E105" t="s">
        <v>349</v>
      </c>
      <c r="F105" t="s">
        <v>30</v>
      </c>
      <c r="G105" t="s">
        <v>28</v>
      </c>
      <c r="H105">
        <v>3</v>
      </c>
      <c r="J105" s="2">
        <v>44915.208333333336</v>
      </c>
      <c r="K105" s="2">
        <v>45299.541135659725</v>
      </c>
      <c r="L105" s="2">
        <v>44692.877291666664</v>
      </c>
      <c r="M105" t="s">
        <v>1972</v>
      </c>
      <c r="N105" t="s">
        <v>1984</v>
      </c>
      <c r="O105" s="2">
        <v>44930.798189768517</v>
      </c>
      <c r="P105" s="2">
        <v>44943.883161134261</v>
      </c>
      <c r="Q105" s="7">
        <f t="shared" si="1"/>
        <v>13.084971365744423</v>
      </c>
    </row>
    <row r="106" spans="1:17" x14ac:dyDescent="0.35">
      <c r="A106" t="s">
        <v>347</v>
      </c>
      <c r="B106" t="s">
        <v>23</v>
      </c>
      <c r="C106" t="s">
        <v>44</v>
      </c>
      <c r="D106" t="s">
        <v>54</v>
      </c>
      <c r="E106" t="s">
        <v>349</v>
      </c>
      <c r="F106" t="s">
        <v>30</v>
      </c>
      <c r="G106" t="s">
        <v>28</v>
      </c>
      <c r="H106">
        <v>3</v>
      </c>
      <c r="J106" s="2">
        <v>44915.208333333336</v>
      </c>
      <c r="K106" s="2">
        <v>45299.541135659725</v>
      </c>
      <c r="L106" s="2">
        <v>44692.877291666664</v>
      </c>
      <c r="M106" t="s">
        <v>1971</v>
      </c>
      <c r="N106" t="s">
        <v>1984</v>
      </c>
      <c r="O106" s="2">
        <v>44958.922929490742</v>
      </c>
      <c r="P106" s="2">
        <v>44988.727180590278</v>
      </c>
      <c r="Q106" s="7">
        <f t="shared" si="1"/>
        <v>29.804251099536486</v>
      </c>
    </row>
    <row r="107" spans="1:17" x14ac:dyDescent="0.35">
      <c r="A107" t="s">
        <v>347</v>
      </c>
      <c r="B107" t="s">
        <v>23</v>
      </c>
      <c r="C107" t="s">
        <v>44</v>
      </c>
      <c r="D107" t="s">
        <v>54</v>
      </c>
      <c r="E107" t="s">
        <v>349</v>
      </c>
      <c r="F107" t="s">
        <v>30</v>
      </c>
      <c r="G107" t="s">
        <v>28</v>
      </c>
      <c r="H107">
        <v>3</v>
      </c>
      <c r="J107" s="2">
        <v>44915.208333333336</v>
      </c>
      <c r="K107" s="2">
        <v>45299.541135659725</v>
      </c>
      <c r="L107" s="2">
        <v>44692.877291666664</v>
      </c>
      <c r="M107" t="s">
        <v>1989</v>
      </c>
      <c r="N107" t="s">
        <v>1990</v>
      </c>
      <c r="O107" s="2">
        <v>45279.916289918983</v>
      </c>
      <c r="P107" s="2">
        <v>45296.655784710645</v>
      </c>
      <c r="Q107" s="7">
        <f t="shared" si="1"/>
        <v>16.739494791661855</v>
      </c>
    </row>
    <row r="108" spans="1:17" x14ac:dyDescent="0.35">
      <c r="A108" t="s">
        <v>505</v>
      </c>
      <c r="B108" t="s">
        <v>23</v>
      </c>
      <c r="C108" t="s">
        <v>44</v>
      </c>
      <c r="D108" t="s">
        <v>54</v>
      </c>
      <c r="E108" t="s">
        <v>349</v>
      </c>
      <c r="F108" t="s">
        <v>30</v>
      </c>
      <c r="G108" t="s">
        <v>28</v>
      </c>
      <c r="H108">
        <v>7</v>
      </c>
      <c r="J108" s="2">
        <v>44915.208333333336</v>
      </c>
      <c r="K108" s="2">
        <v>45386.769983437502</v>
      </c>
      <c r="L108" s="2">
        <v>44692.879537037035</v>
      </c>
      <c r="M108" t="s">
        <v>1980</v>
      </c>
      <c r="N108" t="s">
        <v>1984</v>
      </c>
      <c r="O108" s="2">
        <v>44930.798446030094</v>
      </c>
      <c r="P108" s="2">
        <v>44943.883299664354</v>
      </c>
      <c r="Q108" s="7">
        <f t="shared" si="1"/>
        <v>13.084853634260071</v>
      </c>
    </row>
    <row r="109" spans="1:17" x14ac:dyDescent="0.35">
      <c r="A109" t="s">
        <v>505</v>
      </c>
      <c r="B109" t="s">
        <v>23</v>
      </c>
      <c r="C109" t="s">
        <v>44</v>
      </c>
      <c r="D109" t="s">
        <v>54</v>
      </c>
      <c r="E109" t="s">
        <v>349</v>
      </c>
      <c r="F109" t="s">
        <v>30</v>
      </c>
      <c r="G109" t="s">
        <v>28</v>
      </c>
      <c r="H109">
        <v>7</v>
      </c>
      <c r="J109" s="2">
        <v>44915.208333333336</v>
      </c>
      <c r="K109" s="2">
        <v>45386.769983437502</v>
      </c>
      <c r="L109" s="2">
        <v>44692.879537037035</v>
      </c>
      <c r="M109" t="s">
        <v>1991</v>
      </c>
      <c r="N109" t="s">
        <v>1984</v>
      </c>
      <c r="O109" s="2">
        <v>45299.649002268518</v>
      </c>
      <c r="P109" s="2">
        <v>45313.634389861109</v>
      </c>
      <c r="Q109" s="7">
        <f t="shared" si="1"/>
        <v>13.985387592590996</v>
      </c>
    </row>
    <row r="110" spans="1:17" x14ac:dyDescent="0.35">
      <c r="A110" t="s">
        <v>505</v>
      </c>
      <c r="B110" t="s">
        <v>23</v>
      </c>
      <c r="C110" t="s">
        <v>44</v>
      </c>
      <c r="D110" t="s">
        <v>54</v>
      </c>
      <c r="E110" t="s">
        <v>349</v>
      </c>
      <c r="F110" t="s">
        <v>30</v>
      </c>
      <c r="G110" t="s">
        <v>28</v>
      </c>
      <c r="H110">
        <v>7</v>
      </c>
      <c r="J110" s="2">
        <v>44915.208333333336</v>
      </c>
      <c r="K110" s="2">
        <v>45386.769983437502</v>
      </c>
      <c r="L110" s="2">
        <v>44692.879537037035</v>
      </c>
      <c r="M110" t="s">
        <v>1989</v>
      </c>
      <c r="N110" t="s">
        <v>1990</v>
      </c>
      <c r="O110" s="2">
        <v>45356.741626805553</v>
      </c>
      <c r="P110" s="2">
        <v>45385.855905185184</v>
      </c>
      <c r="Q110" s="7">
        <f t="shared" si="1"/>
        <v>29.114278379631287</v>
      </c>
    </row>
    <row r="111" spans="1:17" x14ac:dyDescent="0.35">
      <c r="A111" t="s">
        <v>1497</v>
      </c>
      <c r="B111" t="s">
        <v>23</v>
      </c>
      <c r="C111" t="s">
        <v>44</v>
      </c>
      <c r="D111" t="s">
        <v>54</v>
      </c>
      <c r="E111" t="s">
        <v>349</v>
      </c>
      <c r="F111" t="s">
        <v>30</v>
      </c>
      <c r="G111" t="s">
        <v>1441</v>
      </c>
      <c r="H111">
        <v>4</v>
      </c>
      <c r="J111" s="2">
        <v>44915.208333333336</v>
      </c>
      <c r="K111" s="2">
        <v>45530.800225277781</v>
      </c>
      <c r="L111" s="2">
        <v>44692.883518518516</v>
      </c>
      <c r="M111" t="s">
        <v>1972</v>
      </c>
      <c r="N111" t="s">
        <v>1984</v>
      </c>
      <c r="O111" s="2">
        <v>44930.798699027779</v>
      </c>
      <c r="P111" s="2">
        <v>44943.883827106481</v>
      </c>
      <c r="Q111" s="7">
        <f t="shared" si="1"/>
        <v>13.085128078702837</v>
      </c>
    </row>
    <row r="112" spans="1:17" x14ac:dyDescent="0.35">
      <c r="A112" t="s">
        <v>1497</v>
      </c>
      <c r="B112" t="s">
        <v>23</v>
      </c>
      <c r="C112" t="s">
        <v>44</v>
      </c>
      <c r="D112" t="s">
        <v>54</v>
      </c>
      <c r="E112" t="s">
        <v>349</v>
      </c>
      <c r="F112" t="s">
        <v>30</v>
      </c>
      <c r="G112" t="s">
        <v>1441</v>
      </c>
      <c r="H112">
        <v>4</v>
      </c>
      <c r="J112" s="2">
        <v>44915.208333333336</v>
      </c>
      <c r="K112" s="2">
        <v>45530.800225277781</v>
      </c>
      <c r="L112" s="2">
        <v>44692.883518518516</v>
      </c>
      <c r="M112" t="s">
        <v>1971</v>
      </c>
      <c r="N112" t="s">
        <v>1984</v>
      </c>
      <c r="O112" s="2">
        <v>44958.924383506943</v>
      </c>
      <c r="P112" s="2">
        <v>44959.572433287038</v>
      </c>
      <c r="Q112" s="7">
        <f t="shared" si="1"/>
        <v>0.64804978009487968</v>
      </c>
    </row>
    <row r="113" spans="1:17" x14ac:dyDescent="0.35">
      <c r="A113" t="s">
        <v>1497</v>
      </c>
      <c r="B113" t="s">
        <v>23</v>
      </c>
      <c r="C113" t="s">
        <v>44</v>
      </c>
      <c r="D113" t="s">
        <v>54</v>
      </c>
      <c r="E113" t="s">
        <v>349</v>
      </c>
      <c r="F113" t="s">
        <v>30</v>
      </c>
      <c r="G113" t="s">
        <v>1441</v>
      </c>
      <c r="H113">
        <v>4</v>
      </c>
      <c r="J113" s="2">
        <v>44915.208333333336</v>
      </c>
      <c r="K113" s="2">
        <v>45530.800225277781</v>
      </c>
      <c r="L113" s="2">
        <v>44692.883518518516</v>
      </c>
      <c r="M113" t="s">
        <v>1988</v>
      </c>
      <c r="N113" t="s">
        <v>1984</v>
      </c>
      <c r="O113" s="2">
        <v>45299.648800509261</v>
      </c>
      <c r="P113" s="2">
        <v>45313.634087349536</v>
      </c>
      <c r="Q113" s="7">
        <f t="shared" si="1"/>
        <v>13.985286840274057</v>
      </c>
    </row>
    <row r="114" spans="1:17" x14ac:dyDescent="0.35">
      <c r="A114" t="s">
        <v>1497</v>
      </c>
      <c r="B114" t="s">
        <v>23</v>
      </c>
      <c r="C114" t="s">
        <v>44</v>
      </c>
      <c r="D114" t="s">
        <v>54</v>
      </c>
      <c r="E114" t="s">
        <v>349</v>
      </c>
      <c r="F114" t="s">
        <v>30</v>
      </c>
      <c r="G114" t="s">
        <v>1441</v>
      </c>
      <c r="H114">
        <v>4</v>
      </c>
      <c r="J114" s="2">
        <v>44915.208333333336</v>
      </c>
      <c r="K114" s="2">
        <v>45530.800225277781</v>
      </c>
      <c r="L114" s="2">
        <v>44692.883518518516</v>
      </c>
      <c r="M114" t="s">
        <v>1989</v>
      </c>
      <c r="N114" t="s">
        <v>1990</v>
      </c>
      <c r="O114" s="2">
        <v>45440.776513449076</v>
      </c>
      <c r="P114" s="2">
        <v>45530.709212916663</v>
      </c>
      <c r="Q114" s="7">
        <f t="shared" si="1"/>
        <v>89.932699467586644</v>
      </c>
    </row>
    <row r="115" spans="1:17" x14ac:dyDescent="0.35">
      <c r="A115" t="s">
        <v>522</v>
      </c>
      <c r="B115" t="s">
        <v>23</v>
      </c>
      <c r="C115" t="s">
        <v>44</v>
      </c>
      <c r="D115" t="s">
        <v>54</v>
      </c>
      <c r="E115" t="s">
        <v>349</v>
      </c>
      <c r="F115" t="s">
        <v>30</v>
      </c>
      <c r="G115" t="s">
        <v>28</v>
      </c>
      <c r="H115">
        <v>8</v>
      </c>
      <c r="J115" s="2">
        <v>45268.208333333336</v>
      </c>
      <c r="K115" s="2">
        <v>45386.391172916665</v>
      </c>
      <c r="L115" s="2">
        <v>44693.481087962966</v>
      </c>
      <c r="M115" t="s">
        <v>1988</v>
      </c>
      <c r="N115" t="s">
        <v>1984</v>
      </c>
      <c r="O115" s="2">
        <v>45299.650417777775</v>
      </c>
      <c r="P115" s="2">
        <v>45313.634485960647</v>
      </c>
      <c r="Q115" s="7">
        <f t="shared" si="1"/>
        <v>13.984068182871852</v>
      </c>
    </row>
    <row r="116" spans="1:17" x14ac:dyDescent="0.35">
      <c r="A116" t="s">
        <v>732</v>
      </c>
      <c r="B116" t="s">
        <v>23</v>
      </c>
      <c r="C116" t="s">
        <v>44</v>
      </c>
      <c r="D116" t="s">
        <v>54</v>
      </c>
      <c r="E116" t="s">
        <v>38</v>
      </c>
      <c r="F116" t="s">
        <v>30</v>
      </c>
      <c r="G116" t="s">
        <v>28</v>
      </c>
      <c r="H116">
        <v>13</v>
      </c>
      <c r="J116" s="2">
        <v>45548.166666666664</v>
      </c>
      <c r="K116" s="2">
        <v>45734.763292881944</v>
      </c>
      <c r="L116" s="2">
        <v>44784.860173611109</v>
      </c>
      <c r="M116" t="s">
        <v>1971</v>
      </c>
      <c r="N116" t="s">
        <v>1984</v>
      </c>
      <c r="O116" s="2">
        <v>44818.653186342592</v>
      </c>
      <c r="P116" s="2">
        <v>44820.807610798613</v>
      </c>
      <c r="Q116" s="7">
        <f t="shared" si="1"/>
        <v>3</v>
      </c>
    </row>
    <row r="117" spans="1:17" x14ac:dyDescent="0.35">
      <c r="A117" t="s">
        <v>1056</v>
      </c>
      <c r="B117" t="s">
        <v>23</v>
      </c>
      <c r="C117" t="s">
        <v>44</v>
      </c>
      <c r="D117" t="s">
        <v>135</v>
      </c>
      <c r="E117" t="s">
        <v>32</v>
      </c>
      <c r="F117" t="s">
        <v>30</v>
      </c>
      <c r="G117" t="s">
        <v>28</v>
      </c>
      <c r="J117" s="2">
        <v>45212.166666666664</v>
      </c>
      <c r="K117" s="2">
        <v>45707.119751666665</v>
      </c>
      <c r="L117" s="2">
        <v>44804.395671296297</v>
      </c>
      <c r="M117" t="s">
        <v>1969</v>
      </c>
      <c r="N117" t="s">
        <v>1970</v>
      </c>
      <c r="O117" s="2">
        <v>45040.905432418978</v>
      </c>
      <c r="P117" s="2">
        <v>45064.759793460646</v>
      </c>
      <c r="Q117" s="7">
        <f t="shared" si="1"/>
        <v>19</v>
      </c>
    </row>
    <row r="118" spans="1:17" x14ac:dyDescent="0.35">
      <c r="A118" t="s">
        <v>350</v>
      </c>
      <c r="B118" t="s">
        <v>23</v>
      </c>
      <c r="C118" t="s">
        <v>44</v>
      </c>
      <c r="D118" t="s">
        <v>269</v>
      </c>
      <c r="E118" t="s">
        <v>48</v>
      </c>
      <c r="F118" t="s">
        <v>30</v>
      </c>
      <c r="G118" t="s">
        <v>28</v>
      </c>
      <c r="H118">
        <v>3</v>
      </c>
      <c r="J118" s="2">
        <v>44894.208333333336</v>
      </c>
      <c r="K118" s="2">
        <v>45457.742271932868</v>
      </c>
      <c r="L118" s="2">
        <v>44824.856886574074</v>
      </c>
      <c r="M118" t="s">
        <v>1988</v>
      </c>
      <c r="N118" t="s">
        <v>1974</v>
      </c>
      <c r="O118" s="2">
        <v>45224.723585127314</v>
      </c>
      <c r="P118" s="2">
        <v>45392.738217430553</v>
      </c>
      <c r="Q118" s="7">
        <f t="shared" si="1"/>
        <v>168.01463230323861</v>
      </c>
    </row>
    <row r="119" spans="1:17" x14ac:dyDescent="0.35">
      <c r="A119" t="s">
        <v>350</v>
      </c>
      <c r="B119" t="s">
        <v>23</v>
      </c>
      <c r="C119" t="s">
        <v>44</v>
      </c>
      <c r="D119" t="s">
        <v>269</v>
      </c>
      <c r="E119" t="s">
        <v>48</v>
      </c>
      <c r="F119" t="s">
        <v>30</v>
      </c>
      <c r="G119" t="s">
        <v>28</v>
      </c>
      <c r="H119">
        <v>3</v>
      </c>
      <c r="J119" s="2">
        <v>44894.208333333336</v>
      </c>
      <c r="K119" s="2">
        <v>45457.742271932868</v>
      </c>
      <c r="L119" s="2">
        <v>44824.856886574074</v>
      </c>
      <c r="M119" t="s">
        <v>1988</v>
      </c>
      <c r="N119" t="s">
        <v>1985</v>
      </c>
      <c r="O119" s="2">
        <v>45427.598692604166</v>
      </c>
      <c r="P119" s="2">
        <v>45447.807316238424</v>
      </c>
      <c r="Q119" s="7">
        <f t="shared" si="1"/>
        <v>20.208623634258402</v>
      </c>
    </row>
    <row r="120" spans="1:17" x14ac:dyDescent="0.35">
      <c r="A120" t="s">
        <v>177</v>
      </c>
      <c r="B120" t="s">
        <v>23</v>
      </c>
      <c r="C120" t="s">
        <v>44</v>
      </c>
      <c r="D120" t="s">
        <v>113</v>
      </c>
      <c r="E120" t="s">
        <v>38</v>
      </c>
      <c r="F120" t="s">
        <v>30</v>
      </c>
      <c r="G120" t="s">
        <v>28</v>
      </c>
      <c r="H120">
        <v>1</v>
      </c>
      <c r="J120" s="2">
        <v>44995.208333333336</v>
      </c>
      <c r="K120" s="2">
        <v>45390.873499097223</v>
      </c>
      <c r="L120" s="2">
        <v>44882.864548611113</v>
      </c>
      <c r="M120" t="s">
        <v>1969</v>
      </c>
      <c r="N120" t="s">
        <v>1970</v>
      </c>
      <c r="O120" s="2">
        <v>44894.771516412038</v>
      </c>
      <c r="P120" s="2">
        <v>44901.783546122686</v>
      </c>
      <c r="Q120" s="7">
        <f t="shared" si="1"/>
        <v>6</v>
      </c>
    </row>
    <row r="121" spans="1:17" x14ac:dyDescent="0.35">
      <c r="A121" t="s">
        <v>177</v>
      </c>
      <c r="B121" t="s">
        <v>23</v>
      </c>
      <c r="C121" t="s">
        <v>44</v>
      </c>
      <c r="D121" t="s">
        <v>113</v>
      </c>
      <c r="E121" t="s">
        <v>38</v>
      </c>
      <c r="F121" t="s">
        <v>30</v>
      </c>
      <c r="G121" t="s">
        <v>28</v>
      </c>
      <c r="H121">
        <v>1</v>
      </c>
      <c r="J121" s="2">
        <v>44995.208333333336</v>
      </c>
      <c r="K121" s="2">
        <v>45390.873499097223</v>
      </c>
      <c r="L121" s="2">
        <v>44882.864548611113</v>
      </c>
      <c r="M121" t="s">
        <v>1980</v>
      </c>
      <c r="N121" t="s">
        <v>1970</v>
      </c>
      <c r="O121" s="2">
        <v>44970.947303541667</v>
      </c>
      <c r="P121" s="2">
        <v>45030.929707442127</v>
      </c>
      <c r="Q121" s="7">
        <f t="shared" si="1"/>
        <v>45</v>
      </c>
    </row>
    <row r="122" spans="1:17" x14ac:dyDescent="0.35">
      <c r="A122" t="s">
        <v>177</v>
      </c>
      <c r="B122" t="s">
        <v>23</v>
      </c>
      <c r="C122" t="s">
        <v>44</v>
      </c>
      <c r="D122" t="s">
        <v>113</v>
      </c>
      <c r="E122" t="s">
        <v>38</v>
      </c>
      <c r="F122" t="s">
        <v>30</v>
      </c>
      <c r="G122" t="s">
        <v>28</v>
      </c>
      <c r="H122">
        <v>1</v>
      </c>
      <c r="J122" s="2">
        <v>44995.208333333336</v>
      </c>
      <c r="K122" s="2">
        <v>45390.873499097223</v>
      </c>
      <c r="L122" s="2">
        <v>44882.864548611113</v>
      </c>
      <c r="M122" t="s">
        <v>1988</v>
      </c>
      <c r="N122" t="s">
        <v>1970</v>
      </c>
      <c r="O122" s="2">
        <v>45114.655635659721</v>
      </c>
      <c r="P122" s="2">
        <v>45124.716721828707</v>
      </c>
      <c r="Q122" s="7">
        <f t="shared" si="1"/>
        <v>7</v>
      </c>
    </row>
    <row r="123" spans="1:17" x14ac:dyDescent="0.35">
      <c r="A123" t="s">
        <v>177</v>
      </c>
      <c r="B123" t="s">
        <v>23</v>
      </c>
      <c r="C123" t="s">
        <v>44</v>
      </c>
      <c r="D123" t="s">
        <v>113</v>
      </c>
      <c r="E123" t="s">
        <v>38</v>
      </c>
      <c r="F123" t="s">
        <v>30</v>
      </c>
      <c r="G123" t="s">
        <v>28</v>
      </c>
      <c r="H123">
        <v>1</v>
      </c>
      <c r="J123" s="2">
        <v>44995.208333333336</v>
      </c>
      <c r="K123" s="2">
        <v>45390.873499097223</v>
      </c>
      <c r="L123" s="2">
        <v>44882.864548611113</v>
      </c>
      <c r="M123" t="s">
        <v>1988</v>
      </c>
      <c r="N123" t="s">
        <v>1987</v>
      </c>
      <c r="O123" s="2">
        <v>45201.621436863425</v>
      </c>
      <c r="P123" s="2">
        <v>45345.686386319445</v>
      </c>
      <c r="Q123" s="7">
        <f t="shared" si="1"/>
        <v>105</v>
      </c>
    </row>
    <row r="124" spans="1:17" x14ac:dyDescent="0.35">
      <c r="A124" t="s">
        <v>179</v>
      </c>
      <c r="B124" t="s">
        <v>23</v>
      </c>
      <c r="C124" t="s">
        <v>44</v>
      </c>
      <c r="D124" t="s">
        <v>54</v>
      </c>
      <c r="E124" t="s">
        <v>38</v>
      </c>
      <c r="F124" t="s">
        <v>30</v>
      </c>
      <c r="G124" t="s">
        <v>28</v>
      </c>
      <c r="H124">
        <v>1</v>
      </c>
      <c r="J124" s="2">
        <v>45163.166666666664</v>
      </c>
      <c r="K124" s="2">
        <v>45322.627407569445</v>
      </c>
      <c r="L124" s="2">
        <v>44908.434062499997</v>
      </c>
      <c r="M124" t="s">
        <v>1969</v>
      </c>
      <c r="N124" t="s">
        <v>1970</v>
      </c>
      <c r="O124" s="2">
        <v>45063.334193680559</v>
      </c>
      <c r="P124" s="2">
        <v>45090.544991747687</v>
      </c>
      <c r="Q124" s="7">
        <f t="shared" si="1"/>
        <v>20</v>
      </c>
    </row>
    <row r="125" spans="1:17" x14ac:dyDescent="0.35">
      <c r="A125" t="s">
        <v>179</v>
      </c>
      <c r="B125" t="s">
        <v>23</v>
      </c>
      <c r="C125" t="s">
        <v>44</v>
      </c>
      <c r="D125" t="s">
        <v>54</v>
      </c>
      <c r="E125" t="s">
        <v>38</v>
      </c>
      <c r="F125" t="s">
        <v>30</v>
      </c>
      <c r="G125" t="s">
        <v>28</v>
      </c>
      <c r="H125">
        <v>1</v>
      </c>
      <c r="J125" s="2">
        <v>45163.166666666664</v>
      </c>
      <c r="K125" s="2">
        <v>45322.627407569445</v>
      </c>
      <c r="L125" s="2">
        <v>44908.434062499997</v>
      </c>
      <c r="M125" t="s">
        <v>1969</v>
      </c>
      <c r="N125" t="s">
        <v>1970</v>
      </c>
      <c r="O125" s="2">
        <v>45098.181488101851</v>
      </c>
      <c r="P125" s="2">
        <v>45117.314506388888</v>
      </c>
      <c r="Q125" s="7">
        <f t="shared" si="1"/>
        <v>14</v>
      </c>
    </row>
    <row r="126" spans="1:17" x14ac:dyDescent="0.35">
      <c r="A126" t="s">
        <v>179</v>
      </c>
      <c r="B126" t="s">
        <v>23</v>
      </c>
      <c r="C126" t="s">
        <v>44</v>
      </c>
      <c r="D126" t="s">
        <v>54</v>
      </c>
      <c r="E126" t="s">
        <v>38</v>
      </c>
      <c r="F126" t="s">
        <v>30</v>
      </c>
      <c r="G126" t="s">
        <v>28</v>
      </c>
      <c r="H126">
        <v>1</v>
      </c>
      <c r="J126" s="2">
        <v>45163.166666666664</v>
      </c>
      <c r="K126" s="2">
        <v>45322.627407569445</v>
      </c>
      <c r="L126" s="2">
        <v>44908.434062499997</v>
      </c>
      <c r="M126" t="s">
        <v>1980</v>
      </c>
      <c r="N126" t="s">
        <v>1970</v>
      </c>
      <c r="O126" s="2">
        <v>45127.530871620373</v>
      </c>
      <c r="P126" s="2">
        <v>45139.654812465276</v>
      </c>
      <c r="Q126" s="7">
        <f t="shared" si="1"/>
        <v>9</v>
      </c>
    </row>
    <row r="127" spans="1:17" x14ac:dyDescent="0.35">
      <c r="A127" t="s">
        <v>735</v>
      </c>
      <c r="B127" t="s">
        <v>23</v>
      </c>
      <c r="C127" t="s">
        <v>44</v>
      </c>
      <c r="D127" t="s">
        <v>43</v>
      </c>
      <c r="E127" t="s">
        <v>48</v>
      </c>
      <c r="F127" t="s">
        <v>30</v>
      </c>
      <c r="G127" t="s">
        <v>28</v>
      </c>
      <c r="H127">
        <v>13</v>
      </c>
      <c r="J127" s="2">
        <v>45331.208333333336</v>
      </c>
      <c r="K127" s="2">
        <v>45604.648414108793</v>
      </c>
      <c r="L127" s="2">
        <v>44911.080023148148</v>
      </c>
      <c r="M127" t="s">
        <v>1988</v>
      </c>
      <c r="N127" t="s">
        <v>1992</v>
      </c>
      <c r="O127" s="2">
        <v>45502.534036087964</v>
      </c>
      <c r="P127" s="2">
        <v>45518.69860314815</v>
      </c>
      <c r="Q127" s="7">
        <f t="shared" si="1"/>
        <v>16.164567060186528</v>
      </c>
    </row>
    <row r="128" spans="1:17" x14ac:dyDescent="0.35">
      <c r="A128" t="s">
        <v>797</v>
      </c>
      <c r="B128" t="s">
        <v>23</v>
      </c>
      <c r="C128" t="s">
        <v>44</v>
      </c>
      <c r="D128" t="s">
        <v>76</v>
      </c>
      <c r="E128" t="s">
        <v>48</v>
      </c>
      <c r="F128" t="s">
        <v>30</v>
      </c>
      <c r="G128" t="s">
        <v>28</v>
      </c>
      <c r="H128">
        <v>15</v>
      </c>
      <c r="J128" s="2">
        <v>45044.166666666664</v>
      </c>
      <c r="K128" s="2">
        <v>45385.719759930558</v>
      </c>
      <c r="L128" s="2">
        <v>44914.888622685183</v>
      </c>
      <c r="M128" t="s">
        <v>1969</v>
      </c>
      <c r="N128" t="s">
        <v>1970</v>
      </c>
      <c r="O128" s="2">
        <v>44952.695045405089</v>
      </c>
      <c r="P128" s="2">
        <v>44952.779454282405</v>
      </c>
      <c r="Q128" s="7">
        <f t="shared" si="1"/>
        <v>8.4408877315581776E-2</v>
      </c>
    </row>
    <row r="129" spans="1:17" x14ac:dyDescent="0.35">
      <c r="A129" t="s">
        <v>797</v>
      </c>
      <c r="B129" t="s">
        <v>23</v>
      </c>
      <c r="C129" t="s">
        <v>44</v>
      </c>
      <c r="D129" t="s">
        <v>76</v>
      </c>
      <c r="E129" t="s">
        <v>48</v>
      </c>
      <c r="F129" t="s">
        <v>30</v>
      </c>
      <c r="G129" t="s">
        <v>28</v>
      </c>
      <c r="H129">
        <v>15</v>
      </c>
      <c r="J129" s="2">
        <v>45044.166666666664</v>
      </c>
      <c r="K129" s="2">
        <v>45385.719759930558</v>
      </c>
      <c r="L129" s="2">
        <v>44914.888622685183</v>
      </c>
      <c r="M129" t="s">
        <v>1971</v>
      </c>
      <c r="N129" t="s">
        <v>1970</v>
      </c>
      <c r="O129" s="2">
        <v>44952.780958877316</v>
      </c>
      <c r="P129" s="2">
        <v>44957.643549259257</v>
      </c>
      <c r="Q129" s="7">
        <f t="shared" si="1"/>
        <v>4.8625903819411178</v>
      </c>
    </row>
    <row r="130" spans="1:17" x14ac:dyDescent="0.35">
      <c r="A130" t="s">
        <v>797</v>
      </c>
      <c r="B130" t="s">
        <v>23</v>
      </c>
      <c r="C130" t="s">
        <v>44</v>
      </c>
      <c r="D130" t="s">
        <v>76</v>
      </c>
      <c r="E130" t="s">
        <v>48</v>
      </c>
      <c r="F130" t="s">
        <v>30</v>
      </c>
      <c r="G130" t="s">
        <v>28</v>
      </c>
      <c r="H130">
        <v>15</v>
      </c>
      <c r="J130" s="2">
        <v>45044.166666666664</v>
      </c>
      <c r="K130" s="2">
        <v>45385.719759930558</v>
      </c>
      <c r="L130" s="2">
        <v>44914.888622685183</v>
      </c>
      <c r="M130" t="s">
        <v>1971</v>
      </c>
      <c r="N130" t="s">
        <v>1970</v>
      </c>
      <c r="O130" s="2">
        <v>45000.594718113425</v>
      </c>
      <c r="P130" s="2">
        <v>45009.539868043983</v>
      </c>
      <c r="Q130" s="7">
        <f t="shared" si="1"/>
        <v>8.9451499305578182</v>
      </c>
    </row>
    <row r="131" spans="1:17" x14ac:dyDescent="0.35">
      <c r="A131" t="s">
        <v>353</v>
      </c>
      <c r="B131" t="s">
        <v>23</v>
      </c>
      <c r="C131" t="s">
        <v>44</v>
      </c>
      <c r="D131" t="s">
        <v>113</v>
      </c>
      <c r="E131" t="s">
        <v>48</v>
      </c>
      <c r="F131" t="s">
        <v>30</v>
      </c>
      <c r="G131" t="s">
        <v>28</v>
      </c>
      <c r="H131">
        <v>3</v>
      </c>
      <c r="J131" s="2">
        <v>45044.166666666664</v>
      </c>
      <c r="K131" s="2">
        <v>45373.678220902781</v>
      </c>
      <c r="L131" s="2">
        <v>44925.794733796298</v>
      </c>
      <c r="M131" t="s">
        <v>1969</v>
      </c>
      <c r="N131" t="s">
        <v>1970</v>
      </c>
      <c r="O131" s="2">
        <v>44942.513746516204</v>
      </c>
      <c r="P131" s="2">
        <v>44945.633521354168</v>
      </c>
      <c r="Q131" s="7">
        <f t="shared" ref="Q131:Q194" si="2">IF(OR(O131="", P131=""), "", IF(OR(E131="PW1000G", E131="PW800"), P131 - O131, NETWORKDAYS(O131, P131)))</f>
        <v>3.1197748379636323</v>
      </c>
    </row>
    <row r="132" spans="1:17" x14ac:dyDescent="0.35">
      <c r="A132" t="s">
        <v>353</v>
      </c>
      <c r="B132" t="s">
        <v>23</v>
      </c>
      <c r="C132" t="s">
        <v>44</v>
      </c>
      <c r="D132" t="s">
        <v>113</v>
      </c>
      <c r="E132" t="s">
        <v>48</v>
      </c>
      <c r="F132" t="s">
        <v>30</v>
      </c>
      <c r="G132" t="s">
        <v>28</v>
      </c>
      <c r="H132">
        <v>3</v>
      </c>
      <c r="J132" s="2">
        <v>45044.166666666664</v>
      </c>
      <c r="K132" s="2">
        <v>45373.678220902781</v>
      </c>
      <c r="L132" s="2">
        <v>44925.794733796298</v>
      </c>
      <c r="M132" t="s">
        <v>1969</v>
      </c>
      <c r="N132" t="s">
        <v>1970</v>
      </c>
      <c r="O132" s="2">
        <v>44945.808724513889</v>
      </c>
      <c r="P132" s="2">
        <v>44950.623601458334</v>
      </c>
      <c r="Q132" s="7">
        <f t="shared" si="2"/>
        <v>4.8148769444451318</v>
      </c>
    </row>
    <row r="133" spans="1:17" x14ac:dyDescent="0.35">
      <c r="A133" t="s">
        <v>353</v>
      </c>
      <c r="B133" t="s">
        <v>23</v>
      </c>
      <c r="C133" t="s">
        <v>44</v>
      </c>
      <c r="D133" t="s">
        <v>113</v>
      </c>
      <c r="E133" t="s">
        <v>48</v>
      </c>
      <c r="F133" t="s">
        <v>30</v>
      </c>
      <c r="G133" t="s">
        <v>28</v>
      </c>
      <c r="H133">
        <v>3</v>
      </c>
      <c r="J133" s="2">
        <v>45044.166666666664</v>
      </c>
      <c r="K133" s="2">
        <v>45373.678220902781</v>
      </c>
      <c r="L133" s="2">
        <v>44925.794733796298</v>
      </c>
      <c r="M133" t="s">
        <v>1969</v>
      </c>
      <c r="N133" t="s">
        <v>1970</v>
      </c>
      <c r="O133" s="2">
        <v>44952.723918773147</v>
      </c>
      <c r="P133" s="2">
        <v>44952.781782951388</v>
      </c>
      <c r="Q133" s="7">
        <f t="shared" si="2"/>
        <v>5.7864178241288755E-2</v>
      </c>
    </row>
    <row r="134" spans="1:17" x14ac:dyDescent="0.35">
      <c r="A134" t="s">
        <v>353</v>
      </c>
      <c r="B134" t="s">
        <v>23</v>
      </c>
      <c r="C134" t="s">
        <v>44</v>
      </c>
      <c r="D134" t="s">
        <v>113</v>
      </c>
      <c r="E134" t="s">
        <v>48</v>
      </c>
      <c r="F134" t="s">
        <v>30</v>
      </c>
      <c r="G134" t="s">
        <v>28</v>
      </c>
      <c r="H134">
        <v>3</v>
      </c>
      <c r="J134" s="2">
        <v>45044.166666666664</v>
      </c>
      <c r="K134" s="2">
        <v>45373.678220902781</v>
      </c>
      <c r="L134" s="2">
        <v>44925.794733796298</v>
      </c>
      <c r="M134" t="s">
        <v>1971</v>
      </c>
      <c r="N134" t="s">
        <v>1970</v>
      </c>
      <c r="O134" s="2">
        <v>44952.845420358797</v>
      </c>
      <c r="P134" s="2">
        <v>44963.526128668978</v>
      </c>
      <c r="Q134" s="7">
        <f t="shared" si="2"/>
        <v>10.680708310181217</v>
      </c>
    </row>
    <row r="135" spans="1:17" x14ac:dyDescent="0.35">
      <c r="A135" t="s">
        <v>353</v>
      </c>
      <c r="B135" t="s">
        <v>23</v>
      </c>
      <c r="C135" t="s">
        <v>44</v>
      </c>
      <c r="D135" t="s">
        <v>113</v>
      </c>
      <c r="E135" t="s">
        <v>48</v>
      </c>
      <c r="F135" t="s">
        <v>30</v>
      </c>
      <c r="G135" t="s">
        <v>28</v>
      </c>
      <c r="H135">
        <v>3</v>
      </c>
      <c r="J135" s="2">
        <v>45044.166666666664</v>
      </c>
      <c r="K135" s="2">
        <v>45373.678220902781</v>
      </c>
      <c r="L135" s="2">
        <v>44925.794733796298</v>
      </c>
      <c r="M135" t="s">
        <v>1971</v>
      </c>
      <c r="N135" t="s">
        <v>1970</v>
      </c>
      <c r="O135" s="2">
        <v>44967.745311261577</v>
      </c>
      <c r="P135" s="2">
        <v>44977.52413380787</v>
      </c>
      <c r="Q135" s="7">
        <f t="shared" si="2"/>
        <v>9.778822546293668</v>
      </c>
    </row>
    <row r="136" spans="1:17" x14ac:dyDescent="0.35">
      <c r="A136" t="s">
        <v>353</v>
      </c>
      <c r="B136" t="s">
        <v>23</v>
      </c>
      <c r="C136" t="s">
        <v>44</v>
      </c>
      <c r="D136" t="s">
        <v>113</v>
      </c>
      <c r="E136" t="s">
        <v>48</v>
      </c>
      <c r="F136" t="s">
        <v>30</v>
      </c>
      <c r="G136" t="s">
        <v>28</v>
      </c>
      <c r="H136">
        <v>3</v>
      </c>
      <c r="J136" s="2">
        <v>45044.166666666664</v>
      </c>
      <c r="K136" s="2">
        <v>45373.678220902781</v>
      </c>
      <c r="L136" s="2">
        <v>44925.794733796298</v>
      </c>
      <c r="M136" t="s">
        <v>1988</v>
      </c>
      <c r="N136" t="s">
        <v>1970</v>
      </c>
      <c r="O136" s="2">
        <v>45125.567888611113</v>
      </c>
      <c r="P136" s="2">
        <v>45126.476680694446</v>
      </c>
      <c r="Q136" s="7">
        <f t="shared" si="2"/>
        <v>0.90879208333353745</v>
      </c>
    </row>
    <row r="137" spans="1:17" x14ac:dyDescent="0.35">
      <c r="A137" t="s">
        <v>412</v>
      </c>
      <c r="B137" t="s">
        <v>23</v>
      </c>
      <c r="C137" t="s">
        <v>44</v>
      </c>
      <c r="D137" t="s">
        <v>54</v>
      </c>
      <c r="E137" t="s">
        <v>349</v>
      </c>
      <c r="F137" t="s">
        <v>30</v>
      </c>
      <c r="G137" t="s">
        <v>28</v>
      </c>
      <c r="H137">
        <v>5</v>
      </c>
      <c r="J137" s="2">
        <v>45156.166666666664</v>
      </c>
      <c r="K137" s="2">
        <v>45351.821609664352</v>
      </c>
      <c r="L137" s="2">
        <v>44974.907048611109</v>
      </c>
      <c r="M137" t="s">
        <v>1989</v>
      </c>
      <c r="N137" t="s">
        <v>1984</v>
      </c>
      <c r="O137" s="2">
        <v>45299.648570972226</v>
      </c>
      <c r="P137" s="2">
        <v>45313.633968298614</v>
      </c>
      <c r="Q137" s="7">
        <f t="shared" si="2"/>
        <v>13.98539732638892</v>
      </c>
    </row>
    <row r="138" spans="1:17" x14ac:dyDescent="0.35">
      <c r="A138" t="s">
        <v>312</v>
      </c>
      <c r="B138" t="s">
        <v>23</v>
      </c>
      <c r="C138" t="s">
        <v>44</v>
      </c>
      <c r="D138" t="s">
        <v>54</v>
      </c>
      <c r="E138" t="s">
        <v>38</v>
      </c>
      <c r="F138" t="s">
        <v>30</v>
      </c>
      <c r="G138" t="s">
        <v>28</v>
      </c>
      <c r="H138">
        <v>2</v>
      </c>
      <c r="J138" s="2">
        <v>45219.166666666664</v>
      </c>
      <c r="K138" s="2">
        <v>45376.769152696761</v>
      </c>
      <c r="L138" s="2">
        <v>44978.588275462964</v>
      </c>
      <c r="M138" t="s">
        <v>1988</v>
      </c>
      <c r="N138" t="s">
        <v>1974</v>
      </c>
      <c r="O138" s="2">
        <v>45300.745333761573</v>
      </c>
      <c r="P138" s="2">
        <v>45364.11194480324</v>
      </c>
      <c r="Q138" s="7">
        <f t="shared" si="2"/>
        <v>47</v>
      </c>
    </row>
    <row r="139" spans="1:17" x14ac:dyDescent="0.35">
      <c r="A139" t="s">
        <v>1052</v>
      </c>
      <c r="B139" t="s">
        <v>23</v>
      </c>
      <c r="C139" t="s">
        <v>44</v>
      </c>
      <c r="D139" t="s">
        <v>113</v>
      </c>
      <c r="E139" t="s">
        <v>38</v>
      </c>
      <c r="F139" t="s">
        <v>30</v>
      </c>
      <c r="G139" t="s">
        <v>28</v>
      </c>
      <c r="J139" s="2">
        <v>45069.166666666664</v>
      </c>
      <c r="K139" s="2">
        <v>45299.559544884258</v>
      </c>
      <c r="L139" s="2">
        <v>44980.606840277775</v>
      </c>
      <c r="M139" t="s">
        <v>1971</v>
      </c>
      <c r="N139" t="s">
        <v>1970</v>
      </c>
      <c r="O139" s="2">
        <v>45047.604592071759</v>
      </c>
      <c r="P139" s="2">
        <v>45107.559485034719</v>
      </c>
      <c r="Q139" s="7">
        <f t="shared" si="2"/>
        <v>45</v>
      </c>
    </row>
    <row r="140" spans="1:17" x14ac:dyDescent="0.35">
      <c r="A140" t="s">
        <v>1052</v>
      </c>
      <c r="B140" t="s">
        <v>23</v>
      </c>
      <c r="C140" t="s">
        <v>44</v>
      </c>
      <c r="D140" t="s">
        <v>113</v>
      </c>
      <c r="E140" t="s">
        <v>38</v>
      </c>
      <c r="F140" t="s">
        <v>30</v>
      </c>
      <c r="G140" t="s">
        <v>28</v>
      </c>
      <c r="J140" s="2">
        <v>45069.166666666664</v>
      </c>
      <c r="K140" s="2">
        <v>45299.559544884258</v>
      </c>
      <c r="L140" s="2">
        <v>44980.606840277775</v>
      </c>
      <c r="M140" t="s">
        <v>1971</v>
      </c>
      <c r="N140" t="s">
        <v>1970</v>
      </c>
      <c r="O140" s="2">
        <v>45133.501828356479</v>
      </c>
      <c r="P140" s="2">
        <v>45134.759205613424</v>
      </c>
      <c r="Q140" s="7">
        <f t="shared" si="2"/>
        <v>2</v>
      </c>
    </row>
    <row r="141" spans="1:17" x14ac:dyDescent="0.35">
      <c r="A141" t="s">
        <v>1052</v>
      </c>
      <c r="B141" t="s">
        <v>23</v>
      </c>
      <c r="C141" t="s">
        <v>44</v>
      </c>
      <c r="D141" t="s">
        <v>113</v>
      </c>
      <c r="E141" t="s">
        <v>38</v>
      </c>
      <c r="F141" t="s">
        <v>30</v>
      </c>
      <c r="G141" t="s">
        <v>28</v>
      </c>
      <c r="J141" s="2">
        <v>45069.166666666664</v>
      </c>
      <c r="K141" s="2">
        <v>45299.559544884258</v>
      </c>
      <c r="L141" s="2">
        <v>44980.606840277775</v>
      </c>
      <c r="M141" t="s">
        <v>1971</v>
      </c>
      <c r="N141" t="s">
        <v>1970</v>
      </c>
      <c r="O141" s="2">
        <v>45182.777974988428</v>
      </c>
      <c r="P141" s="2">
        <v>45183.532645983796</v>
      </c>
      <c r="Q141" s="7">
        <f t="shared" si="2"/>
        <v>2</v>
      </c>
    </row>
    <row r="142" spans="1:17" x14ac:dyDescent="0.35">
      <c r="A142" t="s">
        <v>1052</v>
      </c>
      <c r="B142" t="s">
        <v>23</v>
      </c>
      <c r="C142" t="s">
        <v>44</v>
      </c>
      <c r="D142" t="s">
        <v>113</v>
      </c>
      <c r="E142" t="s">
        <v>38</v>
      </c>
      <c r="F142" t="s">
        <v>30</v>
      </c>
      <c r="G142" t="s">
        <v>28</v>
      </c>
      <c r="J142" s="2">
        <v>45069.166666666664</v>
      </c>
      <c r="K142" s="2">
        <v>45299.559544884258</v>
      </c>
      <c r="L142" s="2">
        <v>44980.606840277775</v>
      </c>
      <c r="M142" t="s">
        <v>1971</v>
      </c>
      <c r="N142" t="s">
        <v>1970</v>
      </c>
      <c r="O142" s="2">
        <v>45204.726590127313</v>
      </c>
      <c r="P142" s="2">
        <v>45264.691757835652</v>
      </c>
      <c r="Q142" s="7">
        <f t="shared" si="2"/>
        <v>43</v>
      </c>
    </row>
    <row r="143" spans="1:17" x14ac:dyDescent="0.35">
      <c r="A143" t="s">
        <v>1052</v>
      </c>
      <c r="B143" t="s">
        <v>23</v>
      </c>
      <c r="C143" t="s">
        <v>44</v>
      </c>
      <c r="D143" t="s">
        <v>113</v>
      </c>
      <c r="E143" t="s">
        <v>38</v>
      </c>
      <c r="F143" t="s">
        <v>30</v>
      </c>
      <c r="G143" t="s">
        <v>28</v>
      </c>
      <c r="J143" s="2">
        <v>45069.166666666664</v>
      </c>
      <c r="K143" s="2">
        <v>45299.559544884258</v>
      </c>
      <c r="L143" s="2">
        <v>44980.606840277775</v>
      </c>
      <c r="M143" t="s">
        <v>1980</v>
      </c>
      <c r="N143" t="s">
        <v>1970</v>
      </c>
      <c r="O143" s="2">
        <v>45229.73959125</v>
      </c>
      <c r="P143" s="2">
        <v>45261.832076342595</v>
      </c>
      <c r="Q143" s="7">
        <f t="shared" si="2"/>
        <v>25</v>
      </c>
    </row>
    <row r="144" spans="1:17" x14ac:dyDescent="0.35">
      <c r="A144" t="s">
        <v>1052</v>
      </c>
      <c r="B144" t="s">
        <v>23</v>
      </c>
      <c r="C144" t="s">
        <v>44</v>
      </c>
      <c r="D144" t="s">
        <v>113</v>
      </c>
      <c r="E144" t="s">
        <v>38</v>
      </c>
      <c r="F144" t="s">
        <v>30</v>
      </c>
      <c r="G144" t="s">
        <v>28</v>
      </c>
      <c r="J144" s="2">
        <v>45069.166666666664</v>
      </c>
      <c r="K144" s="2">
        <v>45299.559544884258</v>
      </c>
      <c r="L144" s="2">
        <v>44980.606840277775</v>
      </c>
      <c r="M144" t="s">
        <v>1980</v>
      </c>
      <c r="N144" t="s">
        <v>1970</v>
      </c>
      <c r="O144" s="2">
        <v>45265.581808831019</v>
      </c>
      <c r="P144" s="2">
        <v>45265.772753518519</v>
      </c>
      <c r="Q144" s="7">
        <f t="shared" si="2"/>
        <v>1</v>
      </c>
    </row>
    <row r="145" spans="1:17" x14ac:dyDescent="0.35">
      <c r="A145" t="s">
        <v>552</v>
      </c>
      <c r="B145" t="s">
        <v>23</v>
      </c>
      <c r="C145" t="s">
        <v>44</v>
      </c>
      <c r="D145" t="s">
        <v>76</v>
      </c>
      <c r="E145" t="s">
        <v>48</v>
      </c>
      <c r="F145" t="s">
        <v>30</v>
      </c>
      <c r="G145" t="s">
        <v>28</v>
      </c>
      <c r="H145">
        <v>9</v>
      </c>
      <c r="J145" s="2">
        <v>45189.166666666664</v>
      </c>
      <c r="K145" s="2">
        <v>45355.63586908565</v>
      </c>
      <c r="L145" s="2">
        <v>44988.638067129628</v>
      </c>
      <c r="M145" t="s">
        <v>1969</v>
      </c>
      <c r="N145" t="s">
        <v>1970</v>
      </c>
      <c r="O145" s="2">
        <v>45006.861310671295</v>
      </c>
      <c r="P145" s="2">
        <v>45030.706460370369</v>
      </c>
      <c r="Q145" s="7">
        <f t="shared" si="2"/>
        <v>23.845149699074682</v>
      </c>
    </row>
    <row r="146" spans="1:17" x14ac:dyDescent="0.35">
      <c r="A146" t="s">
        <v>552</v>
      </c>
      <c r="B146" t="s">
        <v>23</v>
      </c>
      <c r="C146" t="s">
        <v>44</v>
      </c>
      <c r="D146" t="s">
        <v>76</v>
      </c>
      <c r="E146" t="s">
        <v>48</v>
      </c>
      <c r="F146" t="s">
        <v>30</v>
      </c>
      <c r="G146" t="s">
        <v>28</v>
      </c>
      <c r="H146">
        <v>9</v>
      </c>
      <c r="J146" s="2">
        <v>45189.166666666664</v>
      </c>
      <c r="K146" s="2">
        <v>45355.63586908565</v>
      </c>
      <c r="L146" s="2">
        <v>44988.638067129628</v>
      </c>
      <c r="M146" t="s">
        <v>1969</v>
      </c>
      <c r="N146" t="s">
        <v>1970</v>
      </c>
      <c r="O146" s="2">
        <v>45037.790564641204</v>
      </c>
      <c r="P146" s="2">
        <v>45040.802974293983</v>
      </c>
      <c r="Q146" s="7">
        <f t="shared" si="2"/>
        <v>3.0124096527797519</v>
      </c>
    </row>
    <row r="147" spans="1:17" x14ac:dyDescent="0.35">
      <c r="A147" t="s">
        <v>552</v>
      </c>
      <c r="B147" t="s">
        <v>23</v>
      </c>
      <c r="C147" t="s">
        <v>44</v>
      </c>
      <c r="D147" t="s">
        <v>76</v>
      </c>
      <c r="E147" t="s">
        <v>48</v>
      </c>
      <c r="F147" t="s">
        <v>30</v>
      </c>
      <c r="G147" t="s">
        <v>28</v>
      </c>
      <c r="H147">
        <v>9</v>
      </c>
      <c r="J147" s="2">
        <v>45189.166666666664</v>
      </c>
      <c r="K147" s="2">
        <v>45355.63586908565</v>
      </c>
      <c r="L147" s="2">
        <v>44988.638067129628</v>
      </c>
      <c r="M147" t="s">
        <v>1969</v>
      </c>
      <c r="N147" t="s">
        <v>1970</v>
      </c>
      <c r="O147" s="2">
        <v>45062.534039375001</v>
      </c>
      <c r="P147" s="2">
        <v>45086.676170324077</v>
      </c>
      <c r="Q147" s="7">
        <f t="shared" si="2"/>
        <v>24.14213094907609</v>
      </c>
    </row>
    <row r="148" spans="1:17" x14ac:dyDescent="0.35">
      <c r="A148" t="s">
        <v>552</v>
      </c>
      <c r="B148" t="s">
        <v>23</v>
      </c>
      <c r="C148" t="s">
        <v>44</v>
      </c>
      <c r="D148" t="s">
        <v>76</v>
      </c>
      <c r="E148" t="s">
        <v>48</v>
      </c>
      <c r="F148" t="s">
        <v>30</v>
      </c>
      <c r="G148" t="s">
        <v>28</v>
      </c>
      <c r="H148">
        <v>9</v>
      </c>
      <c r="J148" s="2">
        <v>45189.166666666664</v>
      </c>
      <c r="K148" s="2">
        <v>45355.63586908565</v>
      </c>
      <c r="L148" s="2">
        <v>44988.638067129628</v>
      </c>
      <c r="M148" t="s">
        <v>1971</v>
      </c>
      <c r="N148" t="s">
        <v>1970</v>
      </c>
      <c r="O148" s="2">
        <v>45091.558812731484</v>
      </c>
      <c r="P148" s="2">
        <v>45104.476237013892</v>
      </c>
      <c r="Q148" s="7">
        <f t="shared" si="2"/>
        <v>12.917424282408319</v>
      </c>
    </row>
    <row r="149" spans="1:17" x14ac:dyDescent="0.35">
      <c r="A149" t="s">
        <v>746</v>
      </c>
      <c r="B149" t="s">
        <v>23</v>
      </c>
      <c r="C149" t="s">
        <v>44</v>
      </c>
      <c r="D149" t="s">
        <v>54</v>
      </c>
      <c r="E149" t="s">
        <v>38</v>
      </c>
      <c r="F149" t="s">
        <v>30</v>
      </c>
      <c r="G149" t="s">
        <v>28</v>
      </c>
      <c r="H149">
        <v>13</v>
      </c>
      <c r="J149" s="2">
        <v>45254.208333333336</v>
      </c>
      <c r="K149" s="2">
        <v>45618.651020578705</v>
      </c>
      <c r="L149" s="2">
        <v>44994.436851851853</v>
      </c>
      <c r="M149" t="s">
        <v>1969</v>
      </c>
      <c r="N149" t="s">
        <v>1970</v>
      </c>
      <c r="O149" s="2">
        <v>45012.888612905095</v>
      </c>
      <c r="P149" s="2">
        <v>45181.821623310185</v>
      </c>
      <c r="Q149" s="7">
        <f t="shared" si="2"/>
        <v>122</v>
      </c>
    </row>
    <row r="150" spans="1:17" x14ac:dyDescent="0.35">
      <c r="A150" t="s">
        <v>746</v>
      </c>
      <c r="B150" t="s">
        <v>23</v>
      </c>
      <c r="C150" t="s">
        <v>44</v>
      </c>
      <c r="D150" t="s">
        <v>54</v>
      </c>
      <c r="E150" t="s">
        <v>38</v>
      </c>
      <c r="F150" t="s">
        <v>30</v>
      </c>
      <c r="G150" t="s">
        <v>28</v>
      </c>
      <c r="H150">
        <v>13</v>
      </c>
      <c r="J150" s="2">
        <v>45254.208333333336</v>
      </c>
      <c r="K150" s="2">
        <v>45618.651020578705</v>
      </c>
      <c r="L150" s="2">
        <v>44994.436851851853</v>
      </c>
      <c r="M150" t="s">
        <v>1977</v>
      </c>
      <c r="N150" t="s">
        <v>1970</v>
      </c>
      <c r="O150" s="2">
        <v>45372.155143055556</v>
      </c>
      <c r="P150" s="2">
        <v>45448.324722592595</v>
      </c>
      <c r="Q150" s="7">
        <f t="shared" si="2"/>
        <v>55</v>
      </c>
    </row>
    <row r="151" spans="1:17" x14ac:dyDescent="0.35">
      <c r="A151" t="s">
        <v>746</v>
      </c>
      <c r="B151" t="s">
        <v>23</v>
      </c>
      <c r="C151" t="s">
        <v>44</v>
      </c>
      <c r="D151" t="s">
        <v>54</v>
      </c>
      <c r="E151" t="s">
        <v>38</v>
      </c>
      <c r="F151" t="s">
        <v>30</v>
      </c>
      <c r="G151" t="s">
        <v>28</v>
      </c>
      <c r="H151">
        <v>13</v>
      </c>
      <c r="J151" s="2">
        <v>45254.208333333336</v>
      </c>
      <c r="K151" s="2">
        <v>45618.651020578705</v>
      </c>
      <c r="L151" s="2">
        <v>44994.436851851853</v>
      </c>
      <c r="M151" t="s">
        <v>1977</v>
      </c>
      <c r="N151" t="s">
        <v>1970</v>
      </c>
      <c r="O151" s="2">
        <v>45414.45578462963</v>
      </c>
      <c r="P151" s="2">
        <v>45448.324924560184</v>
      </c>
      <c r="Q151" s="7">
        <f t="shared" si="2"/>
        <v>25</v>
      </c>
    </row>
    <row r="152" spans="1:17" x14ac:dyDescent="0.35">
      <c r="A152" t="s">
        <v>746</v>
      </c>
      <c r="B152" t="s">
        <v>23</v>
      </c>
      <c r="C152" t="s">
        <v>44</v>
      </c>
      <c r="D152" t="s">
        <v>54</v>
      </c>
      <c r="E152" t="s">
        <v>38</v>
      </c>
      <c r="F152" t="s">
        <v>30</v>
      </c>
      <c r="G152" t="s">
        <v>28</v>
      </c>
      <c r="H152">
        <v>13</v>
      </c>
      <c r="J152" s="2">
        <v>45254.208333333336</v>
      </c>
      <c r="K152" s="2">
        <v>45618.651020578705</v>
      </c>
      <c r="L152" s="2">
        <v>44994.436851851853</v>
      </c>
      <c r="M152" t="s">
        <v>1977</v>
      </c>
      <c r="N152" t="s">
        <v>1970</v>
      </c>
      <c r="O152" s="2">
        <v>45483.555217870373</v>
      </c>
      <c r="P152" s="2">
        <v>45526.642487268517</v>
      </c>
      <c r="Q152" s="7">
        <f t="shared" si="2"/>
        <v>32</v>
      </c>
    </row>
    <row r="153" spans="1:17" x14ac:dyDescent="0.35">
      <c r="A153" t="s">
        <v>1054</v>
      </c>
      <c r="B153" t="s">
        <v>23</v>
      </c>
      <c r="C153" t="s">
        <v>44</v>
      </c>
      <c r="D153" t="s">
        <v>135</v>
      </c>
      <c r="E153" t="s">
        <v>32</v>
      </c>
      <c r="F153" t="s">
        <v>30</v>
      </c>
      <c r="G153" t="s">
        <v>28</v>
      </c>
      <c r="I153" t="s">
        <v>33</v>
      </c>
      <c r="J153" s="2">
        <v>45639.208333333336</v>
      </c>
      <c r="K153" s="2">
        <v>45671.753044398145</v>
      </c>
      <c r="L153" s="2">
        <v>44999.717164351852</v>
      </c>
      <c r="M153" t="s">
        <v>1969</v>
      </c>
      <c r="N153" t="s">
        <v>1984</v>
      </c>
      <c r="O153" s="2">
        <v>45002.735529189813</v>
      </c>
      <c r="P153" s="2">
        <v>45008.67922604167</v>
      </c>
      <c r="Q153" s="7">
        <f t="shared" si="2"/>
        <v>5</v>
      </c>
    </row>
    <row r="154" spans="1:17" x14ac:dyDescent="0.35">
      <c r="A154" t="s">
        <v>1054</v>
      </c>
      <c r="B154" t="s">
        <v>23</v>
      </c>
      <c r="C154" t="s">
        <v>44</v>
      </c>
      <c r="D154" t="s">
        <v>135</v>
      </c>
      <c r="E154" t="s">
        <v>32</v>
      </c>
      <c r="F154" t="s">
        <v>30</v>
      </c>
      <c r="G154" t="s">
        <v>28</v>
      </c>
      <c r="I154" t="s">
        <v>33</v>
      </c>
      <c r="J154" s="2">
        <v>45639.208333333336</v>
      </c>
      <c r="K154" s="2">
        <v>45671.753044398145</v>
      </c>
      <c r="L154" s="2">
        <v>44999.717164351852</v>
      </c>
      <c r="M154" t="s">
        <v>1972</v>
      </c>
      <c r="N154" t="s">
        <v>1974</v>
      </c>
      <c r="O154" s="2">
        <v>45012.629212233798</v>
      </c>
      <c r="P154" s="2">
        <v>45560.166666666664</v>
      </c>
      <c r="Q154" s="7">
        <f t="shared" si="2"/>
        <v>393</v>
      </c>
    </row>
    <row r="155" spans="1:17" x14ac:dyDescent="0.35">
      <c r="A155" t="s">
        <v>1054</v>
      </c>
      <c r="B155" t="s">
        <v>23</v>
      </c>
      <c r="C155" t="s">
        <v>44</v>
      </c>
      <c r="D155" t="s">
        <v>135</v>
      </c>
      <c r="E155" t="s">
        <v>32</v>
      </c>
      <c r="F155" t="s">
        <v>30</v>
      </c>
      <c r="G155" t="s">
        <v>28</v>
      </c>
      <c r="I155" t="s">
        <v>33</v>
      </c>
      <c r="J155" s="2">
        <v>45639.208333333336</v>
      </c>
      <c r="K155" s="2">
        <v>45671.753044398145</v>
      </c>
      <c r="L155" s="2">
        <v>44999.717164351852</v>
      </c>
      <c r="M155" t="s">
        <v>1975</v>
      </c>
      <c r="N155" t="s">
        <v>1974</v>
      </c>
      <c r="O155" s="2">
        <v>45040.532703009259</v>
      </c>
      <c r="P155" s="2">
        <v>45560.726714247685</v>
      </c>
      <c r="Q155" s="7">
        <f t="shared" si="2"/>
        <v>373</v>
      </c>
    </row>
    <row r="156" spans="1:17" x14ac:dyDescent="0.35">
      <c r="A156" t="s">
        <v>1054</v>
      </c>
      <c r="B156" t="s">
        <v>23</v>
      </c>
      <c r="C156" t="s">
        <v>44</v>
      </c>
      <c r="D156" t="s">
        <v>135</v>
      </c>
      <c r="E156" t="s">
        <v>32</v>
      </c>
      <c r="F156" t="s">
        <v>30</v>
      </c>
      <c r="G156" t="s">
        <v>28</v>
      </c>
      <c r="I156" t="s">
        <v>33</v>
      </c>
      <c r="J156" s="2">
        <v>45639.208333333336</v>
      </c>
      <c r="K156" s="2">
        <v>45671.753044398145</v>
      </c>
      <c r="L156" s="2">
        <v>44999.717164351852</v>
      </c>
      <c r="M156" t="s">
        <v>1975</v>
      </c>
      <c r="N156" t="s">
        <v>1974</v>
      </c>
      <c r="O156" s="2">
        <v>45560.737466736115</v>
      </c>
      <c r="P156" s="2">
        <v>45560.73759780093</v>
      </c>
      <c r="Q156" s="7">
        <f t="shared" si="2"/>
        <v>1</v>
      </c>
    </row>
    <row r="157" spans="1:17" x14ac:dyDescent="0.35">
      <c r="A157" t="s">
        <v>1054</v>
      </c>
      <c r="B157" t="s">
        <v>23</v>
      </c>
      <c r="C157" t="s">
        <v>44</v>
      </c>
      <c r="D157" t="s">
        <v>135</v>
      </c>
      <c r="E157" t="s">
        <v>32</v>
      </c>
      <c r="F157" t="s">
        <v>30</v>
      </c>
      <c r="G157" t="s">
        <v>28</v>
      </c>
      <c r="I157" t="s">
        <v>33</v>
      </c>
      <c r="J157" s="2">
        <v>45639.208333333336</v>
      </c>
      <c r="K157" s="2">
        <v>45671.753044398145</v>
      </c>
      <c r="L157" s="2">
        <v>44999.717164351852</v>
      </c>
      <c r="M157" t="s">
        <v>1975</v>
      </c>
      <c r="N157" t="s">
        <v>1974</v>
      </c>
      <c r="O157" s="2">
        <v>45575.723422881943</v>
      </c>
      <c r="P157" s="2">
        <v>45575.723860347221</v>
      </c>
      <c r="Q157" s="7">
        <f t="shared" si="2"/>
        <v>1</v>
      </c>
    </row>
    <row r="158" spans="1:17" x14ac:dyDescent="0.35">
      <c r="A158" t="s">
        <v>554</v>
      </c>
      <c r="B158" t="s">
        <v>23</v>
      </c>
      <c r="C158" t="s">
        <v>44</v>
      </c>
      <c r="D158" t="s">
        <v>76</v>
      </c>
      <c r="E158" t="s">
        <v>38</v>
      </c>
      <c r="F158" t="s">
        <v>30</v>
      </c>
      <c r="G158" t="s">
        <v>28</v>
      </c>
      <c r="H158">
        <v>9</v>
      </c>
      <c r="J158" s="2">
        <v>45218.166666666664</v>
      </c>
      <c r="K158" s="2">
        <v>45313.671237847222</v>
      </c>
      <c r="L158" s="2">
        <v>45021.608657407407</v>
      </c>
      <c r="M158" t="s">
        <v>1971</v>
      </c>
      <c r="N158" t="s">
        <v>1970</v>
      </c>
      <c r="O158" s="2">
        <v>45041.602632638889</v>
      </c>
      <c r="P158" s="2">
        <v>45047.53833491898</v>
      </c>
      <c r="Q158" s="7">
        <f t="shared" si="2"/>
        <v>5</v>
      </c>
    </row>
    <row r="159" spans="1:17" x14ac:dyDescent="0.35">
      <c r="A159" t="s">
        <v>554</v>
      </c>
      <c r="B159" t="s">
        <v>23</v>
      </c>
      <c r="C159" t="s">
        <v>44</v>
      </c>
      <c r="D159" t="s">
        <v>76</v>
      </c>
      <c r="E159" t="s">
        <v>38</v>
      </c>
      <c r="F159" t="s">
        <v>30</v>
      </c>
      <c r="G159" t="s">
        <v>28</v>
      </c>
      <c r="H159">
        <v>9</v>
      </c>
      <c r="J159" s="2">
        <v>45218.166666666664</v>
      </c>
      <c r="K159" s="2">
        <v>45313.671237847222</v>
      </c>
      <c r="L159" s="2">
        <v>45021.608657407407</v>
      </c>
      <c r="M159" t="s">
        <v>1971</v>
      </c>
      <c r="N159" t="s">
        <v>1987</v>
      </c>
      <c r="O159" s="2">
        <v>45047.851330138888</v>
      </c>
      <c r="P159" s="2">
        <v>45146.6291546875</v>
      </c>
      <c r="Q159" s="7">
        <f t="shared" si="2"/>
        <v>72</v>
      </c>
    </row>
    <row r="160" spans="1:17" x14ac:dyDescent="0.35">
      <c r="A160" t="s">
        <v>554</v>
      </c>
      <c r="B160" t="s">
        <v>23</v>
      </c>
      <c r="C160" t="s">
        <v>44</v>
      </c>
      <c r="D160" t="s">
        <v>76</v>
      </c>
      <c r="E160" t="s">
        <v>38</v>
      </c>
      <c r="F160" t="s">
        <v>30</v>
      </c>
      <c r="G160" t="s">
        <v>28</v>
      </c>
      <c r="H160">
        <v>9</v>
      </c>
      <c r="J160" s="2">
        <v>45218.166666666664</v>
      </c>
      <c r="K160" s="2">
        <v>45313.671237847222</v>
      </c>
      <c r="L160" s="2">
        <v>45021.608657407407</v>
      </c>
      <c r="M160" t="s">
        <v>1971</v>
      </c>
      <c r="N160" t="s">
        <v>1993</v>
      </c>
      <c r="O160" s="2">
        <v>45146.632513159719</v>
      </c>
      <c r="P160" s="2">
        <v>45146.632614085647</v>
      </c>
      <c r="Q160" s="7">
        <f t="shared" si="2"/>
        <v>1</v>
      </c>
    </row>
    <row r="161" spans="1:17" x14ac:dyDescent="0.35">
      <c r="A161" t="s">
        <v>554</v>
      </c>
      <c r="B161" t="s">
        <v>23</v>
      </c>
      <c r="C161" t="s">
        <v>44</v>
      </c>
      <c r="D161" t="s">
        <v>76</v>
      </c>
      <c r="E161" t="s">
        <v>38</v>
      </c>
      <c r="F161" t="s">
        <v>30</v>
      </c>
      <c r="G161" t="s">
        <v>28</v>
      </c>
      <c r="H161">
        <v>9</v>
      </c>
      <c r="J161" s="2">
        <v>45218.166666666664</v>
      </c>
      <c r="K161" s="2">
        <v>45313.671237847222</v>
      </c>
      <c r="L161" s="2">
        <v>45021.608657407407</v>
      </c>
      <c r="M161" t="s">
        <v>1971</v>
      </c>
      <c r="N161" t="s">
        <v>1970</v>
      </c>
      <c r="O161" s="2">
        <v>45159.653037048614</v>
      </c>
      <c r="P161" s="2">
        <v>45159.806205266206</v>
      </c>
      <c r="Q161" s="7">
        <f t="shared" si="2"/>
        <v>1</v>
      </c>
    </row>
    <row r="162" spans="1:17" x14ac:dyDescent="0.35">
      <c r="A162" t="s">
        <v>554</v>
      </c>
      <c r="B162" t="s">
        <v>23</v>
      </c>
      <c r="C162" t="s">
        <v>44</v>
      </c>
      <c r="D162" t="s">
        <v>76</v>
      </c>
      <c r="E162" t="s">
        <v>38</v>
      </c>
      <c r="F162" t="s">
        <v>30</v>
      </c>
      <c r="G162" t="s">
        <v>28</v>
      </c>
      <c r="H162">
        <v>9</v>
      </c>
      <c r="J162" s="2">
        <v>45218.166666666664</v>
      </c>
      <c r="K162" s="2">
        <v>45313.671237847222</v>
      </c>
      <c r="L162" s="2">
        <v>45021.608657407407</v>
      </c>
      <c r="M162" t="s">
        <v>1971</v>
      </c>
      <c r="N162" t="s">
        <v>1970</v>
      </c>
      <c r="O162" s="2">
        <v>45211.761049652778</v>
      </c>
      <c r="P162" s="2">
        <v>45272.70075877315</v>
      </c>
      <c r="Q162" s="7">
        <f t="shared" si="2"/>
        <v>44</v>
      </c>
    </row>
    <row r="163" spans="1:17" x14ac:dyDescent="0.35">
      <c r="A163" t="s">
        <v>554</v>
      </c>
      <c r="B163" t="s">
        <v>23</v>
      </c>
      <c r="C163" t="s">
        <v>44</v>
      </c>
      <c r="D163" t="s">
        <v>76</v>
      </c>
      <c r="E163" t="s">
        <v>38</v>
      </c>
      <c r="F163" t="s">
        <v>30</v>
      </c>
      <c r="G163" t="s">
        <v>28</v>
      </c>
      <c r="H163">
        <v>9</v>
      </c>
      <c r="J163" s="2">
        <v>45218.166666666664</v>
      </c>
      <c r="K163" s="2">
        <v>45313.671237847222</v>
      </c>
      <c r="L163" s="2">
        <v>45021.608657407407</v>
      </c>
      <c r="M163" t="s">
        <v>1973</v>
      </c>
      <c r="N163" t="s">
        <v>1970</v>
      </c>
      <c r="O163" s="2">
        <v>45229.739869328703</v>
      </c>
      <c r="P163" s="2">
        <v>45275.775043506947</v>
      </c>
      <c r="Q163" s="7">
        <f t="shared" si="2"/>
        <v>35</v>
      </c>
    </row>
    <row r="164" spans="1:17" x14ac:dyDescent="0.35">
      <c r="A164" t="s">
        <v>554</v>
      </c>
      <c r="B164" t="s">
        <v>23</v>
      </c>
      <c r="C164" t="s">
        <v>44</v>
      </c>
      <c r="D164" t="s">
        <v>76</v>
      </c>
      <c r="E164" t="s">
        <v>38</v>
      </c>
      <c r="F164" t="s">
        <v>30</v>
      </c>
      <c r="G164" t="s">
        <v>28</v>
      </c>
      <c r="H164">
        <v>9</v>
      </c>
      <c r="J164" s="2">
        <v>45218.166666666664</v>
      </c>
      <c r="K164" s="2">
        <v>45313.671237847222</v>
      </c>
      <c r="L164" s="2">
        <v>45021.608657407407</v>
      </c>
      <c r="M164" t="s">
        <v>1971</v>
      </c>
      <c r="N164" t="s">
        <v>1970</v>
      </c>
      <c r="O164" s="2">
        <v>45272.765287488422</v>
      </c>
      <c r="P164" s="2">
        <v>45273.740037708332</v>
      </c>
      <c r="Q164" s="7">
        <f t="shared" si="2"/>
        <v>2</v>
      </c>
    </row>
    <row r="165" spans="1:17" x14ac:dyDescent="0.35">
      <c r="A165" t="s">
        <v>1499</v>
      </c>
      <c r="B165" t="s">
        <v>23</v>
      </c>
      <c r="C165" t="s">
        <v>44</v>
      </c>
      <c r="D165" t="s">
        <v>76</v>
      </c>
      <c r="E165" t="s">
        <v>32</v>
      </c>
      <c r="F165" t="s">
        <v>30</v>
      </c>
      <c r="G165" t="s">
        <v>1441</v>
      </c>
      <c r="H165">
        <v>4</v>
      </c>
      <c r="J165" s="2">
        <v>45197.166666666664</v>
      </c>
      <c r="K165" s="2">
        <v>45490.671220023149</v>
      </c>
      <c r="L165" s="2">
        <v>45026.941446759258</v>
      </c>
      <c r="M165" t="s">
        <v>1969</v>
      </c>
      <c r="N165" t="s">
        <v>1970</v>
      </c>
      <c r="O165" s="2">
        <v>45040.698439328706</v>
      </c>
      <c r="P165" s="2">
        <v>45061.571372372688</v>
      </c>
      <c r="Q165" s="7">
        <f t="shared" si="2"/>
        <v>16</v>
      </c>
    </row>
    <row r="166" spans="1:17" x14ac:dyDescent="0.35">
      <c r="A166" t="s">
        <v>1499</v>
      </c>
      <c r="B166" t="s">
        <v>23</v>
      </c>
      <c r="C166" t="s">
        <v>44</v>
      </c>
      <c r="D166" t="s">
        <v>76</v>
      </c>
      <c r="E166" t="s">
        <v>32</v>
      </c>
      <c r="F166" t="s">
        <v>30</v>
      </c>
      <c r="G166" t="s">
        <v>1441</v>
      </c>
      <c r="H166">
        <v>4</v>
      </c>
      <c r="J166" s="2">
        <v>45197.166666666664</v>
      </c>
      <c r="K166" s="2">
        <v>45490.671220023149</v>
      </c>
      <c r="L166" s="2">
        <v>45026.941446759258</v>
      </c>
      <c r="M166" t="s">
        <v>1969</v>
      </c>
      <c r="N166" t="s">
        <v>1970</v>
      </c>
      <c r="O166" s="2">
        <v>45076.688339699074</v>
      </c>
      <c r="P166" s="2">
        <v>45099.723591238428</v>
      </c>
      <c r="Q166" s="7">
        <f t="shared" si="2"/>
        <v>18</v>
      </c>
    </row>
    <row r="167" spans="1:17" x14ac:dyDescent="0.35">
      <c r="A167" t="s">
        <v>1499</v>
      </c>
      <c r="B167" t="s">
        <v>23</v>
      </c>
      <c r="C167" t="s">
        <v>44</v>
      </c>
      <c r="D167" t="s">
        <v>76</v>
      </c>
      <c r="E167" t="s">
        <v>32</v>
      </c>
      <c r="F167" t="s">
        <v>30</v>
      </c>
      <c r="G167" t="s">
        <v>1441</v>
      </c>
      <c r="H167">
        <v>4</v>
      </c>
      <c r="J167" s="2">
        <v>45197.166666666664</v>
      </c>
      <c r="K167" s="2">
        <v>45490.671220023149</v>
      </c>
      <c r="L167" s="2">
        <v>45026.941446759258</v>
      </c>
      <c r="M167" t="s">
        <v>1971</v>
      </c>
      <c r="N167" t="s">
        <v>1970</v>
      </c>
      <c r="O167" s="2">
        <v>45113.73669824074</v>
      </c>
      <c r="P167" s="2">
        <v>45121.535166307869</v>
      </c>
      <c r="Q167" s="7">
        <f t="shared" si="2"/>
        <v>7</v>
      </c>
    </row>
    <row r="168" spans="1:17" x14ac:dyDescent="0.35">
      <c r="A168" t="s">
        <v>1499</v>
      </c>
      <c r="B168" t="s">
        <v>23</v>
      </c>
      <c r="C168" t="s">
        <v>44</v>
      </c>
      <c r="D168" t="s">
        <v>76</v>
      </c>
      <c r="E168" t="s">
        <v>32</v>
      </c>
      <c r="F168" t="s">
        <v>30</v>
      </c>
      <c r="G168" t="s">
        <v>1441</v>
      </c>
      <c r="H168">
        <v>4</v>
      </c>
      <c r="J168" s="2">
        <v>45197.166666666664</v>
      </c>
      <c r="K168" s="2">
        <v>45490.671220023149</v>
      </c>
      <c r="L168" s="2">
        <v>45026.941446759258</v>
      </c>
      <c r="M168" t="s">
        <v>1971</v>
      </c>
      <c r="N168" t="s">
        <v>1970</v>
      </c>
      <c r="O168" s="2">
        <v>45121.796685474539</v>
      </c>
      <c r="P168" s="2">
        <v>45135.857651458333</v>
      </c>
      <c r="Q168" s="7">
        <f t="shared" si="2"/>
        <v>11</v>
      </c>
    </row>
    <row r="169" spans="1:17" x14ac:dyDescent="0.35">
      <c r="A169" t="s">
        <v>1499</v>
      </c>
      <c r="B169" t="s">
        <v>23</v>
      </c>
      <c r="C169" t="s">
        <v>44</v>
      </c>
      <c r="D169" t="s">
        <v>76</v>
      </c>
      <c r="E169" t="s">
        <v>32</v>
      </c>
      <c r="F169" t="s">
        <v>30</v>
      </c>
      <c r="G169" t="s">
        <v>1441</v>
      </c>
      <c r="H169">
        <v>4</v>
      </c>
      <c r="J169" s="2">
        <v>45197.166666666664</v>
      </c>
      <c r="K169" s="2">
        <v>45490.671220023149</v>
      </c>
      <c r="L169" s="2">
        <v>45026.941446759258</v>
      </c>
      <c r="M169" t="s">
        <v>1971</v>
      </c>
      <c r="N169" t="s">
        <v>1970</v>
      </c>
      <c r="O169" s="2">
        <v>45139.848903055557</v>
      </c>
      <c r="P169" s="2">
        <v>45194.673609826386</v>
      </c>
      <c r="Q169" s="7">
        <f t="shared" si="2"/>
        <v>40</v>
      </c>
    </row>
    <row r="170" spans="1:17" x14ac:dyDescent="0.35">
      <c r="A170" t="s">
        <v>1499</v>
      </c>
      <c r="B170" t="s">
        <v>23</v>
      </c>
      <c r="C170" t="s">
        <v>44</v>
      </c>
      <c r="D170" t="s">
        <v>76</v>
      </c>
      <c r="E170" t="s">
        <v>32</v>
      </c>
      <c r="F170" t="s">
        <v>30</v>
      </c>
      <c r="G170" t="s">
        <v>1441</v>
      </c>
      <c r="H170">
        <v>4</v>
      </c>
      <c r="J170" s="2">
        <v>45197.166666666664</v>
      </c>
      <c r="K170" s="2">
        <v>45490.671220023149</v>
      </c>
      <c r="L170" s="2">
        <v>45026.941446759258</v>
      </c>
      <c r="M170" t="s">
        <v>1971</v>
      </c>
      <c r="N170" t="s">
        <v>1970</v>
      </c>
      <c r="O170" s="2">
        <v>45195.78091804398</v>
      </c>
      <c r="P170" s="2">
        <v>45215.85705658565</v>
      </c>
      <c r="Q170" s="7">
        <f t="shared" si="2"/>
        <v>15</v>
      </c>
    </row>
    <row r="171" spans="1:17" x14ac:dyDescent="0.35">
      <c r="A171" t="s">
        <v>1499</v>
      </c>
      <c r="B171" t="s">
        <v>23</v>
      </c>
      <c r="C171" t="s">
        <v>44</v>
      </c>
      <c r="D171" t="s">
        <v>76</v>
      </c>
      <c r="E171" t="s">
        <v>32</v>
      </c>
      <c r="F171" t="s">
        <v>30</v>
      </c>
      <c r="G171" t="s">
        <v>1441</v>
      </c>
      <c r="H171">
        <v>4</v>
      </c>
      <c r="J171" s="2">
        <v>45197.166666666664</v>
      </c>
      <c r="K171" s="2">
        <v>45490.671220023149</v>
      </c>
      <c r="L171" s="2">
        <v>45026.941446759258</v>
      </c>
      <c r="M171" t="s">
        <v>1971</v>
      </c>
      <c r="N171" t="s">
        <v>1970</v>
      </c>
      <c r="O171" s="2">
        <v>45216.752241724535</v>
      </c>
      <c r="P171" s="2">
        <v>45218.788748819446</v>
      </c>
      <c r="Q171" s="7">
        <f t="shared" si="2"/>
        <v>3</v>
      </c>
    </row>
    <row r="172" spans="1:17" x14ac:dyDescent="0.35">
      <c r="A172" t="s">
        <v>1499</v>
      </c>
      <c r="B172" t="s">
        <v>23</v>
      </c>
      <c r="C172" t="s">
        <v>44</v>
      </c>
      <c r="D172" t="s">
        <v>76</v>
      </c>
      <c r="E172" t="s">
        <v>32</v>
      </c>
      <c r="F172" t="s">
        <v>30</v>
      </c>
      <c r="G172" t="s">
        <v>1441</v>
      </c>
      <c r="H172">
        <v>4</v>
      </c>
      <c r="J172" s="2">
        <v>45197.166666666664</v>
      </c>
      <c r="K172" s="2">
        <v>45490.671220023149</v>
      </c>
      <c r="L172" s="2">
        <v>45026.941446759258</v>
      </c>
      <c r="M172" t="s">
        <v>1972</v>
      </c>
      <c r="N172" t="s">
        <v>1970</v>
      </c>
      <c r="O172" s="2">
        <v>45222.870200381942</v>
      </c>
      <c r="P172" s="2">
        <v>45224.876784907407</v>
      </c>
      <c r="Q172" s="7">
        <f t="shared" si="2"/>
        <v>3</v>
      </c>
    </row>
    <row r="173" spans="1:17" x14ac:dyDescent="0.35">
      <c r="A173" t="s">
        <v>473</v>
      </c>
      <c r="B173" t="s">
        <v>23</v>
      </c>
      <c r="C173" t="s">
        <v>44</v>
      </c>
      <c r="D173" t="s">
        <v>113</v>
      </c>
      <c r="E173" t="s">
        <v>38</v>
      </c>
      <c r="F173" t="s">
        <v>30</v>
      </c>
      <c r="G173" t="s">
        <v>28</v>
      </c>
      <c r="H173">
        <v>6</v>
      </c>
      <c r="J173" s="2">
        <v>45310.208333333336</v>
      </c>
      <c r="K173" s="2">
        <v>45356.754832280094</v>
      </c>
      <c r="L173" s="2">
        <v>45029.734722222223</v>
      </c>
      <c r="M173" t="s">
        <v>1969</v>
      </c>
      <c r="N173" t="s">
        <v>1970</v>
      </c>
      <c r="O173" s="2">
        <v>45079.73878699074</v>
      </c>
      <c r="P173" s="2">
        <v>45097.506154120369</v>
      </c>
      <c r="Q173" s="7">
        <f t="shared" si="2"/>
        <v>13</v>
      </c>
    </row>
    <row r="174" spans="1:17" x14ac:dyDescent="0.35">
      <c r="A174" t="s">
        <v>473</v>
      </c>
      <c r="B174" t="s">
        <v>23</v>
      </c>
      <c r="C174" t="s">
        <v>44</v>
      </c>
      <c r="D174" t="s">
        <v>113</v>
      </c>
      <c r="E174" t="s">
        <v>38</v>
      </c>
      <c r="F174" t="s">
        <v>30</v>
      </c>
      <c r="G174" t="s">
        <v>28</v>
      </c>
      <c r="H174">
        <v>6</v>
      </c>
      <c r="J174" s="2">
        <v>45310.208333333336</v>
      </c>
      <c r="K174" s="2">
        <v>45356.754832280094</v>
      </c>
      <c r="L174" s="2">
        <v>45029.734722222223</v>
      </c>
      <c r="M174" t="s">
        <v>1969</v>
      </c>
      <c r="N174" t="s">
        <v>1970</v>
      </c>
      <c r="O174" s="2">
        <v>45100.693958414355</v>
      </c>
      <c r="P174" s="2">
        <v>45105.537731192133</v>
      </c>
      <c r="Q174" s="7">
        <f t="shared" si="2"/>
        <v>4</v>
      </c>
    </row>
    <row r="175" spans="1:17" x14ac:dyDescent="0.35">
      <c r="A175" t="s">
        <v>473</v>
      </c>
      <c r="B175" t="s">
        <v>23</v>
      </c>
      <c r="C175" t="s">
        <v>44</v>
      </c>
      <c r="D175" t="s">
        <v>113</v>
      </c>
      <c r="E175" t="s">
        <v>38</v>
      </c>
      <c r="F175" t="s">
        <v>30</v>
      </c>
      <c r="G175" t="s">
        <v>28</v>
      </c>
      <c r="H175">
        <v>6</v>
      </c>
      <c r="J175" s="2">
        <v>45310.208333333336</v>
      </c>
      <c r="K175" s="2">
        <v>45356.754832280094</v>
      </c>
      <c r="L175" s="2">
        <v>45029.734722222223</v>
      </c>
      <c r="M175" t="s">
        <v>1971</v>
      </c>
      <c r="N175" t="s">
        <v>1970</v>
      </c>
      <c r="O175" s="2">
        <v>45114.654753113427</v>
      </c>
      <c r="P175" s="2">
        <v>45177.708230555552</v>
      </c>
      <c r="Q175" s="7">
        <f t="shared" si="2"/>
        <v>46</v>
      </c>
    </row>
    <row r="176" spans="1:17" x14ac:dyDescent="0.35">
      <c r="A176" t="s">
        <v>473</v>
      </c>
      <c r="B176" t="s">
        <v>23</v>
      </c>
      <c r="C176" t="s">
        <v>44</v>
      </c>
      <c r="D176" t="s">
        <v>113</v>
      </c>
      <c r="E176" t="s">
        <v>38</v>
      </c>
      <c r="F176" t="s">
        <v>30</v>
      </c>
      <c r="G176" t="s">
        <v>28</v>
      </c>
      <c r="H176">
        <v>6</v>
      </c>
      <c r="J176" s="2">
        <v>45310.208333333336</v>
      </c>
      <c r="K176" s="2">
        <v>45356.754832280094</v>
      </c>
      <c r="L176" s="2">
        <v>45029.734722222223</v>
      </c>
      <c r="M176" t="s">
        <v>1971</v>
      </c>
      <c r="N176" t="s">
        <v>1970</v>
      </c>
      <c r="O176" s="2">
        <v>45182.632746365744</v>
      </c>
      <c r="P176" s="2">
        <v>45184.853241828707</v>
      </c>
      <c r="Q176" s="7">
        <f t="shared" si="2"/>
        <v>3</v>
      </c>
    </row>
    <row r="177" spans="1:17" x14ac:dyDescent="0.35">
      <c r="A177" t="s">
        <v>579</v>
      </c>
      <c r="B177" t="s">
        <v>23</v>
      </c>
      <c r="C177" t="s">
        <v>44</v>
      </c>
      <c r="D177" t="s">
        <v>43</v>
      </c>
      <c r="E177" t="s">
        <v>48</v>
      </c>
      <c r="F177" t="s">
        <v>30</v>
      </c>
      <c r="G177" t="s">
        <v>28</v>
      </c>
      <c r="H177">
        <v>10</v>
      </c>
      <c r="J177" s="2">
        <v>45093.166666666664</v>
      </c>
      <c r="K177" s="2">
        <v>45334.804906678241</v>
      </c>
      <c r="L177" s="2">
        <v>45034.491631944446</v>
      </c>
      <c r="M177" t="s">
        <v>1988</v>
      </c>
      <c r="N177" t="s">
        <v>1994</v>
      </c>
      <c r="O177" s="2">
        <v>45266.623674247683</v>
      </c>
      <c r="P177" s="2">
        <v>45329.629765775462</v>
      </c>
      <c r="Q177" s="7">
        <f t="shared" si="2"/>
        <v>63.006091527779063</v>
      </c>
    </row>
    <row r="178" spans="1:17" x14ac:dyDescent="0.35">
      <c r="A178" t="s">
        <v>416</v>
      </c>
      <c r="B178" t="s">
        <v>23</v>
      </c>
      <c r="C178" t="s">
        <v>44</v>
      </c>
      <c r="D178" t="s">
        <v>43</v>
      </c>
      <c r="E178" t="s">
        <v>48</v>
      </c>
      <c r="F178" t="s">
        <v>30</v>
      </c>
      <c r="G178" t="s">
        <v>28</v>
      </c>
      <c r="H178">
        <v>5</v>
      </c>
      <c r="J178" s="2">
        <v>45058.166666666664</v>
      </c>
      <c r="K178" s="2">
        <v>45293.867001678242</v>
      </c>
      <c r="L178" s="2">
        <v>45036.762048611112</v>
      </c>
      <c r="M178" t="s">
        <v>1973</v>
      </c>
      <c r="N178" t="s">
        <v>1985</v>
      </c>
      <c r="O178" s="2">
        <v>45138.558178784719</v>
      </c>
      <c r="P178" s="2">
        <v>45273.647156134262</v>
      </c>
      <c r="Q178" s="7">
        <f t="shared" si="2"/>
        <v>135.08897734954371</v>
      </c>
    </row>
    <row r="179" spans="1:17" x14ac:dyDescent="0.35">
      <c r="A179" t="s">
        <v>1508</v>
      </c>
      <c r="B179" t="s">
        <v>23</v>
      </c>
      <c r="C179" t="s">
        <v>44</v>
      </c>
      <c r="D179" t="s">
        <v>130</v>
      </c>
      <c r="E179" t="s">
        <v>38</v>
      </c>
      <c r="F179" t="s">
        <v>30</v>
      </c>
      <c r="G179" t="s">
        <v>1441</v>
      </c>
      <c r="H179">
        <v>4</v>
      </c>
      <c r="J179" s="2">
        <v>45519.166666666664</v>
      </c>
      <c r="K179" s="2">
        <v>45580.97107417824</v>
      </c>
      <c r="L179" s="2">
        <v>45042.454363425924</v>
      </c>
      <c r="M179" t="s">
        <v>1969</v>
      </c>
      <c r="N179" t="s">
        <v>1970</v>
      </c>
      <c r="O179" s="2">
        <v>45224.100451689817</v>
      </c>
      <c r="P179" s="2">
        <v>45246.607282789351</v>
      </c>
      <c r="Q179" s="7">
        <f t="shared" si="2"/>
        <v>17</v>
      </c>
    </row>
    <row r="180" spans="1:17" x14ac:dyDescent="0.35">
      <c r="A180" t="s">
        <v>1508</v>
      </c>
      <c r="B180" t="s">
        <v>23</v>
      </c>
      <c r="C180" t="s">
        <v>44</v>
      </c>
      <c r="D180" t="s">
        <v>130</v>
      </c>
      <c r="E180" t="s">
        <v>38</v>
      </c>
      <c r="F180" t="s">
        <v>30</v>
      </c>
      <c r="G180" t="s">
        <v>1441</v>
      </c>
      <c r="H180">
        <v>4</v>
      </c>
      <c r="J180" s="2">
        <v>45519.166666666664</v>
      </c>
      <c r="K180" s="2">
        <v>45580.97107417824</v>
      </c>
      <c r="L180" s="2">
        <v>45042.454363425924</v>
      </c>
      <c r="M180" t="s">
        <v>1969</v>
      </c>
      <c r="N180" t="s">
        <v>1970</v>
      </c>
      <c r="O180" s="2">
        <v>45246.783625960648</v>
      </c>
      <c r="P180" s="2">
        <v>45296.577009074077</v>
      </c>
      <c r="Q180" s="7">
        <f t="shared" si="2"/>
        <v>37</v>
      </c>
    </row>
    <row r="181" spans="1:17" x14ac:dyDescent="0.35">
      <c r="A181" t="s">
        <v>1508</v>
      </c>
      <c r="B181" t="s">
        <v>23</v>
      </c>
      <c r="C181" t="s">
        <v>44</v>
      </c>
      <c r="D181" t="s">
        <v>130</v>
      </c>
      <c r="E181" t="s">
        <v>38</v>
      </c>
      <c r="F181" t="s">
        <v>30</v>
      </c>
      <c r="G181" t="s">
        <v>1441</v>
      </c>
      <c r="H181">
        <v>4</v>
      </c>
      <c r="J181" s="2">
        <v>45519.166666666664</v>
      </c>
      <c r="K181" s="2">
        <v>45580.97107417824</v>
      </c>
      <c r="L181" s="2">
        <v>45042.454363425924</v>
      </c>
      <c r="M181" t="s">
        <v>1980</v>
      </c>
      <c r="N181" t="s">
        <v>1970</v>
      </c>
      <c r="O181" s="2">
        <v>45250.733010787037</v>
      </c>
      <c r="P181" s="2">
        <v>45308.696823969905</v>
      </c>
      <c r="Q181" s="7">
        <f t="shared" si="2"/>
        <v>43</v>
      </c>
    </row>
    <row r="182" spans="1:17" x14ac:dyDescent="0.35">
      <c r="A182" t="s">
        <v>1508</v>
      </c>
      <c r="B182" t="s">
        <v>23</v>
      </c>
      <c r="C182" t="s">
        <v>44</v>
      </c>
      <c r="D182" t="s">
        <v>130</v>
      </c>
      <c r="E182" t="s">
        <v>38</v>
      </c>
      <c r="F182" t="s">
        <v>30</v>
      </c>
      <c r="G182" t="s">
        <v>1441</v>
      </c>
      <c r="H182">
        <v>4</v>
      </c>
      <c r="J182" s="2">
        <v>45519.166666666664</v>
      </c>
      <c r="K182" s="2">
        <v>45580.97107417824</v>
      </c>
      <c r="L182" s="2">
        <v>45042.454363425924</v>
      </c>
      <c r="M182" t="s">
        <v>1971</v>
      </c>
      <c r="N182" t="s">
        <v>1970</v>
      </c>
      <c r="O182" s="2">
        <v>45311.007764467591</v>
      </c>
      <c r="P182" s="2">
        <v>45324.028755578707</v>
      </c>
      <c r="Q182" s="7">
        <f t="shared" si="2"/>
        <v>10</v>
      </c>
    </row>
    <row r="183" spans="1:17" x14ac:dyDescent="0.35">
      <c r="A183" t="s">
        <v>1508</v>
      </c>
      <c r="B183" t="s">
        <v>23</v>
      </c>
      <c r="C183" t="s">
        <v>44</v>
      </c>
      <c r="D183" t="s">
        <v>130</v>
      </c>
      <c r="E183" t="s">
        <v>38</v>
      </c>
      <c r="F183" t="s">
        <v>30</v>
      </c>
      <c r="G183" t="s">
        <v>1441</v>
      </c>
      <c r="H183">
        <v>4</v>
      </c>
      <c r="J183" s="2">
        <v>45519.166666666664</v>
      </c>
      <c r="K183" s="2">
        <v>45580.97107417824</v>
      </c>
      <c r="L183" s="2">
        <v>45042.454363425924</v>
      </c>
      <c r="M183" t="s">
        <v>1975</v>
      </c>
      <c r="N183" t="s">
        <v>1995</v>
      </c>
      <c r="O183" s="2">
        <v>45335.652918472224</v>
      </c>
      <c r="P183" s="2">
        <v>45432.101773958333</v>
      </c>
      <c r="Q183" s="7">
        <f t="shared" si="2"/>
        <v>70</v>
      </c>
    </row>
    <row r="184" spans="1:17" x14ac:dyDescent="0.35">
      <c r="A184" t="s">
        <v>1508</v>
      </c>
      <c r="B184" t="s">
        <v>23</v>
      </c>
      <c r="C184" t="s">
        <v>44</v>
      </c>
      <c r="D184" t="s">
        <v>130</v>
      </c>
      <c r="E184" t="s">
        <v>38</v>
      </c>
      <c r="F184" t="s">
        <v>30</v>
      </c>
      <c r="G184" t="s">
        <v>1441</v>
      </c>
      <c r="H184">
        <v>4</v>
      </c>
      <c r="J184" s="2">
        <v>45519.166666666664</v>
      </c>
      <c r="K184" s="2">
        <v>45580.97107417824</v>
      </c>
      <c r="L184" s="2">
        <v>45042.454363425924</v>
      </c>
      <c r="M184" t="s">
        <v>1973</v>
      </c>
      <c r="N184" t="s">
        <v>1984</v>
      </c>
      <c r="O184" s="2">
        <v>45383.838426018519</v>
      </c>
      <c r="P184" s="2">
        <v>45443.57353858796</v>
      </c>
      <c r="Q184" s="7">
        <f t="shared" si="2"/>
        <v>45</v>
      </c>
    </row>
    <row r="185" spans="1:17" x14ac:dyDescent="0.35">
      <c r="A185" t="s">
        <v>1508</v>
      </c>
      <c r="B185" t="s">
        <v>23</v>
      </c>
      <c r="C185" t="s">
        <v>44</v>
      </c>
      <c r="D185" t="s">
        <v>130</v>
      </c>
      <c r="E185" t="s">
        <v>38</v>
      </c>
      <c r="F185" t="s">
        <v>30</v>
      </c>
      <c r="G185" t="s">
        <v>1441</v>
      </c>
      <c r="H185">
        <v>4</v>
      </c>
      <c r="J185" s="2">
        <v>45519.166666666664</v>
      </c>
      <c r="K185" s="2">
        <v>45580.97107417824</v>
      </c>
      <c r="L185" s="2">
        <v>45042.454363425924</v>
      </c>
      <c r="M185" t="s">
        <v>1975</v>
      </c>
      <c r="N185" t="s">
        <v>1995</v>
      </c>
      <c r="O185" s="2">
        <v>45414.457132118056</v>
      </c>
      <c r="P185" s="2">
        <v>45432.101491319445</v>
      </c>
      <c r="Q185" s="7">
        <f t="shared" si="2"/>
        <v>13</v>
      </c>
    </row>
    <row r="186" spans="1:17" x14ac:dyDescent="0.35">
      <c r="A186" t="s">
        <v>1508</v>
      </c>
      <c r="B186" t="s">
        <v>23</v>
      </c>
      <c r="C186" t="s">
        <v>44</v>
      </c>
      <c r="D186" t="s">
        <v>130</v>
      </c>
      <c r="E186" t="s">
        <v>38</v>
      </c>
      <c r="F186" t="s">
        <v>30</v>
      </c>
      <c r="G186" t="s">
        <v>1441</v>
      </c>
      <c r="H186">
        <v>4</v>
      </c>
      <c r="J186" s="2">
        <v>45519.166666666664</v>
      </c>
      <c r="K186" s="2">
        <v>45580.97107417824</v>
      </c>
      <c r="L186" s="2">
        <v>45042.454363425924</v>
      </c>
      <c r="M186" t="s">
        <v>1988</v>
      </c>
      <c r="N186" t="s">
        <v>1970</v>
      </c>
      <c r="O186" s="2">
        <v>45532.340935960645</v>
      </c>
      <c r="P186" s="2">
        <v>45533.01498615741</v>
      </c>
      <c r="Q186" s="7">
        <f t="shared" si="2"/>
        <v>2</v>
      </c>
    </row>
    <row r="187" spans="1:17" x14ac:dyDescent="0.35">
      <c r="A187" t="s">
        <v>1443</v>
      </c>
      <c r="B187" t="s">
        <v>23</v>
      </c>
      <c r="C187" t="s">
        <v>44</v>
      </c>
      <c r="D187" t="s">
        <v>113</v>
      </c>
      <c r="E187" t="s">
        <v>38</v>
      </c>
      <c r="F187" t="s">
        <v>30</v>
      </c>
      <c r="G187" t="s">
        <v>1441</v>
      </c>
      <c r="H187">
        <v>1</v>
      </c>
      <c r="J187" s="2">
        <v>45260.208333333336</v>
      </c>
      <c r="K187" s="2">
        <v>45310.824572442129</v>
      </c>
      <c r="L187" s="2">
        <v>45050.769317129627</v>
      </c>
      <c r="M187" t="s">
        <v>1969</v>
      </c>
      <c r="N187" t="s">
        <v>1970</v>
      </c>
      <c r="O187" s="2">
        <v>45079.739687141206</v>
      </c>
      <c r="P187" s="2">
        <v>45083.69217199074</v>
      </c>
      <c r="Q187" s="7">
        <f t="shared" si="2"/>
        <v>3</v>
      </c>
    </row>
    <row r="188" spans="1:17" x14ac:dyDescent="0.35">
      <c r="A188" t="s">
        <v>363</v>
      </c>
      <c r="B188" t="s">
        <v>23</v>
      </c>
      <c r="C188" t="s">
        <v>44</v>
      </c>
      <c r="D188" t="s">
        <v>54</v>
      </c>
      <c r="E188" t="s">
        <v>174</v>
      </c>
      <c r="F188" t="s">
        <v>30</v>
      </c>
      <c r="G188" t="s">
        <v>28</v>
      </c>
      <c r="H188">
        <v>3</v>
      </c>
      <c r="J188" s="2">
        <v>45261.208333333336</v>
      </c>
      <c r="K188" s="2">
        <v>45454.541688935184</v>
      </c>
      <c r="L188" s="2">
        <v>45070.46597222222</v>
      </c>
      <c r="M188" t="s">
        <v>1971</v>
      </c>
      <c r="N188" t="s">
        <v>1987</v>
      </c>
      <c r="O188" s="2">
        <v>45314.867506446761</v>
      </c>
      <c r="P188" s="2">
        <v>45315.824628645831</v>
      </c>
      <c r="Q188" s="7">
        <f t="shared" si="2"/>
        <v>2</v>
      </c>
    </row>
    <row r="189" spans="1:17" x14ac:dyDescent="0.35">
      <c r="A189" t="s">
        <v>771</v>
      </c>
      <c r="B189" t="s">
        <v>23</v>
      </c>
      <c r="C189" t="s">
        <v>44</v>
      </c>
      <c r="D189" t="s">
        <v>135</v>
      </c>
      <c r="E189" t="s">
        <v>32</v>
      </c>
      <c r="F189" t="s">
        <v>30</v>
      </c>
      <c r="G189" t="s">
        <v>28</v>
      </c>
      <c r="H189">
        <v>14</v>
      </c>
      <c r="J189" s="2">
        <v>45702.208333333336</v>
      </c>
      <c r="K189" s="2">
        <v>45755.608728993058</v>
      </c>
      <c r="L189" s="2">
        <v>45071.504803240743</v>
      </c>
      <c r="M189" t="s">
        <v>1971</v>
      </c>
      <c r="N189" t="s">
        <v>1970</v>
      </c>
      <c r="O189" s="2">
        <v>45119.848118263886</v>
      </c>
      <c r="P189" s="2">
        <v>45187.726454178242</v>
      </c>
      <c r="Q189" s="7">
        <f t="shared" si="2"/>
        <v>49</v>
      </c>
    </row>
    <row r="190" spans="1:17" x14ac:dyDescent="0.35">
      <c r="A190" t="s">
        <v>361</v>
      </c>
      <c r="B190" t="s">
        <v>23</v>
      </c>
      <c r="C190" t="s">
        <v>44</v>
      </c>
      <c r="D190" t="s">
        <v>76</v>
      </c>
      <c r="E190" t="s">
        <v>38</v>
      </c>
      <c r="F190" t="s">
        <v>30</v>
      </c>
      <c r="G190" t="s">
        <v>28</v>
      </c>
      <c r="H190">
        <v>3</v>
      </c>
      <c r="J190" s="2">
        <v>45272.208333333336</v>
      </c>
      <c r="K190" s="2">
        <v>45334.783459039354</v>
      </c>
      <c r="L190" s="2">
        <v>45077.570277777777</v>
      </c>
      <c r="M190" t="s">
        <v>1969</v>
      </c>
      <c r="N190" t="s">
        <v>1970</v>
      </c>
      <c r="O190" s="2">
        <v>45086.856391076391</v>
      </c>
      <c r="P190" s="2">
        <v>45103.875669293979</v>
      </c>
      <c r="Q190" s="7">
        <f t="shared" si="2"/>
        <v>12</v>
      </c>
    </row>
    <row r="191" spans="1:17" x14ac:dyDescent="0.35">
      <c r="A191" t="s">
        <v>361</v>
      </c>
      <c r="B191" t="s">
        <v>23</v>
      </c>
      <c r="C191" t="s">
        <v>44</v>
      </c>
      <c r="D191" t="s">
        <v>76</v>
      </c>
      <c r="E191" t="s">
        <v>38</v>
      </c>
      <c r="F191" t="s">
        <v>30</v>
      </c>
      <c r="G191" t="s">
        <v>28</v>
      </c>
      <c r="H191">
        <v>3</v>
      </c>
      <c r="J191" s="2">
        <v>45272.208333333336</v>
      </c>
      <c r="K191" s="2">
        <v>45334.783459039354</v>
      </c>
      <c r="L191" s="2">
        <v>45077.570277777777</v>
      </c>
      <c r="M191" t="s">
        <v>1969</v>
      </c>
      <c r="N191" t="s">
        <v>1970</v>
      </c>
      <c r="O191" s="2">
        <v>45113.878098842593</v>
      </c>
      <c r="P191" s="2">
        <v>45160.866549085651</v>
      </c>
      <c r="Q191" s="7">
        <f t="shared" si="2"/>
        <v>34</v>
      </c>
    </row>
    <row r="192" spans="1:17" x14ac:dyDescent="0.35">
      <c r="A192" t="s">
        <v>361</v>
      </c>
      <c r="B192" t="s">
        <v>23</v>
      </c>
      <c r="C192" t="s">
        <v>44</v>
      </c>
      <c r="D192" t="s">
        <v>76</v>
      </c>
      <c r="E192" t="s">
        <v>38</v>
      </c>
      <c r="F192" t="s">
        <v>30</v>
      </c>
      <c r="G192" t="s">
        <v>28</v>
      </c>
      <c r="H192">
        <v>3</v>
      </c>
      <c r="J192" s="2">
        <v>45272.208333333336</v>
      </c>
      <c r="K192" s="2">
        <v>45334.783459039354</v>
      </c>
      <c r="L192" s="2">
        <v>45077.570277777777</v>
      </c>
      <c r="M192" t="s">
        <v>1969</v>
      </c>
      <c r="N192" t="s">
        <v>1970</v>
      </c>
      <c r="O192" s="2">
        <v>45166.711681377317</v>
      </c>
      <c r="P192" s="2">
        <v>45182.67902596065</v>
      </c>
      <c r="Q192" s="7">
        <f t="shared" si="2"/>
        <v>13</v>
      </c>
    </row>
    <row r="193" spans="1:17" x14ac:dyDescent="0.35">
      <c r="A193" t="s">
        <v>361</v>
      </c>
      <c r="B193" t="s">
        <v>23</v>
      </c>
      <c r="C193" t="s">
        <v>44</v>
      </c>
      <c r="D193" t="s">
        <v>76</v>
      </c>
      <c r="E193" t="s">
        <v>38</v>
      </c>
      <c r="F193" t="s">
        <v>30</v>
      </c>
      <c r="G193" t="s">
        <v>28</v>
      </c>
      <c r="H193">
        <v>3</v>
      </c>
      <c r="J193" s="2">
        <v>45272.208333333336</v>
      </c>
      <c r="K193" s="2">
        <v>45334.783459039354</v>
      </c>
      <c r="L193" s="2">
        <v>45077.570277777777</v>
      </c>
      <c r="M193" t="s">
        <v>1971</v>
      </c>
      <c r="N193" t="s">
        <v>1970</v>
      </c>
      <c r="O193" s="2">
        <v>45195.589116643518</v>
      </c>
      <c r="P193" s="2">
        <v>45240.750400266203</v>
      </c>
      <c r="Q193" s="7">
        <f t="shared" si="2"/>
        <v>34</v>
      </c>
    </row>
    <row r="194" spans="1:17" x14ac:dyDescent="0.35">
      <c r="A194" t="s">
        <v>361</v>
      </c>
      <c r="B194" t="s">
        <v>23</v>
      </c>
      <c r="C194" t="s">
        <v>44</v>
      </c>
      <c r="D194" t="s">
        <v>76</v>
      </c>
      <c r="E194" t="s">
        <v>38</v>
      </c>
      <c r="F194" t="s">
        <v>30</v>
      </c>
      <c r="G194" t="s">
        <v>28</v>
      </c>
      <c r="H194">
        <v>3</v>
      </c>
      <c r="J194" s="2">
        <v>45272.208333333336</v>
      </c>
      <c r="K194" s="2">
        <v>45334.783459039354</v>
      </c>
      <c r="L194" s="2">
        <v>45077.570277777777</v>
      </c>
      <c r="M194" t="s">
        <v>1971</v>
      </c>
      <c r="N194" t="s">
        <v>1970</v>
      </c>
      <c r="O194" s="2">
        <v>45240.770792511576</v>
      </c>
      <c r="P194" s="2">
        <v>45260.918713090279</v>
      </c>
      <c r="Q194" s="7">
        <f t="shared" si="2"/>
        <v>15</v>
      </c>
    </row>
    <row r="195" spans="1:17" x14ac:dyDescent="0.35">
      <c r="A195" t="s">
        <v>307</v>
      </c>
      <c r="B195" t="s">
        <v>23</v>
      </c>
      <c r="C195" t="s">
        <v>44</v>
      </c>
      <c r="D195" t="s">
        <v>76</v>
      </c>
      <c r="E195" t="s">
        <v>48</v>
      </c>
      <c r="F195" t="s">
        <v>30</v>
      </c>
      <c r="G195" t="s">
        <v>28</v>
      </c>
      <c r="H195">
        <v>2</v>
      </c>
      <c r="J195" s="2">
        <v>45177.166666666664</v>
      </c>
      <c r="K195" s="2">
        <v>45363.635021030095</v>
      </c>
      <c r="L195" s="2">
        <v>45082.683657407404</v>
      </c>
      <c r="M195" t="s">
        <v>1971</v>
      </c>
      <c r="N195" t="s">
        <v>1993</v>
      </c>
      <c r="O195" s="2">
        <v>45166.760345358794</v>
      </c>
      <c r="P195" s="2">
        <v>45275.786021631946</v>
      </c>
      <c r="Q195" s="7">
        <f t="shared" ref="Q195:Q258" si="3">IF(OR(O195="", P195=""), "", IF(OR(E195="PW1000G", E195="PW800"), P195 - O195, NETWORKDAYS(O195, P195)))</f>
        <v>109.02567627315148</v>
      </c>
    </row>
    <row r="196" spans="1:17" x14ac:dyDescent="0.35">
      <c r="A196" t="s">
        <v>307</v>
      </c>
      <c r="B196" t="s">
        <v>23</v>
      </c>
      <c r="C196" t="s">
        <v>44</v>
      </c>
      <c r="D196" t="s">
        <v>76</v>
      </c>
      <c r="E196" t="s">
        <v>48</v>
      </c>
      <c r="F196" t="s">
        <v>30</v>
      </c>
      <c r="G196" t="s">
        <v>28</v>
      </c>
      <c r="H196">
        <v>2</v>
      </c>
      <c r="J196" s="2">
        <v>45177.166666666664</v>
      </c>
      <c r="K196" s="2">
        <v>45363.635021030095</v>
      </c>
      <c r="L196" s="2">
        <v>45082.683657407404</v>
      </c>
      <c r="M196" t="s">
        <v>1988</v>
      </c>
      <c r="N196" t="s">
        <v>1993</v>
      </c>
      <c r="O196" s="2">
        <v>45315.844288738423</v>
      </c>
      <c r="P196" s="2">
        <v>45315.845779571762</v>
      </c>
      <c r="Q196" s="7">
        <f t="shared" si="3"/>
        <v>1.4908333396306261E-3</v>
      </c>
    </row>
    <row r="197" spans="1:17" x14ac:dyDescent="0.35">
      <c r="A197" t="s">
        <v>307</v>
      </c>
      <c r="B197" t="s">
        <v>23</v>
      </c>
      <c r="C197" t="s">
        <v>44</v>
      </c>
      <c r="D197" t="s">
        <v>76</v>
      </c>
      <c r="E197" t="s">
        <v>48</v>
      </c>
      <c r="F197" t="s">
        <v>30</v>
      </c>
      <c r="G197" t="s">
        <v>28</v>
      </c>
      <c r="H197">
        <v>2</v>
      </c>
      <c r="J197" s="2">
        <v>45177.166666666664</v>
      </c>
      <c r="K197" s="2">
        <v>45363.635021030095</v>
      </c>
      <c r="L197" s="2">
        <v>45082.683657407404</v>
      </c>
      <c r="M197" t="s">
        <v>1988</v>
      </c>
      <c r="N197" t="s">
        <v>1993</v>
      </c>
      <c r="O197" s="2">
        <v>45315.846170208337</v>
      </c>
      <c r="P197" s="2">
        <v>45355.79325855324</v>
      </c>
      <c r="Q197" s="7">
        <f t="shared" si="3"/>
        <v>39.947088344903023</v>
      </c>
    </row>
    <row r="198" spans="1:17" x14ac:dyDescent="0.35">
      <c r="A198" t="s">
        <v>507</v>
      </c>
      <c r="B198" t="s">
        <v>23</v>
      </c>
      <c r="C198" t="s">
        <v>44</v>
      </c>
      <c r="D198" t="s">
        <v>76</v>
      </c>
      <c r="E198" t="s">
        <v>38</v>
      </c>
      <c r="F198" t="s">
        <v>30</v>
      </c>
      <c r="G198" t="s">
        <v>28</v>
      </c>
      <c r="H198">
        <v>7</v>
      </c>
      <c r="J198" s="2">
        <v>45364.166666666664</v>
      </c>
      <c r="K198" s="2">
        <v>45345.686041805558</v>
      </c>
      <c r="L198" s="2">
        <v>45082.760891203703</v>
      </c>
      <c r="M198" t="s">
        <v>1971</v>
      </c>
      <c r="N198" t="s">
        <v>1970</v>
      </c>
      <c r="O198" s="2">
        <v>45099.861984953706</v>
      </c>
      <c r="P198" s="2">
        <v>45303.647439189815</v>
      </c>
      <c r="Q198" s="7">
        <f t="shared" si="3"/>
        <v>147</v>
      </c>
    </row>
    <row r="199" spans="1:17" x14ac:dyDescent="0.35">
      <c r="A199" t="s">
        <v>507</v>
      </c>
      <c r="B199" t="s">
        <v>23</v>
      </c>
      <c r="C199" t="s">
        <v>44</v>
      </c>
      <c r="D199" t="s">
        <v>76</v>
      </c>
      <c r="E199" t="s">
        <v>38</v>
      </c>
      <c r="F199" t="s">
        <v>30</v>
      </c>
      <c r="G199" t="s">
        <v>28</v>
      </c>
      <c r="H199">
        <v>7</v>
      </c>
      <c r="J199" s="2">
        <v>45364.166666666664</v>
      </c>
      <c r="K199" s="2">
        <v>45345.686041805558</v>
      </c>
      <c r="L199" s="2">
        <v>45082.760891203703</v>
      </c>
      <c r="M199" t="s">
        <v>1971</v>
      </c>
      <c r="N199" t="s">
        <v>1970</v>
      </c>
      <c r="O199" s="2">
        <v>45307.626313078705</v>
      </c>
      <c r="P199" s="2">
        <v>45331.597249398146</v>
      </c>
      <c r="Q199" s="7">
        <f t="shared" si="3"/>
        <v>19</v>
      </c>
    </row>
    <row r="200" spans="1:17" x14ac:dyDescent="0.35">
      <c r="A200" t="s">
        <v>1516</v>
      </c>
      <c r="B200" t="s">
        <v>23</v>
      </c>
      <c r="C200" t="s">
        <v>44</v>
      </c>
      <c r="D200" t="s">
        <v>76</v>
      </c>
      <c r="E200" t="s">
        <v>48</v>
      </c>
      <c r="F200" t="s">
        <v>30</v>
      </c>
      <c r="G200" t="s">
        <v>1441</v>
      </c>
      <c r="H200">
        <v>5</v>
      </c>
      <c r="J200" s="2">
        <v>45190.166666666664</v>
      </c>
      <c r="K200" s="2">
        <v>45300.692962928239</v>
      </c>
      <c r="L200" s="2">
        <v>45083.677754629629</v>
      </c>
      <c r="M200" t="s">
        <v>1971</v>
      </c>
      <c r="N200" t="s">
        <v>1970</v>
      </c>
      <c r="O200" s="2">
        <v>45106.666858923614</v>
      </c>
      <c r="P200" s="2">
        <v>45142.688669768519</v>
      </c>
      <c r="Q200" s="7">
        <f t="shared" si="3"/>
        <v>36.021810844904394</v>
      </c>
    </row>
    <row r="201" spans="1:17" x14ac:dyDescent="0.35">
      <c r="A201" t="s">
        <v>1058</v>
      </c>
      <c r="B201" t="s">
        <v>23</v>
      </c>
      <c r="C201" t="s">
        <v>44</v>
      </c>
      <c r="D201" t="s">
        <v>135</v>
      </c>
      <c r="E201" t="s">
        <v>32</v>
      </c>
      <c r="F201" t="s">
        <v>30</v>
      </c>
      <c r="G201" t="s">
        <v>28</v>
      </c>
      <c r="J201" s="2">
        <v>45156.166666666664</v>
      </c>
      <c r="K201" s="2">
        <v>45493.113768229166</v>
      </c>
      <c r="L201" s="2">
        <v>45085.766331018516</v>
      </c>
      <c r="M201" t="s">
        <v>1971</v>
      </c>
      <c r="N201" t="s">
        <v>1976</v>
      </c>
      <c r="O201" s="2">
        <v>45124.548697673614</v>
      </c>
      <c r="P201" s="2">
        <v>45126.651569814814</v>
      </c>
      <c r="Q201" s="7">
        <f t="shared" si="3"/>
        <v>3</v>
      </c>
    </row>
    <row r="202" spans="1:17" x14ac:dyDescent="0.35">
      <c r="A202" t="s">
        <v>1058</v>
      </c>
      <c r="B202" t="s">
        <v>23</v>
      </c>
      <c r="C202" t="s">
        <v>44</v>
      </c>
      <c r="D202" t="s">
        <v>135</v>
      </c>
      <c r="E202" t="s">
        <v>32</v>
      </c>
      <c r="F202" t="s">
        <v>30</v>
      </c>
      <c r="G202" t="s">
        <v>28</v>
      </c>
      <c r="J202" s="2">
        <v>45156.166666666664</v>
      </c>
      <c r="K202" s="2">
        <v>45493.113768229166</v>
      </c>
      <c r="L202" s="2">
        <v>45085.766331018516</v>
      </c>
      <c r="M202" t="s">
        <v>1980</v>
      </c>
      <c r="N202" t="s">
        <v>1970</v>
      </c>
      <c r="O202" s="2">
        <v>45131.502435949071</v>
      </c>
      <c r="P202" s="2">
        <v>45274.605379918983</v>
      </c>
      <c r="Q202" s="7">
        <f t="shared" si="3"/>
        <v>104</v>
      </c>
    </row>
    <row r="203" spans="1:17" x14ac:dyDescent="0.35">
      <c r="A203" t="s">
        <v>1058</v>
      </c>
      <c r="B203" t="s">
        <v>23</v>
      </c>
      <c r="C203" t="s">
        <v>44</v>
      </c>
      <c r="D203" t="s">
        <v>135</v>
      </c>
      <c r="E203" t="s">
        <v>32</v>
      </c>
      <c r="F203" t="s">
        <v>30</v>
      </c>
      <c r="G203" t="s">
        <v>28</v>
      </c>
      <c r="J203" s="2">
        <v>45156.166666666664</v>
      </c>
      <c r="K203" s="2">
        <v>45493.113768229166</v>
      </c>
      <c r="L203" s="2">
        <v>45085.766331018516</v>
      </c>
      <c r="M203" t="s">
        <v>1971</v>
      </c>
      <c r="N203" t="s">
        <v>1976</v>
      </c>
      <c r="O203" s="2">
        <v>45132.796075601851</v>
      </c>
      <c r="P203" s="2">
        <v>45260.642853379628</v>
      </c>
      <c r="Q203" s="7">
        <f t="shared" si="3"/>
        <v>93</v>
      </c>
    </row>
    <row r="204" spans="1:17" x14ac:dyDescent="0.35">
      <c r="A204" t="s">
        <v>1445</v>
      </c>
      <c r="B204" t="s">
        <v>23</v>
      </c>
      <c r="C204" t="s">
        <v>44</v>
      </c>
      <c r="D204" t="s">
        <v>76</v>
      </c>
      <c r="E204" t="s">
        <v>48</v>
      </c>
      <c r="F204" t="s">
        <v>30</v>
      </c>
      <c r="G204" t="s">
        <v>1441</v>
      </c>
      <c r="H204">
        <v>1</v>
      </c>
      <c r="J204" s="2">
        <v>45351.208333333336</v>
      </c>
      <c r="K204" s="2">
        <v>45385.860500937502</v>
      </c>
      <c r="L204" s="2">
        <v>45132.540706018517</v>
      </c>
      <c r="M204" t="s">
        <v>1971</v>
      </c>
      <c r="N204" t="s">
        <v>1993</v>
      </c>
      <c r="O204" s="2">
        <v>45132.634311574075</v>
      </c>
      <c r="P204" s="2">
        <v>45229.625635810182</v>
      </c>
      <c r="Q204" s="7">
        <f t="shared" si="3"/>
        <v>96.991324236107175</v>
      </c>
    </row>
    <row r="205" spans="1:17" x14ac:dyDescent="0.35">
      <c r="A205" t="s">
        <v>1501</v>
      </c>
      <c r="B205" t="s">
        <v>23</v>
      </c>
      <c r="C205" t="s">
        <v>44</v>
      </c>
      <c r="D205" t="s">
        <v>76</v>
      </c>
      <c r="E205" t="s">
        <v>48</v>
      </c>
      <c r="F205" t="s">
        <v>30</v>
      </c>
      <c r="G205" t="s">
        <v>1441</v>
      </c>
      <c r="H205">
        <v>4</v>
      </c>
      <c r="J205" s="2">
        <v>45246.208333333336</v>
      </c>
      <c r="K205" s="2">
        <v>45295.874918379632</v>
      </c>
      <c r="L205" s="2">
        <v>45140.502118055556</v>
      </c>
      <c r="M205" t="s">
        <v>1971</v>
      </c>
      <c r="N205" t="s">
        <v>1970</v>
      </c>
      <c r="O205" s="2">
        <v>45148.865669513892</v>
      </c>
      <c r="P205" s="2">
        <v>45175.56336738426</v>
      </c>
      <c r="Q205" s="7">
        <f t="shared" si="3"/>
        <v>26.697697870367847</v>
      </c>
    </row>
    <row r="206" spans="1:17" x14ac:dyDescent="0.35">
      <c r="A206" t="s">
        <v>475</v>
      </c>
      <c r="B206" t="s">
        <v>23</v>
      </c>
      <c r="C206" t="s">
        <v>44</v>
      </c>
      <c r="D206" t="s">
        <v>113</v>
      </c>
      <c r="E206" t="s">
        <v>38</v>
      </c>
      <c r="F206" t="s">
        <v>30</v>
      </c>
      <c r="G206" t="s">
        <v>28</v>
      </c>
      <c r="H206">
        <v>6</v>
      </c>
      <c r="J206" s="2">
        <v>45243.208333333336</v>
      </c>
      <c r="K206" s="2">
        <v>45383.580846608798</v>
      </c>
      <c r="L206" s="2">
        <v>45140.588240740741</v>
      </c>
      <c r="M206" t="s">
        <v>1980</v>
      </c>
      <c r="N206" t="s">
        <v>1970</v>
      </c>
      <c r="O206" s="2">
        <v>45184.65640644676</v>
      </c>
      <c r="P206" s="2">
        <v>45212.029342731483</v>
      </c>
      <c r="Q206" s="7">
        <f t="shared" si="3"/>
        <v>21</v>
      </c>
    </row>
    <row r="207" spans="1:17" x14ac:dyDescent="0.35">
      <c r="A207" t="s">
        <v>475</v>
      </c>
      <c r="B207" t="s">
        <v>23</v>
      </c>
      <c r="C207" t="s">
        <v>44</v>
      </c>
      <c r="D207" t="s">
        <v>113</v>
      </c>
      <c r="E207" t="s">
        <v>38</v>
      </c>
      <c r="F207" t="s">
        <v>30</v>
      </c>
      <c r="G207" t="s">
        <v>28</v>
      </c>
      <c r="H207">
        <v>6</v>
      </c>
      <c r="J207" s="2">
        <v>45243.208333333336</v>
      </c>
      <c r="K207" s="2">
        <v>45383.580846608798</v>
      </c>
      <c r="L207" s="2">
        <v>45140.588240740741</v>
      </c>
      <c r="M207" t="s">
        <v>1973</v>
      </c>
      <c r="N207" t="s">
        <v>1970</v>
      </c>
      <c r="O207" s="2">
        <v>45212.690605949072</v>
      </c>
      <c r="P207" s="2">
        <v>45224.132135196756</v>
      </c>
      <c r="Q207" s="7">
        <f t="shared" si="3"/>
        <v>9</v>
      </c>
    </row>
    <row r="208" spans="1:17" x14ac:dyDescent="0.35">
      <c r="A208" t="s">
        <v>475</v>
      </c>
      <c r="B208" t="s">
        <v>23</v>
      </c>
      <c r="C208" t="s">
        <v>44</v>
      </c>
      <c r="D208" t="s">
        <v>113</v>
      </c>
      <c r="E208" t="s">
        <v>38</v>
      </c>
      <c r="F208" t="s">
        <v>30</v>
      </c>
      <c r="G208" t="s">
        <v>28</v>
      </c>
      <c r="H208">
        <v>6</v>
      </c>
      <c r="J208" s="2">
        <v>45243.208333333336</v>
      </c>
      <c r="K208" s="2">
        <v>45383.580846608798</v>
      </c>
      <c r="L208" s="2">
        <v>45140.588240740741</v>
      </c>
      <c r="M208" t="s">
        <v>1971</v>
      </c>
      <c r="N208" t="s">
        <v>1970</v>
      </c>
      <c r="O208" s="2">
        <v>45237.683687870369</v>
      </c>
      <c r="P208" s="2">
        <v>45257.599003657408</v>
      </c>
      <c r="Q208" s="7">
        <f t="shared" si="3"/>
        <v>15</v>
      </c>
    </row>
    <row r="209" spans="1:17" x14ac:dyDescent="0.35">
      <c r="A209" t="s">
        <v>475</v>
      </c>
      <c r="B209" t="s">
        <v>23</v>
      </c>
      <c r="C209" t="s">
        <v>44</v>
      </c>
      <c r="D209" t="s">
        <v>113</v>
      </c>
      <c r="E209" t="s">
        <v>38</v>
      </c>
      <c r="F209" t="s">
        <v>30</v>
      </c>
      <c r="G209" t="s">
        <v>28</v>
      </c>
      <c r="H209">
        <v>6</v>
      </c>
      <c r="J209" s="2">
        <v>45243.208333333336</v>
      </c>
      <c r="K209" s="2">
        <v>45383.580846608798</v>
      </c>
      <c r="L209" s="2">
        <v>45140.588240740741</v>
      </c>
      <c r="M209" t="s">
        <v>1973</v>
      </c>
      <c r="N209" t="s">
        <v>1970</v>
      </c>
      <c r="O209" s="2">
        <v>45238.133676053243</v>
      </c>
      <c r="P209" s="2">
        <v>45257.602133113425</v>
      </c>
      <c r="Q209" s="7">
        <f t="shared" si="3"/>
        <v>14</v>
      </c>
    </row>
    <row r="210" spans="1:17" x14ac:dyDescent="0.35">
      <c r="A210" t="s">
        <v>475</v>
      </c>
      <c r="B210" t="s">
        <v>23</v>
      </c>
      <c r="C210" t="s">
        <v>44</v>
      </c>
      <c r="D210" t="s">
        <v>113</v>
      </c>
      <c r="E210" t="s">
        <v>38</v>
      </c>
      <c r="F210" t="s">
        <v>30</v>
      </c>
      <c r="G210" t="s">
        <v>28</v>
      </c>
      <c r="H210">
        <v>6</v>
      </c>
      <c r="J210" s="2">
        <v>45243.208333333336</v>
      </c>
      <c r="K210" s="2">
        <v>45383.580846608798</v>
      </c>
      <c r="L210" s="2">
        <v>45140.588240740741</v>
      </c>
      <c r="M210" t="s">
        <v>1973</v>
      </c>
      <c r="N210" t="s">
        <v>1970</v>
      </c>
      <c r="O210" s="2">
        <v>45257.965337847221</v>
      </c>
      <c r="P210" s="2">
        <v>45267.995506712963</v>
      </c>
      <c r="Q210" s="7">
        <f t="shared" si="3"/>
        <v>9</v>
      </c>
    </row>
    <row r="211" spans="1:17" x14ac:dyDescent="0.35">
      <c r="A211" t="s">
        <v>1482</v>
      </c>
      <c r="B211" t="s">
        <v>23</v>
      </c>
      <c r="C211" t="s">
        <v>44</v>
      </c>
      <c r="D211" t="s">
        <v>135</v>
      </c>
      <c r="E211" t="s">
        <v>32</v>
      </c>
      <c r="F211" t="s">
        <v>30</v>
      </c>
      <c r="G211" t="s">
        <v>1441</v>
      </c>
      <c r="H211">
        <v>3</v>
      </c>
      <c r="J211" s="2">
        <v>45260.208333333336</v>
      </c>
      <c r="K211" s="2">
        <v>45434.673988437498</v>
      </c>
      <c r="L211" s="2">
        <v>45141.289050925923</v>
      </c>
      <c r="M211" t="s">
        <v>1969</v>
      </c>
      <c r="N211" t="s">
        <v>1970</v>
      </c>
      <c r="O211" s="2">
        <v>45155.72361641204</v>
      </c>
      <c r="P211" s="2">
        <v>45195.74933702546</v>
      </c>
      <c r="Q211" s="7">
        <f t="shared" si="3"/>
        <v>29</v>
      </c>
    </row>
    <row r="212" spans="1:17" x14ac:dyDescent="0.35">
      <c r="A212" t="s">
        <v>1482</v>
      </c>
      <c r="B212" t="s">
        <v>23</v>
      </c>
      <c r="C212" t="s">
        <v>44</v>
      </c>
      <c r="D212" t="s">
        <v>135</v>
      </c>
      <c r="E212" t="s">
        <v>32</v>
      </c>
      <c r="F212" t="s">
        <v>30</v>
      </c>
      <c r="G212" t="s">
        <v>1441</v>
      </c>
      <c r="H212">
        <v>3</v>
      </c>
      <c r="J212" s="2">
        <v>45260.208333333336</v>
      </c>
      <c r="K212" s="2">
        <v>45434.673988437498</v>
      </c>
      <c r="L212" s="2">
        <v>45141.289050925923</v>
      </c>
      <c r="M212" t="s">
        <v>1971</v>
      </c>
      <c r="N212" t="s">
        <v>1970</v>
      </c>
      <c r="O212" s="2">
        <v>45195.751070532409</v>
      </c>
      <c r="P212" s="2">
        <v>45210.578635775462</v>
      </c>
      <c r="Q212" s="7">
        <f t="shared" si="3"/>
        <v>12</v>
      </c>
    </row>
    <row r="213" spans="1:17" x14ac:dyDescent="0.35">
      <c r="A213" t="s">
        <v>1482</v>
      </c>
      <c r="B213" t="s">
        <v>23</v>
      </c>
      <c r="C213" t="s">
        <v>44</v>
      </c>
      <c r="D213" t="s">
        <v>135</v>
      </c>
      <c r="E213" t="s">
        <v>32</v>
      </c>
      <c r="F213" t="s">
        <v>30</v>
      </c>
      <c r="G213" t="s">
        <v>1441</v>
      </c>
      <c r="H213">
        <v>3</v>
      </c>
      <c r="J213" s="2">
        <v>45260.208333333336</v>
      </c>
      <c r="K213" s="2">
        <v>45434.673988437498</v>
      </c>
      <c r="L213" s="2">
        <v>45141.289050925923</v>
      </c>
      <c r="M213" t="s">
        <v>1988</v>
      </c>
      <c r="N213" t="s">
        <v>1970</v>
      </c>
      <c r="O213" s="2">
        <v>45322.755743993053</v>
      </c>
      <c r="P213" s="2">
        <v>45338.605845069447</v>
      </c>
      <c r="Q213" s="7">
        <f t="shared" si="3"/>
        <v>13</v>
      </c>
    </row>
    <row r="214" spans="1:17" x14ac:dyDescent="0.35">
      <c r="A214" t="s">
        <v>878</v>
      </c>
      <c r="B214" t="s">
        <v>23</v>
      </c>
      <c r="C214" t="s">
        <v>44</v>
      </c>
      <c r="D214" t="s">
        <v>113</v>
      </c>
      <c r="E214" t="s">
        <v>32</v>
      </c>
      <c r="F214" t="s">
        <v>30</v>
      </c>
      <c r="G214" t="s">
        <v>28</v>
      </c>
      <c r="H214">
        <v>18</v>
      </c>
      <c r="J214" s="2">
        <v>45257.208333333336</v>
      </c>
      <c r="K214" s="2">
        <v>45643.810161435184</v>
      </c>
      <c r="L214" s="2">
        <v>45141.626504629632</v>
      </c>
      <c r="M214" t="s">
        <v>1971</v>
      </c>
      <c r="N214" t="s">
        <v>1970</v>
      </c>
      <c r="O214" s="2">
        <v>45300.594465532406</v>
      </c>
      <c r="P214" s="2">
        <v>45348.6379633912</v>
      </c>
      <c r="Q214" s="7">
        <f t="shared" si="3"/>
        <v>35</v>
      </c>
    </row>
    <row r="215" spans="1:17" x14ac:dyDescent="0.35">
      <c r="A215" t="s">
        <v>878</v>
      </c>
      <c r="B215" t="s">
        <v>23</v>
      </c>
      <c r="C215" t="s">
        <v>44</v>
      </c>
      <c r="D215" t="s">
        <v>113</v>
      </c>
      <c r="E215" t="s">
        <v>32</v>
      </c>
      <c r="F215" t="s">
        <v>30</v>
      </c>
      <c r="G215" t="s">
        <v>28</v>
      </c>
      <c r="H215">
        <v>18</v>
      </c>
      <c r="J215" s="2">
        <v>45257.208333333336</v>
      </c>
      <c r="K215" s="2">
        <v>45643.810161435184</v>
      </c>
      <c r="L215" s="2">
        <v>45141.626504629632</v>
      </c>
      <c r="M215" t="s">
        <v>1980</v>
      </c>
      <c r="N215" t="s">
        <v>1970</v>
      </c>
      <c r="O215" s="2">
        <v>45300.838481608793</v>
      </c>
      <c r="P215" s="2">
        <v>45488.678044398148</v>
      </c>
      <c r="Q215" s="7">
        <f t="shared" si="3"/>
        <v>135</v>
      </c>
    </row>
    <row r="216" spans="1:17" x14ac:dyDescent="0.35">
      <c r="A216" t="s">
        <v>1060</v>
      </c>
      <c r="B216" t="s">
        <v>23</v>
      </c>
      <c r="C216" t="s">
        <v>44</v>
      </c>
      <c r="D216" t="s">
        <v>135</v>
      </c>
      <c r="E216" t="s">
        <v>32</v>
      </c>
      <c r="F216" t="s">
        <v>30</v>
      </c>
      <c r="G216" t="s">
        <v>28</v>
      </c>
      <c r="I216" t="s">
        <v>33</v>
      </c>
      <c r="J216" s="2">
        <v>45716.208333333336</v>
      </c>
      <c r="K216" s="2">
        <v>45713.551893101852</v>
      </c>
      <c r="L216" s="2">
        <v>45142.510844907411</v>
      </c>
      <c r="M216" t="s">
        <v>1969</v>
      </c>
      <c r="N216" t="s">
        <v>1970</v>
      </c>
      <c r="O216" s="2">
        <v>45161.833110381944</v>
      </c>
      <c r="P216" s="2">
        <v>45163.613283449071</v>
      </c>
      <c r="Q216" s="7">
        <f t="shared" si="3"/>
        <v>3</v>
      </c>
    </row>
    <row r="217" spans="1:17" x14ac:dyDescent="0.35">
      <c r="A217" t="s">
        <v>1591</v>
      </c>
      <c r="B217" t="s">
        <v>23</v>
      </c>
      <c r="C217" t="s">
        <v>44</v>
      </c>
      <c r="D217" t="s">
        <v>135</v>
      </c>
      <c r="E217" t="s">
        <v>32</v>
      </c>
      <c r="F217" t="s">
        <v>30</v>
      </c>
      <c r="G217" t="s">
        <v>1441</v>
      </c>
      <c r="J217" s="2">
        <v>45310.208333333336</v>
      </c>
      <c r="K217" s="2">
        <v>45407.12986990741</v>
      </c>
      <c r="L217" s="2">
        <v>45145.561331018522</v>
      </c>
      <c r="M217" t="s">
        <v>1980</v>
      </c>
      <c r="N217" t="s">
        <v>1970</v>
      </c>
      <c r="O217" s="2">
        <v>45273.686522731485</v>
      </c>
      <c r="P217" s="2">
        <v>45308.89652707176</v>
      </c>
      <c r="Q217" s="7">
        <f t="shared" si="3"/>
        <v>26</v>
      </c>
    </row>
    <row r="218" spans="1:17" x14ac:dyDescent="0.35">
      <c r="A218" t="s">
        <v>1591</v>
      </c>
      <c r="B218" t="s">
        <v>23</v>
      </c>
      <c r="C218" t="s">
        <v>44</v>
      </c>
      <c r="D218" t="s">
        <v>135</v>
      </c>
      <c r="E218" t="s">
        <v>32</v>
      </c>
      <c r="F218" t="s">
        <v>30</v>
      </c>
      <c r="G218" t="s">
        <v>1441</v>
      </c>
      <c r="J218" s="2">
        <v>45310.208333333336</v>
      </c>
      <c r="K218" s="2">
        <v>45407.12986990741</v>
      </c>
      <c r="L218" s="2">
        <v>45145.561331018522</v>
      </c>
      <c r="M218" t="s">
        <v>1971</v>
      </c>
      <c r="N218" t="s">
        <v>1970</v>
      </c>
      <c r="O218" s="2">
        <v>45296.619951875</v>
      </c>
      <c r="P218" s="2">
        <v>45309.112376620367</v>
      </c>
      <c r="Q218" s="7">
        <f t="shared" si="3"/>
        <v>10</v>
      </c>
    </row>
    <row r="219" spans="1:17" x14ac:dyDescent="0.35">
      <c r="A219" t="s">
        <v>1231</v>
      </c>
      <c r="B219" t="s">
        <v>23</v>
      </c>
      <c r="C219" t="s">
        <v>44</v>
      </c>
      <c r="D219" t="s">
        <v>135</v>
      </c>
      <c r="E219" t="s">
        <v>32</v>
      </c>
      <c r="F219" t="s">
        <v>30</v>
      </c>
      <c r="G219" t="s">
        <v>28</v>
      </c>
      <c r="I219" t="s">
        <v>33</v>
      </c>
      <c r="J219" s="2">
        <v>45618.208333333336</v>
      </c>
      <c r="K219" s="2">
        <v>45636.717321331016</v>
      </c>
      <c r="L219" s="2">
        <v>45147.393229166664</v>
      </c>
      <c r="M219" t="s">
        <v>1969</v>
      </c>
      <c r="N219" t="s">
        <v>1970</v>
      </c>
      <c r="O219" s="2">
        <v>45331.662113587961</v>
      </c>
      <c r="P219" s="2">
        <v>45358.846410902777</v>
      </c>
      <c r="Q219" s="7">
        <f t="shared" si="3"/>
        <v>20</v>
      </c>
    </row>
    <row r="220" spans="1:17" x14ac:dyDescent="0.35">
      <c r="A220" t="s">
        <v>1231</v>
      </c>
      <c r="B220" t="s">
        <v>23</v>
      </c>
      <c r="C220" t="s">
        <v>44</v>
      </c>
      <c r="D220" t="s">
        <v>135</v>
      </c>
      <c r="E220" t="s">
        <v>32</v>
      </c>
      <c r="F220" t="s">
        <v>30</v>
      </c>
      <c r="G220" t="s">
        <v>28</v>
      </c>
      <c r="I220" t="s">
        <v>33</v>
      </c>
      <c r="J220" s="2">
        <v>45618.208333333336</v>
      </c>
      <c r="K220" s="2">
        <v>45636.717321331016</v>
      </c>
      <c r="L220" s="2">
        <v>45147.393229166664</v>
      </c>
      <c r="M220" t="s">
        <v>1977</v>
      </c>
      <c r="N220" t="s">
        <v>1970</v>
      </c>
      <c r="O220" s="2">
        <v>45386.731696793984</v>
      </c>
      <c r="P220" s="2">
        <v>45513.806198252314</v>
      </c>
      <c r="Q220" s="7">
        <f t="shared" si="3"/>
        <v>92</v>
      </c>
    </row>
    <row r="221" spans="1:17" x14ac:dyDescent="0.35">
      <c r="A221" t="s">
        <v>525</v>
      </c>
      <c r="B221" t="s">
        <v>23</v>
      </c>
      <c r="C221" t="s">
        <v>44</v>
      </c>
      <c r="D221" t="s">
        <v>113</v>
      </c>
      <c r="E221" t="s">
        <v>38</v>
      </c>
      <c r="F221" t="s">
        <v>30</v>
      </c>
      <c r="G221" t="s">
        <v>28</v>
      </c>
      <c r="H221">
        <v>8</v>
      </c>
      <c r="J221" s="2">
        <v>45363.166666666664</v>
      </c>
      <c r="K221" s="2">
        <v>45401.66064991898</v>
      </c>
      <c r="L221" s="2">
        <v>45147.893923611111</v>
      </c>
      <c r="M221" t="s">
        <v>1969</v>
      </c>
      <c r="N221" t="s">
        <v>1970</v>
      </c>
      <c r="O221" s="2">
        <v>45159.707298229165</v>
      </c>
      <c r="P221" s="2">
        <v>45194.66061392361</v>
      </c>
      <c r="Q221" s="7">
        <f t="shared" si="3"/>
        <v>26</v>
      </c>
    </row>
    <row r="222" spans="1:17" x14ac:dyDescent="0.35">
      <c r="A222" t="s">
        <v>525</v>
      </c>
      <c r="B222" t="s">
        <v>23</v>
      </c>
      <c r="C222" t="s">
        <v>44</v>
      </c>
      <c r="D222" t="s">
        <v>113</v>
      </c>
      <c r="E222" t="s">
        <v>38</v>
      </c>
      <c r="F222" t="s">
        <v>30</v>
      </c>
      <c r="G222" t="s">
        <v>28</v>
      </c>
      <c r="H222">
        <v>8</v>
      </c>
      <c r="J222" s="2">
        <v>45363.166666666664</v>
      </c>
      <c r="K222" s="2">
        <v>45401.66064991898</v>
      </c>
      <c r="L222" s="2">
        <v>45147.893923611111</v>
      </c>
      <c r="M222" t="s">
        <v>1969</v>
      </c>
      <c r="N222" t="s">
        <v>1970</v>
      </c>
      <c r="O222" s="2">
        <v>45202.608929027774</v>
      </c>
      <c r="P222" s="2">
        <v>45257.598695856483</v>
      </c>
      <c r="Q222" s="7">
        <f t="shared" si="3"/>
        <v>40</v>
      </c>
    </row>
    <row r="223" spans="1:17" x14ac:dyDescent="0.35">
      <c r="A223" t="s">
        <v>525</v>
      </c>
      <c r="B223" t="s">
        <v>23</v>
      </c>
      <c r="C223" t="s">
        <v>44</v>
      </c>
      <c r="D223" t="s">
        <v>113</v>
      </c>
      <c r="E223" t="s">
        <v>38</v>
      </c>
      <c r="F223" t="s">
        <v>30</v>
      </c>
      <c r="G223" t="s">
        <v>28</v>
      </c>
      <c r="H223">
        <v>8</v>
      </c>
      <c r="J223" s="2">
        <v>45363.166666666664</v>
      </c>
      <c r="K223" s="2">
        <v>45401.66064991898</v>
      </c>
      <c r="L223" s="2">
        <v>45147.893923611111</v>
      </c>
      <c r="M223" t="s">
        <v>1971</v>
      </c>
      <c r="N223" t="s">
        <v>1970</v>
      </c>
      <c r="O223" s="2">
        <v>45265.594513391203</v>
      </c>
      <c r="P223" s="2">
        <v>45282.748960324076</v>
      </c>
      <c r="Q223" s="7">
        <f t="shared" si="3"/>
        <v>14</v>
      </c>
    </row>
    <row r="224" spans="1:17" x14ac:dyDescent="0.35">
      <c r="A224" t="s">
        <v>420</v>
      </c>
      <c r="B224" t="s">
        <v>23</v>
      </c>
      <c r="C224" t="s">
        <v>44</v>
      </c>
      <c r="D224" t="s">
        <v>113</v>
      </c>
      <c r="E224" t="s">
        <v>38</v>
      </c>
      <c r="F224" t="s">
        <v>30</v>
      </c>
      <c r="G224" t="s">
        <v>28</v>
      </c>
      <c r="H224">
        <v>5</v>
      </c>
      <c r="J224" s="2">
        <v>45275.208333333336</v>
      </c>
      <c r="K224" s="2">
        <v>45295.562234155092</v>
      </c>
      <c r="L224" s="2">
        <v>45156.806215277778</v>
      </c>
      <c r="M224" t="s">
        <v>1972</v>
      </c>
      <c r="N224" t="s">
        <v>1970</v>
      </c>
      <c r="O224" s="2">
        <v>45183.764252407411</v>
      </c>
      <c r="P224" s="2">
        <v>45197.80090091435</v>
      </c>
      <c r="Q224" s="7">
        <f t="shared" si="3"/>
        <v>11</v>
      </c>
    </row>
    <row r="225" spans="1:17" x14ac:dyDescent="0.35">
      <c r="A225" t="s">
        <v>420</v>
      </c>
      <c r="B225" t="s">
        <v>23</v>
      </c>
      <c r="C225" t="s">
        <v>44</v>
      </c>
      <c r="D225" t="s">
        <v>113</v>
      </c>
      <c r="E225" t="s">
        <v>38</v>
      </c>
      <c r="F225" t="s">
        <v>30</v>
      </c>
      <c r="G225" t="s">
        <v>28</v>
      </c>
      <c r="H225">
        <v>5</v>
      </c>
      <c r="J225" s="2">
        <v>45275.208333333336</v>
      </c>
      <c r="K225" s="2">
        <v>45295.562234155092</v>
      </c>
      <c r="L225" s="2">
        <v>45156.806215277778</v>
      </c>
      <c r="M225" t="s">
        <v>1980</v>
      </c>
      <c r="N225" t="s">
        <v>1970</v>
      </c>
      <c r="O225" s="2">
        <v>45251.747721643522</v>
      </c>
      <c r="P225" s="2">
        <v>45257.586223124999</v>
      </c>
      <c r="Q225" s="7">
        <f t="shared" si="3"/>
        <v>5</v>
      </c>
    </row>
    <row r="226" spans="1:17" x14ac:dyDescent="0.35">
      <c r="A226" t="s">
        <v>1518</v>
      </c>
      <c r="B226" t="s">
        <v>23</v>
      </c>
      <c r="C226" t="s">
        <v>44</v>
      </c>
      <c r="D226" t="s">
        <v>54</v>
      </c>
      <c r="E226" t="s">
        <v>38</v>
      </c>
      <c r="F226" t="s">
        <v>30</v>
      </c>
      <c r="G226" t="s">
        <v>1441</v>
      </c>
      <c r="H226">
        <v>5</v>
      </c>
      <c r="J226" s="2">
        <v>45352.208333333336</v>
      </c>
      <c r="K226" s="2">
        <v>45345.203378749997</v>
      </c>
      <c r="L226" s="2">
        <v>45161.269675925927</v>
      </c>
      <c r="M226" t="s">
        <v>1969</v>
      </c>
      <c r="N226" t="s">
        <v>1970</v>
      </c>
      <c r="O226" s="2">
        <v>45165.026110185187</v>
      </c>
      <c r="P226" s="2">
        <v>45177.033156689817</v>
      </c>
      <c r="Q226" s="7">
        <f t="shared" si="3"/>
        <v>10</v>
      </c>
    </row>
    <row r="227" spans="1:17" x14ac:dyDescent="0.35">
      <c r="A227" t="s">
        <v>1558</v>
      </c>
      <c r="B227" t="s">
        <v>23</v>
      </c>
      <c r="C227" t="s">
        <v>44</v>
      </c>
      <c r="D227" t="s">
        <v>54</v>
      </c>
      <c r="E227" t="s">
        <v>38</v>
      </c>
      <c r="F227" t="s">
        <v>30</v>
      </c>
      <c r="G227" t="s">
        <v>1441</v>
      </c>
      <c r="H227">
        <v>9</v>
      </c>
      <c r="J227" s="2">
        <v>45475.166666666664</v>
      </c>
      <c r="K227" s="2">
        <v>45540.781029398146</v>
      </c>
      <c r="L227" s="2">
        <v>45175.604166666664</v>
      </c>
      <c r="M227" t="s">
        <v>1969</v>
      </c>
      <c r="N227" t="s">
        <v>1995</v>
      </c>
      <c r="O227" s="2">
        <v>45239.806982060189</v>
      </c>
      <c r="P227" s="2">
        <v>45280.438663067129</v>
      </c>
      <c r="Q227" s="7">
        <f t="shared" si="3"/>
        <v>30</v>
      </c>
    </row>
    <row r="228" spans="1:17" x14ac:dyDescent="0.35">
      <c r="A228" t="s">
        <v>1558</v>
      </c>
      <c r="B228" t="s">
        <v>23</v>
      </c>
      <c r="C228" t="s">
        <v>44</v>
      </c>
      <c r="D228" t="s">
        <v>54</v>
      </c>
      <c r="E228" t="s">
        <v>38</v>
      </c>
      <c r="F228" t="s">
        <v>30</v>
      </c>
      <c r="G228" t="s">
        <v>1441</v>
      </c>
      <c r="H228">
        <v>9</v>
      </c>
      <c r="J228" s="2">
        <v>45475.166666666664</v>
      </c>
      <c r="K228" s="2">
        <v>45540.781029398146</v>
      </c>
      <c r="L228" s="2">
        <v>45175.604166666664</v>
      </c>
      <c r="M228" t="s">
        <v>1969</v>
      </c>
      <c r="N228" t="s">
        <v>1970</v>
      </c>
      <c r="O228" s="2">
        <v>45313.107571631946</v>
      </c>
      <c r="P228" s="2">
        <v>45369.096535856479</v>
      </c>
      <c r="Q228" s="7">
        <f t="shared" si="3"/>
        <v>41</v>
      </c>
    </row>
    <row r="229" spans="1:17" x14ac:dyDescent="0.35">
      <c r="A229" t="s">
        <v>1558</v>
      </c>
      <c r="B229" t="s">
        <v>23</v>
      </c>
      <c r="C229" t="s">
        <v>44</v>
      </c>
      <c r="D229" t="s">
        <v>54</v>
      </c>
      <c r="E229" t="s">
        <v>38</v>
      </c>
      <c r="F229" t="s">
        <v>30</v>
      </c>
      <c r="G229" t="s">
        <v>1441</v>
      </c>
      <c r="H229">
        <v>9</v>
      </c>
      <c r="J229" s="2">
        <v>45475.166666666664</v>
      </c>
      <c r="K229" s="2">
        <v>45540.781029398146</v>
      </c>
      <c r="L229" s="2">
        <v>45175.604166666664</v>
      </c>
      <c r="M229" t="s">
        <v>1980</v>
      </c>
      <c r="N229" t="s">
        <v>1970</v>
      </c>
      <c r="O229" s="2">
        <v>45331.789759155094</v>
      </c>
      <c r="P229" s="2">
        <v>45407.539264178238</v>
      </c>
      <c r="Q229" s="7">
        <f t="shared" si="3"/>
        <v>55</v>
      </c>
    </row>
    <row r="230" spans="1:17" x14ac:dyDescent="0.35">
      <c r="A230" t="s">
        <v>1558</v>
      </c>
      <c r="B230" t="s">
        <v>23</v>
      </c>
      <c r="C230" t="s">
        <v>44</v>
      </c>
      <c r="D230" t="s">
        <v>54</v>
      </c>
      <c r="E230" t="s">
        <v>38</v>
      </c>
      <c r="F230" t="s">
        <v>30</v>
      </c>
      <c r="G230" t="s">
        <v>1441</v>
      </c>
      <c r="H230">
        <v>9</v>
      </c>
      <c r="J230" s="2">
        <v>45475.166666666664</v>
      </c>
      <c r="K230" s="2">
        <v>45540.781029398146</v>
      </c>
      <c r="L230" s="2">
        <v>45175.604166666664</v>
      </c>
      <c r="M230" t="s">
        <v>1969</v>
      </c>
      <c r="N230" t="s">
        <v>1976</v>
      </c>
      <c r="O230" s="2">
        <v>45370.240347951389</v>
      </c>
      <c r="P230" s="2">
        <v>45407.538701759258</v>
      </c>
      <c r="Q230" s="7">
        <f t="shared" si="3"/>
        <v>28</v>
      </c>
    </row>
    <row r="231" spans="1:17" x14ac:dyDescent="0.35">
      <c r="A231" t="s">
        <v>1521</v>
      </c>
      <c r="B231" t="s">
        <v>23</v>
      </c>
      <c r="C231" t="s">
        <v>44</v>
      </c>
      <c r="D231" t="s">
        <v>130</v>
      </c>
      <c r="E231" t="s">
        <v>48</v>
      </c>
      <c r="F231" t="s">
        <v>30</v>
      </c>
      <c r="G231" t="s">
        <v>1441</v>
      </c>
      <c r="H231">
        <v>5</v>
      </c>
      <c r="J231" s="2">
        <v>45309.208333333336</v>
      </c>
      <c r="K231" s="2">
        <v>45441.688891851853</v>
      </c>
      <c r="L231" s="2">
        <v>45167.713680555556</v>
      </c>
      <c r="M231" t="s">
        <v>1969</v>
      </c>
      <c r="N231" t="s">
        <v>1970</v>
      </c>
      <c r="O231" s="2">
        <v>45169.811759618053</v>
      </c>
      <c r="P231" s="2">
        <v>45181.487259131944</v>
      </c>
      <c r="Q231" s="7">
        <f t="shared" si="3"/>
        <v>11.675499513890827</v>
      </c>
    </row>
    <row r="232" spans="1:17" x14ac:dyDescent="0.35">
      <c r="A232" t="s">
        <v>1521</v>
      </c>
      <c r="B232" t="s">
        <v>23</v>
      </c>
      <c r="C232" t="s">
        <v>44</v>
      </c>
      <c r="D232" t="s">
        <v>130</v>
      </c>
      <c r="E232" t="s">
        <v>48</v>
      </c>
      <c r="F232" t="s">
        <v>30</v>
      </c>
      <c r="G232" t="s">
        <v>1441</v>
      </c>
      <c r="H232">
        <v>5</v>
      </c>
      <c r="J232" s="2">
        <v>45309.208333333336</v>
      </c>
      <c r="K232" s="2">
        <v>45441.688891851853</v>
      </c>
      <c r="L232" s="2">
        <v>45167.713680555556</v>
      </c>
      <c r="M232" t="s">
        <v>1971</v>
      </c>
      <c r="N232" t="s">
        <v>1970</v>
      </c>
      <c r="O232" s="2">
        <v>45218.82826678241</v>
      </c>
      <c r="P232" s="2">
        <v>45243.609874155096</v>
      </c>
      <c r="Q232" s="7">
        <f t="shared" si="3"/>
        <v>24.781607372686267</v>
      </c>
    </row>
    <row r="233" spans="1:17" x14ac:dyDescent="0.35">
      <c r="A233" t="s">
        <v>1521</v>
      </c>
      <c r="B233" t="s">
        <v>23</v>
      </c>
      <c r="C233" t="s">
        <v>44</v>
      </c>
      <c r="D233" t="s">
        <v>130</v>
      </c>
      <c r="E233" t="s">
        <v>48</v>
      </c>
      <c r="F233" t="s">
        <v>30</v>
      </c>
      <c r="G233" t="s">
        <v>1441</v>
      </c>
      <c r="H233">
        <v>5</v>
      </c>
      <c r="J233" s="2">
        <v>45309.208333333336</v>
      </c>
      <c r="K233" s="2">
        <v>45441.688891851853</v>
      </c>
      <c r="L233" s="2">
        <v>45167.713680555556</v>
      </c>
      <c r="M233" t="s">
        <v>1971</v>
      </c>
      <c r="N233" t="s">
        <v>1970</v>
      </c>
      <c r="O233" s="2">
        <v>45247.675969675925</v>
      </c>
      <c r="P233" s="2">
        <v>45261.740487766205</v>
      </c>
      <c r="Q233" s="7">
        <f t="shared" si="3"/>
        <v>14.064518090279307</v>
      </c>
    </row>
    <row r="234" spans="1:17" x14ac:dyDescent="0.35">
      <c r="A234" t="s">
        <v>1503</v>
      </c>
      <c r="B234" t="s">
        <v>23</v>
      </c>
      <c r="C234" t="s">
        <v>44</v>
      </c>
      <c r="D234" t="s">
        <v>135</v>
      </c>
      <c r="E234" t="s">
        <v>32</v>
      </c>
      <c r="F234" t="s">
        <v>30</v>
      </c>
      <c r="G234" t="s">
        <v>1441</v>
      </c>
      <c r="H234">
        <v>4</v>
      </c>
      <c r="J234" s="2">
        <v>45268.208333333336</v>
      </c>
      <c r="K234" s="2">
        <v>45390.755308692133</v>
      </c>
      <c r="L234" s="2">
        <v>45167.720775462964</v>
      </c>
      <c r="M234" t="s">
        <v>1969</v>
      </c>
      <c r="N234" t="s">
        <v>1970</v>
      </c>
      <c r="O234" s="2">
        <v>45189.621408831015</v>
      </c>
      <c r="P234" s="2">
        <v>45191.746015416669</v>
      </c>
      <c r="Q234" s="7">
        <f t="shared" si="3"/>
        <v>3</v>
      </c>
    </row>
    <row r="235" spans="1:17" x14ac:dyDescent="0.35">
      <c r="A235" t="s">
        <v>527</v>
      </c>
      <c r="B235" t="s">
        <v>23</v>
      </c>
      <c r="C235" t="s">
        <v>44</v>
      </c>
      <c r="D235" t="s">
        <v>135</v>
      </c>
      <c r="E235" t="s">
        <v>32</v>
      </c>
      <c r="F235" t="s">
        <v>30</v>
      </c>
      <c r="G235" t="s">
        <v>28</v>
      </c>
      <c r="H235">
        <v>8</v>
      </c>
      <c r="J235" s="2">
        <v>45240.208333333336</v>
      </c>
      <c r="K235" s="2">
        <v>45503.072911921299</v>
      </c>
      <c r="L235" s="2">
        <v>45168.325138888889</v>
      </c>
      <c r="M235" t="s">
        <v>1971</v>
      </c>
      <c r="N235" t="s">
        <v>1970</v>
      </c>
      <c r="O235" s="2">
        <v>45181.626385289353</v>
      </c>
      <c r="P235" s="2">
        <v>45194.713354803243</v>
      </c>
      <c r="Q235" s="7">
        <f t="shared" si="3"/>
        <v>10</v>
      </c>
    </row>
    <row r="236" spans="1:17" x14ac:dyDescent="0.35">
      <c r="A236" t="s">
        <v>527</v>
      </c>
      <c r="B236" t="s">
        <v>23</v>
      </c>
      <c r="C236" t="s">
        <v>44</v>
      </c>
      <c r="D236" t="s">
        <v>135</v>
      </c>
      <c r="E236" t="s">
        <v>32</v>
      </c>
      <c r="F236" t="s">
        <v>30</v>
      </c>
      <c r="G236" t="s">
        <v>28</v>
      </c>
      <c r="H236">
        <v>8</v>
      </c>
      <c r="J236" s="2">
        <v>45240.208333333336</v>
      </c>
      <c r="K236" s="2">
        <v>45503.072911921299</v>
      </c>
      <c r="L236" s="2">
        <v>45168.325138888889</v>
      </c>
      <c r="M236" t="s">
        <v>1971</v>
      </c>
      <c r="N236" t="s">
        <v>1970</v>
      </c>
      <c r="O236" s="2">
        <v>45224.808676261571</v>
      </c>
      <c r="P236" s="2">
        <v>45232.587131608794</v>
      </c>
      <c r="Q236" s="7">
        <f t="shared" si="3"/>
        <v>7</v>
      </c>
    </row>
    <row r="237" spans="1:17" x14ac:dyDescent="0.35">
      <c r="A237" t="s">
        <v>379</v>
      </c>
      <c r="B237" t="s">
        <v>23</v>
      </c>
      <c r="C237" t="s">
        <v>44</v>
      </c>
      <c r="D237" t="s">
        <v>113</v>
      </c>
      <c r="E237" t="s">
        <v>38</v>
      </c>
      <c r="F237" t="s">
        <v>30</v>
      </c>
      <c r="G237" t="s">
        <v>28</v>
      </c>
      <c r="H237">
        <v>4</v>
      </c>
      <c r="J237" s="2">
        <v>45317.208333333336</v>
      </c>
      <c r="K237" s="2">
        <v>45352.44846939815</v>
      </c>
      <c r="L237" s="2">
        <v>45175.839953703704</v>
      </c>
      <c r="M237" t="s">
        <v>1969</v>
      </c>
      <c r="N237" t="s">
        <v>1970</v>
      </c>
      <c r="O237" s="2">
        <v>45189.66662196759</v>
      </c>
      <c r="P237" s="2">
        <v>45208.640099814816</v>
      </c>
      <c r="Q237" s="7">
        <f t="shared" si="3"/>
        <v>14</v>
      </c>
    </row>
    <row r="238" spans="1:17" x14ac:dyDescent="0.35">
      <c r="A238" t="s">
        <v>314</v>
      </c>
      <c r="B238" t="s">
        <v>23</v>
      </c>
      <c r="C238" t="s">
        <v>44</v>
      </c>
      <c r="D238" t="s">
        <v>54</v>
      </c>
      <c r="E238" t="s">
        <v>38</v>
      </c>
      <c r="F238" t="s">
        <v>30</v>
      </c>
      <c r="G238" t="s">
        <v>28</v>
      </c>
      <c r="H238">
        <v>2</v>
      </c>
      <c r="J238" s="2">
        <v>45240.208333333336</v>
      </c>
      <c r="K238" s="2">
        <v>45331.881713194445</v>
      </c>
      <c r="L238" s="2">
        <v>45173.367071759261</v>
      </c>
      <c r="M238" t="s">
        <v>1969</v>
      </c>
      <c r="N238" t="s">
        <v>1970</v>
      </c>
      <c r="O238" s="2">
        <v>45183.067683541667</v>
      </c>
      <c r="P238" s="2">
        <v>45217.545743553237</v>
      </c>
      <c r="Q238" s="7">
        <f t="shared" si="3"/>
        <v>25</v>
      </c>
    </row>
    <row r="239" spans="1:17" x14ac:dyDescent="0.35">
      <c r="A239" t="s">
        <v>1062</v>
      </c>
      <c r="B239" t="s">
        <v>23</v>
      </c>
      <c r="C239" t="s">
        <v>44</v>
      </c>
      <c r="D239" t="s">
        <v>135</v>
      </c>
      <c r="E239" t="s">
        <v>32</v>
      </c>
      <c r="F239" t="s">
        <v>30</v>
      </c>
      <c r="G239" t="s">
        <v>28</v>
      </c>
      <c r="J239" s="2">
        <v>45260.208333333336</v>
      </c>
      <c r="K239" s="2">
        <v>45407.121819548614</v>
      </c>
      <c r="L239" s="2">
        <v>45173.54488425926</v>
      </c>
      <c r="M239" t="s">
        <v>1969</v>
      </c>
      <c r="N239" t="s">
        <v>1970</v>
      </c>
      <c r="O239" s="2">
        <v>45182.704413310188</v>
      </c>
      <c r="P239" s="2">
        <v>45183.671698229169</v>
      </c>
      <c r="Q239" s="7">
        <f t="shared" si="3"/>
        <v>2</v>
      </c>
    </row>
    <row r="240" spans="1:17" x14ac:dyDescent="0.35">
      <c r="A240" t="s">
        <v>1062</v>
      </c>
      <c r="B240" t="s">
        <v>23</v>
      </c>
      <c r="C240" t="s">
        <v>44</v>
      </c>
      <c r="D240" t="s">
        <v>135</v>
      </c>
      <c r="E240" t="s">
        <v>32</v>
      </c>
      <c r="F240" t="s">
        <v>30</v>
      </c>
      <c r="G240" t="s">
        <v>28</v>
      </c>
      <c r="J240" s="2">
        <v>45260.208333333336</v>
      </c>
      <c r="K240" s="2">
        <v>45407.121819548614</v>
      </c>
      <c r="L240" s="2">
        <v>45173.54488425926</v>
      </c>
      <c r="M240" t="s">
        <v>1971</v>
      </c>
      <c r="N240" t="s">
        <v>1970</v>
      </c>
      <c r="O240" s="2">
        <v>45184.19280675926</v>
      </c>
      <c r="P240" s="2">
        <v>45205.589224571762</v>
      </c>
      <c r="Q240" s="7">
        <f t="shared" si="3"/>
        <v>16</v>
      </c>
    </row>
    <row r="241" spans="1:17" x14ac:dyDescent="0.35">
      <c r="A241" t="s">
        <v>1062</v>
      </c>
      <c r="B241" t="s">
        <v>23</v>
      </c>
      <c r="C241" t="s">
        <v>44</v>
      </c>
      <c r="D241" t="s">
        <v>135</v>
      </c>
      <c r="E241" t="s">
        <v>32</v>
      </c>
      <c r="F241" t="s">
        <v>30</v>
      </c>
      <c r="G241" t="s">
        <v>28</v>
      </c>
      <c r="J241" s="2">
        <v>45260.208333333336</v>
      </c>
      <c r="K241" s="2">
        <v>45407.121819548614</v>
      </c>
      <c r="L241" s="2">
        <v>45173.54488425926</v>
      </c>
      <c r="M241" t="s">
        <v>1971</v>
      </c>
      <c r="N241" t="s">
        <v>1970</v>
      </c>
      <c r="O241" s="2">
        <v>45266.652584386575</v>
      </c>
      <c r="P241" s="2">
        <v>45274.576153506947</v>
      </c>
      <c r="Q241" s="7">
        <f t="shared" si="3"/>
        <v>7</v>
      </c>
    </row>
    <row r="242" spans="1:17" x14ac:dyDescent="0.35">
      <c r="A242" t="s">
        <v>1062</v>
      </c>
      <c r="B242" t="s">
        <v>23</v>
      </c>
      <c r="C242" t="s">
        <v>44</v>
      </c>
      <c r="D242" t="s">
        <v>135</v>
      </c>
      <c r="E242" t="s">
        <v>32</v>
      </c>
      <c r="F242" t="s">
        <v>30</v>
      </c>
      <c r="G242" t="s">
        <v>28</v>
      </c>
      <c r="J242" s="2">
        <v>45260.208333333336</v>
      </c>
      <c r="K242" s="2">
        <v>45407.121819548614</v>
      </c>
      <c r="L242" s="2">
        <v>45173.54488425926</v>
      </c>
      <c r="M242" t="s">
        <v>1972</v>
      </c>
      <c r="N242" t="s">
        <v>1970</v>
      </c>
      <c r="O242" s="2">
        <v>45307.687517199076</v>
      </c>
      <c r="P242" s="2">
        <v>45314.700155312501</v>
      </c>
      <c r="Q242" s="7">
        <f t="shared" si="3"/>
        <v>6</v>
      </c>
    </row>
    <row r="243" spans="1:17" x14ac:dyDescent="0.35">
      <c r="A243" t="s">
        <v>642</v>
      </c>
      <c r="B243" t="s">
        <v>23</v>
      </c>
      <c r="C243" t="s">
        <v>44</v>
      </c>
      <c r="D243" t="s">
        <v>130</v>
      </c>
      <c r="E243" t="s">
        <v>48</v>
      </c>
      <c r="F243" t="s">
        <v>30</v>
      </c>
      <c r="G243" t="s">
        <v>28</v>
      </c>
      <c r="H243">
        <v>11</v>
      </c>
      <c r="J243" s="2">
        <v>45429.166666666664</v>
      </c>
      <c r="K243" s="2">
        <v>45735.633298935187</v>
      </c>
      <c r="L243" s="2">
        <v>45175.52648148148</v>
      </c>
      <c r="M243" t="s">
        <v>1969</v>
      </c>
      <c r="N243" t="s">
        <v>1970</v>
      </c>
      <c r="O243" s="2">
        <v>45175.818748888887</v>
      </c>
      <c r="P243" s="2">
        <v>45176.518176851852</v>
      </c>
      <c r="Q243" s="7">
        <f t="shared" si="3"/>
        <v>0.69942796296527376</v>
      </c>
    </row>
    <row r="244" spans="1:17" x14ac:dyDescent="0.35">
      <c r="A244" t="s">
        <v>642</v>
      </c>
      <c r="B244" t="s">
        <v>23</v>
      </c>
      <c r="C244" t="s">
        <v>44</v>
      </c>
      <c r="D244" t="s">
        <v>130</v>
      </c>
      <c r="E244" t="s">
        <v>48</v>
      </c>
      <c r="F244" t="s">
        <v>30</v>
      </c>
      <c r="G244" t="s">
        <v>28</v>
      </c>
      <c r="H244">
        <v>11</v>
      </c>
      <c r="J244" s="2">
        <v>45429.166666666664</v>
      </c>
      <c r="K244" s="2">
        <v>45735.633298935187</v>
      </c>
      <c r="L244" s="2">
        <v>45175.52648148148</v>
      </c>
      <c r="M244" t="s">
        <v>1971</v>
      </c>
      <c r="N244" t="s">
        <v>1970</v>
      </c>
      <c r="O244" s="2">
        <v>45204.538576168983</v>
      </c>
      <c r="P244" s="2">
        <v>45293.524670439816</v>
      </c>
      <c r="Q244" s="7">
        <f t="shared" si="3"/>
        <v>88.986094270832837</v>
      </c>
    </row>
    <row r="245" spans="1:17" x14ac:dyDescent="0.35">
      <c r="A245" t="s">
        <v>642</v>
      </c>
      <c r="B245" t="s">
        <v>23</v>
      </c>
      <c r="C245" t="s">
        <v>44</v>
      </c>
      <c r="D245" t="s">
        <v>130</v>
      </c>
      <c r="E245" t="s">
        <v>48</v>
      </c>
      <c r="F245" t="s">
        <v>30</v>
      </c>
      <c r="G245" t="s">
        <v>28</v>
      </c>
      <c r="H245">
        <v>11</v>
      </c>
      <c r="J245" s="2">
        <v>45429.166666666664</v>
      </c>
      <c r="K245" s="2">
        <v>45735.633298935187</v>
      </c>
      <c r="L245" s="2">
        <v>45175.52648148148</v>
      </c>
      <c r="M245" t="s">
        <v>1969</v>
      </c>
      <c r="N245" t="s">
        <v>1970</v>
      </c>
      <c r="O245" s="2">
        <v>45216.686488553241</v>
      </c>
      <c r="P245" s="2">
        <v>45293.524427592594</v>
      </c>
      <c r="Q245" s="7">
        <f t="shared" si="3"/>
        <v>76.837939039352932</v>
      </c>
    </row>
    <row r="246" spans="1:17" x14ac:dyDescent="0.35">
      <c r="A246" t="s">
        <v>642</v>
      </c>
      <c r="B246" t="s">
        <v>23</v>
      </c>
      <c r="C246" t="s">
        <v>44</v>
      </c>
      <c r="D246" t="s">
        <v>130</v>
      </c>
      <c r="E246" t="s">
        <v>48</v>
      </c>
      <c r="F246" t="s">
        <v>30</v>
      </c>
      <c r="G246" t="s">
        <v>28</v>
      </c>
      <c r="H246">
        <v>11</v>
      </c>
      <c r="J246" s="2">
        <v>45429.166666666664</v>
      </c>
      <c r="K246" s="2">
        <v>45735.633298935187</v>
      </c>
      <c r="L246" s="2">
        <v>45175.52648148148</v>
      </c>
      <c r="M246" t="s">
        <v>1971</v>
      </c>
      <c r="N246" t="s">
        <v>1970</v>
      </c>
      <c r="O246" s="2">
        <v>45364.856876296297</v>
      </c>
      <c r="P246" s="2">
        <v>45373.662674814812</v>
      </c>
      <c r="Q246" s="7">
        <f t="shared" si="3"/>
        <v>8.8057985185150756</v>
      </c>
    </row>
    <row r="247" spans="1:17" x14ac:dyDescent="0.35">
      <c r="A247" t="s">
        <v>642</v>
      </c>
      <c r="B247" t="s">
        <v>23</v>
      </c>
      <c r="C247" t="s">
        <v>44</v>
      </c>
      <c r="D247" t="s">
        <v>130</v>
      </c>
      <c r="E247" t="s">
        <v>48</v>
      </c>
      <c r="F247" t="s">
        <v>30</v>
      </c>
      <c r="G247" t="s">
        <v>28</v>
      </c>
      <c r="H247">
        <v>11</v>
      </c>
      <c r="J247" s="2">
        <v>45429.166666666664</v>
      </c>
      <c r="K247" s="2">
        <v>45735.633298935187</v>
      </c>
      <c r="L247" s="2">
        <v>45175.52648148148</v>
      </c>
      <c r="M247" t="s">
        <v>1973</v>
      </c>
      <c r="N247" t="s">
        <v>1970</v>
      </c>
      <c r="O247" s="2">
        <v>45491.842992314814</v>
      </c>
      <c r="P247" s="2">
        <v>45568.679456377315</v>
      </c>
      <c r="Q247" s="7">
        <f t="shared" si="3"/>
        <v>76.836464062500454</v>
      </c>
    </row>
    <row r="248" spans="1:17" x14ac:dyDescent="0.35">
      <c r="A248" t="s">
        <v>642</v>
      </c>
      <c r="B248" t="s">
        <v>23</v>
      </c>
      <c r="C248" t="s">
        <v>44</v>
      </c>
      <c r="D248" t="s">
        <v>130</v>
      </c>
      <c r="E248" t="s">
        <v>48</v>
      </c>
      <c r="F248" t="s">
        <v>30</v>
      </c>
      <c r="G248" t="s">
        <v>28</v>
      </c>
      <c r="H248">
        <v>11</v>
      </c>
      <c r="J248" s="2">
        <v>45429.166666666664</v>
      </c>
      <c r="K248" s="2">
        <v>45735.633298935187</v>
      </c>
      <c r="L248" s="2">
        <v>45175.52648148148</v>
      </c>
      <c r="M248" t="s">
        <v>1975</v>
      </c>
      <c r="N248" t="s">
        <v>1970</v>
      </c>
      <c r="O248" s="2">
        <v>45506.609485127316</v>
      </c>
      <c r="P248" s="2">
        <v>45568.679344467593</v>
      </c>
      <c r="Q248" s="7">
        <f t="shared" si="3"/>
        <v>62.069859340277617</v>
      </c>
    </row>
    <row r="249" spans="1:17" x14ac:dyDescent="0.35">
      <c r="A249" t="s">
        <v>642</v>
      </c>
      <c r="B249" t="s">
        <v>23</v>
      </c>
      <c r="C249" t="s">
        <v>44</v>
      </c>
      <c r="D249" t="s">
        <v>130</v>
      </c>
      <c r="E249" t="s">
        <v>48</v>
      </c>
      <c r="F249" t="s">
        <v>30</v>
      </c>
      <c r="G249" t="s">
        <v>28</v>
      </c>
      <c r="H249">
        <v>11</v>
      </c>
      <c r="J249" s="2">
        <v>45429.166666666664</v>
      </c>
      <c r="K249" s="2">
        <v>45735.633298935187</v>
      </c>
      <c r="L249" s="2">
        <v>45175.52648148148</v>
      </c>
      <c r="M249" t="s">
        <v>1973</v>
      </c>
      <c r="N249" t="s">
        <v>1996</v>
      </c>
      <c r="O249" s="2">
        <v>45628.736033518515</v>
      </c>
      <c r="P249" s="2">
        <v>45674.751549097222</v>
      </c>
      <c r="Q249" s="7">
        <f t="shared" si="3"/>
        <v>46.015515578706982</v>
      </c>
    </row>
    <row r="250" spans="1:17" x14ac:dyDescent="0.35">
      <c r="A250" t="s">
        <v>181</v>
      </c>
      <c r="B250" t="s">
        <v>23</v>
      </c>
      <c r="C250" t="s">
        <v>44</v>
      </c>
      <c r="D250" t="s">
        <v>113</v>
      </c>
      <c r="E250" t="s">
        <v>38</v>
      </c>
      <c r="F250" t="s">
        <v>30</v>
      </c>
      <c r="G250" t="s">
        <v>28</v>
      </c>
      <c r="H250">
        <v>1</v>
      </c>
      <c r="J250" s="2">
        <v>45310.208333333336</v>
      </c>
      <c r="K250" s="2">
        <v>45321.573518391204</v>
      </c>
      <c r="L250" s="2">
        <v>45187.788773148146</v>
      </c>
      <c r="M250" t="s">
        <v>1969</v>
      </c>
      <c r="N250" t="s">
        <v>1970</v>
      </c>
      <c r="O250" s="2">
        <v>45191.701501284719</v>
      </c>
      <c r="P250" s="2">
        <v>45205.601359826389</v>
      </c>
      <c r="Q250" s="7">
        <f t="shared" si="3"/>
        <v>11</v>
      </c>
    </row>
    <row r="251" spans="1:17" x14ac:dyDescent="0.35">
      <c r="A251" t="s">
        <v>181</v>
      </c>
      <c r="B251" t="s">
        <v>23</v>
      </c>
      <c r="C251" t="s">
        <v>44</v>
      </c>
      <c r="D251" t="s">
        <v>113</v>
      </c>
      <c r="E251" t="s">
        <v>38</v>
      </c>
      <c r="F251" t="s">
        <v>30</v>
      </c>
      <c r="G251" t="s">
        <v>28</v>
      </c>
      <c r="H251">
        <v>1</v>
      </c>
      <c r="J251" s="2">
        <v>45310.208333333336</v>
      </c>
      <c r="K251" s="2">
        <v>45321.573518391204</v>
      </c>
      <c r="L251" s="2">
        <v>45187.788773148146</v>
      </c>
      <c r="M251" t="s">
        <v>1971</v>
      </c>
      <c r="N251" t="s">
        <v>1970</v>
      </c>
      <c r="O251" s="2">
        <v>45212.710948182874</v>
      </c>
      <c r="P251" s="2">
        <v>45212.715929363425</v>
      </c>
      <c r="Q251" s="7">
        <f t="shared" si="3"/>
        <v>1</v>
      </c>
    </row>
    <row r="252" spans="1:17" x14ac:dyDescent="0.35">
      <c r="A252" t="s">
        <v>181</v>
      </c>
      <c r="B252" t="s">
        <v>23</v>
      </c>
      <c r="C252" t="s">
        <v>44</v>
      </c>
      <c r="D252" t="s">
        <v>113</v>
      </c>
      <c r="E252" t="s">
        <v>38</v>
      </c>
      <c r="F252" t="s">
        <v>30</v>
      </c>
      <c r="G252" t="s">
        <v>28</v>
      </c>
      <c r="H252">
        <v>1</v>
      </c>
      <c r="J252" s="2">
        <v>45310.208333333336</v>
      </c>
      <c r="K252" s="2">
        <v>45321.573518391204</v>
      </c>
      <c r="L252" s="2">
        <v>45187.788773148146</v>
      </c>
      <c r="M252" t="s">
        <v>1988</v>
      </c>
      <c r="N252" t="s">
        <v>1974</v>
      </c>
      <c r="O252" s="2">
        <v>45302.835395960647</v>
      </c>
      <c r="P252" s="2">
        <v>45315.533975636572</v>
      </c>
      <c r="Q252" s="7">
        <f t="shared" si="3"/>
        <v>10</v>
      </c>
    </row>
    <row r="253" spans="1:17" x14ac:dyDescent="0.35">
      <c r="A253" t="s">
        <v>1669</v>
      </c>
      <c r="B253" t="s">
        <v>23</v>
      </c>
      <c r="C253" t="s">
        <v>44</v>
      </c>
      <c r="D253" t="s">
        <v>76</v>
      </c>
      <c r="E253" t="s">
        <v>32</v>
      </c>
      <c r="F253" t="s">
        <v>30</v>
      </c>
      <c r="G253" t="s">
        <v>1633</v>
      </c>
      <c r="H253">
        <v>8</v>
      </c>
      <c r="J253" s="2">
        <v>45336.208333333336</v>
      </c>
      <c r="K253" s="2">
        <v>45341.668508634262</v>
      </c>
      <c r="L253" s="2">
        <v>45195.759143518517</v>
      </c>
      <c r="M253" t="s">
        <v>1971</v>
      </c>
      <c r="N253" t="s">
        <v>1970</v>
      </c>
      <c r="O253" s="2">
        <v>45275.627864571761</v>
      </c>
      <c r="P253" s="2">
        <v>45293.521320115738</v>
      </c>
      <c r="Q253" s="7">
        <f t="shared" si="3"/>
        <v>13</v>
      </c>
    </row>
    <row r="254" spans="1:17" x14ac:dyDescent="0.35">
      <c r="A254" t="s">
        <v>1578</v>
      </c>
      <c r="B254" t="s">
        <v>23</v>
      </c>
      <c r="C254" t="s">
        <v>44</v>
      </c>
      <c r="D254" t="s">
        <v>113</v>
      </c>
      <c r="E254" t="s">
        <v>38</v>
      </c>
      <c r="F254" t="s">
        <v>30</v>
      </c>
      <c r="G254" t="s">
        <v>1441</v>
      </c>
      <c r="H254">
        <v>13</v>
      </c>
      <c r="J254" s="2">
        <v>45282.208333333336</v>
      </c>
      <c r="K254" s="2">
        <v>45310.709411215277</v>
      </c>
      <c r="L254" s="2">
        <v>45203.662743055553</v>
      </c>
      <c r="M254" t="s">
        <v>1969</v>
      </c>
      <c r="N254" t="s">
        <v>1970</v>
      </c>
      <c r="O254" s="2">
        <v>45211.695597094906</v>
      </c>
      <c r="P254" s="2">
        <v>45226.780805069444</v>
      </c>
      <c r="Q254" s="7">
        <f t="shared" si="3"/>
        <v>12</v>
      </c>
    </row>
    <row r="255" spans="1:17" x14ac:dyDescent="0.35">
      <c r="A255" t="s">
        <v>1448</v>
      </c>
      <c r="B255" t="s">
        <v>23</v>
      </c>
      <c r="C255" t="s">
        <v>44</v>
      </c>
      <c r="D255" t="s">
        <v>76</v>
      </c>
      <c r="E255" t="s">
        <v>32</v>
      </c>
      <c r="F255" t="s">
        <v>30</v>
      </c>
      <c r="G255" t="s">
        <v>1441</v>
      </c>
      <c r="H255">
        <v>1</v>
      </c>
      <c r="J255" s="2">
        <v>45268.208333333336</v>
      </c>
      <c r="K255" s="2">
        <v>45322.780037337965</v>
      </c>
      <c r="L255" s="2">
        <v>45204.740011574075</v>
      </c>
      <c r="M255" t="s">
        <v>1971</v>
      </c>
      <c r="N255" t="s">
        <v>1970</v>
      </c>
      <c r="O255" s="2">
        <v>45218.611576134259</v>
      </c>
      <c r="P255" s="2">
        <v>45219.12227107639</v>
      </c>
      <c r="Q255" s="7">
        <f t="shared" si="3"/>
        <v>2</v>
      </c>
    </row>
    <row r="256" spans="1:17" x14ac:dyDescent="0.35">
      <c r="A256" t="s">
        <v>1485</v>
      </c>
      <c r="B256" t="s">
        <v>23</v>
      </c>
      <c r="C256" t="s">
        <v>44</v>
      </c>
      <c r="D256" t="s">
        <v>76</v>
      </c>
      <c r="E256" t="s">
        <v>38</v>
      </c>
      <c r="F256" t="s">
        <v>30</v>
      </c>
      <c r="G256" t="s">
        <v>1441</v>
      </c>
      <c r="H256">
        <v>3</v>
      </c>
      <c r="J256" s="2">
        <v>45317.208333333336</v>
      </c>
      <c r="K256" s="2">
        <v>45371.856565787035</v>
      </c>
      <c r="L256" s="2">
        <v>45205.53875</v>
      </c>
      <c r="M256" t="s">
        <v>1971</v>
      </c>
      <c r="N256" t="s">
        <v>1970</v>
      </c>
      <c r="O256" s="2">
        <v>45216.525665543981</v>
      </c>
      <c r="P256" s="2">
        <v>45219.669431875001</v>
      </c>
      <c r="Q256" s="7">
        <f t="shared" si="3"/>
        <v>4</v>
      </c>
    </row>
    <row r="257" spans="1:17" x14ac:dyDescent="0.35">
      <c r="A257" t="s">
        <v>1485</v>
      </c>
      <c r="B257" t="s">
        <v>23</v>
      </c>
      <c r="C257" t="s">
        <v>44</v>
      </c>
      <c r="D257" t="s">
        <v>76</v>
      </c>
      <c r="E257" t="s">
        <v>38</v>
      </c>
      <c r="F257" t="s">
        <v>30</v>
      </c>
      <c r="G257" t="s">
        <v>1441</v>
      </c>
      <c r="H257">
        <v>3</v>
      </c>
      <c r="J257" s="2">
        <v>45317.208333333336</v>
      </c>
      <c r="K257" s="2">
        <v>45371.856565787035</v>
      </c>
      <c r="L257" s="2">
        <v>45205.53875</v>
      </c>
      <c r="M257" t="s">
        <v>1971</v>
      </c>
      <c r="N257" t="s">
        <v>1970</v>
      </c>
      <c r="O257" s="2">
        <v>45219.703725856481</v>
      </c>
      <c r="P257" s="2">
        <v>45219.801091041663</v>
      </c>
      <c r="Q257" s="7">
        <f t="shared" si="3"/>
        <v>1</v>
      </c>
    </row>
    <row r="258" spans="1:17" x14ac:dyDescent="0.35">
      <c r="A258" t="s">
        <v>1666</v>
      </c>
      <c r="B258" t="s">
        <v>23</v>
      </c>
      <c r="C258" t="s">
        <v>44</v>
      </c>
      <c r="D258" t="s">
        <v>76</v>
      </c>
      <c r="E258" t="s">
        <v>38</v>
      </c>
      <c r="F258" t="s">
        <v>30</v>
      </c>
      <c r="G258" t="s">
        <v>1633</v>
      </c>
      <c r="H258">
        <v>7</v>
      </c>
      <c r="I258" t="s">
        <v>33</v>
      </c>
      <c r="J258" s="2">
        <v>45490.166666666664</v>
      </c>
      <c r="K258" s="2">
        <v>45510.839239791669</v>
      </c>
      <c r="L258" s="2">
        <v>45205.653599537036</v>
      </c>
      <c r="M258" t="s">
        <v>1977</v>
      </c>
      <c r="N258" t="s">
        <v>1974</v>
      </c>
      <c r="O258" s="2">
        <v>45212.610889432872</v>
      </c>
      <c r="P258" s="2">
        <v>45441.680860682871</v>
      </c>
      <c r="Q258" s="7">
        <f t="shared" si="3"/>
        <v>164</v>
      </c>
    </row>
    <row r="259" spans="1:17" x14ac:dyDescent="0.35">
      <c r="A259" t="s">
        <v>1666</v>
      </c>
      <c r="B259" t="s">
        <v>23</v>
      </c>
      <c r="C259" t="s">
        <v>44</v>
      </c>
      <c r="D259" t="s">
        <v>76</v>
      </c>
      <c r="E259" t="s">
        <v>38</v>
      </c>
      <c r="F259" t="s">
        <v>30</v>
      </c>
      <c r="G259" t="s">
        <v>1633</v>
      </c>
      <c r="H259">
        <v>7</v>
      </c>
      <c r="I259" t="s">
        <v>33</v>
      </c>
      <c r="J259" s="2">
        <v>45490.166666666664</v>
      </c>
      <c r="K259" s="2">
        <v>45510.839239791669</v>
      </c>
      <c r="L259" s="2">
        <v>45205.653599537036</v>
      </c>
      <c r="M259" t="s">
        <v>1977</v>
      </c>
      <c r="N259" t="s">
        <v>1974</v>
      </c>
      <c r="O259" s="2">
        <v>45414.577247372683</v>
      </c>
      <c r="P259" s="2">
        <v>45442.523433275463</v>
      </c>
      <c r="Q259" s="7">
        <f t="shared" ref="Q259:Q322" si="4">IF(OR(O259="", P259=""), "", IF(OR(E259="PW1000G", E259="PW800"), P259 - O259, NETWORKDAYS(O259, P259)))</f>
        <v>21</v>
      </c>
    </row>
    <row r="260" spans="1:17" x14ac:dyDescent="0.35">
      <c r="A260" t="s">
        <v>1666</v>
      </c>
      <c r="B260" t="s">
        <v>23</v>
      </c>
      <c r="C260" t="s">
        <v>44</v>
      </c>
      <c r="D260" t="s">
        <v>76</v>
      </c>
      <c r="E260" t="s">
        <v>38</v>
      </c>
      <c r="F260" t="s">
        <v>30</v>
      </c>
      <c r="G260" t="s">
        <v>1633</v>
      </c>
      <c r="H260">
        <v>7</v>
      </c>
      <c r="I260" t="s">
        <v>33</v>
      </c>
      <c r="J260" s="2">
        <v>45490.166666666664</v>
      </c>
      <c r="K260" s="2">
        <v>45510.839239791669</v>
      </c>
      <c r="L260" s="2">
        <v>45205.653599537036</v>
      </c>
      <c r="M260" t="s">
        <v>1975</v>
      </c>
      <c r="N260" t="s">
        <v>1970</v>
      </c>
      <c r="O260" s="2">
        <v>45443.84890297454</v>
      </c>
      <c r="P260" s="2">
        <v>45449.873229432873</v>
      </c>
      <c r="Q260" s="7">
        <f t="shared" si="4"/>
        <v>5</v>
      </c>
    </row>
    <row r="261" spans="1:17" x14ac:dyDescent="0.35">
      <c r="A261" t="s">
        <v>1666</v>
      </c>
      <c r="B261" t="s">
        <v>23</v>
      </c>
      <c r="C261" t="s">
        <v>44</v>
      </c>
      <c r="D261" t="s">
        <v>76</v>
      </c>
      <c r="E261" t="s">
        <v>38</v>
      </c>
      <c r="F261" t="s">
        <v>30</v>
      </c>
      <c r="G261" t="s">
        <v>1633</v>
      </c>
      <c r="H261">
        <v>7</v>
      </c>
      <c r="I261" t="s">
        <v>33</v>
      </c>
      <c r="J261" s="2">
        <v>45490.166666666664</v>
      </c>
      <c r="K261" s="2">
        <v>45510.839239791669</v>
      </c>
      <c r="L261" s="2">
        <v>45205.653599537036</v>
      </c>
      <c r="M261" t="s">
        <v>1975</v>
      </c>
      <c r="N261" t="s">
        <v>1974</v>
      </c>
      <c r="O261" s="2">
        <v>45450.593939421298</v>
      </c>
      <c r="P261" s="2">
        <v>45499.698037708331</v>
      </c>
      <c r="Q261" s="7">
        <f t="shared" si="4"/>
        <v>36</v>
      </c>
    </row>
    <row r="262" spans="1:17" x14ac:dyDescent="0.35">
      <c r="A262" t="s">
        <v>317</v>
      </c>
      <c r="B262" t="s">
        <v>23</v>
      </c>
      <c r="C262" t="s">
        <v>44</v>
      </c>
      <c r="D262" t="s">
        <v>113</v>
      </c>
      <c r="E262" t="s">
        <v>48</v>
      </c>
      <c r="F262" t="s">
        <v>30</v>
      </c>
      <c r="G262" t="s">
        <v>28</v>
      </c>
      <c r="H262">
        <v>2</v>
      </c>
      <c r="J262" s="2">
        <v>45261.208333333336</v>
      </c>
      <c r="K262" s="2">
        <v>45314.812014270836</v>
      </c>
      <c r="L262" s="2">
        <v>45205.825254629628</v>
      </c>
      <c r="M262" t="s">
        <v>1969</v>
      </c>
      <c r="N262" t="s">
        <v>1970</v>
      </c>
      <c r="O262" s="2">
        <v>45233.618539756942</v>
      </c>
      <c r="P262" s="2">
        <v>45236.671496979165</v>
      </c>
      <c r="Q262" s="7">
        <f t="shared" si="4"/>
        <v>3.0529572222221759</v>
      </c>
    </row>
    <row r="263" spans="1:17" x14ac:dyDescent="0.35">
      <c r="A263" t="s">
        <v>317</v>
      </c>
      <c r="B263" t="s">
        <v>23</v>
      </c>
      <c r="C263" t="s">
        <v>44</v>
      </c>
      <c r="D263" t="s">
        <v>113</v>
      </c>
      <c r="E263" t="s">
        <v>48</v>
      </c>
      <c r="F263" t="s">
        <v>30</v>
      </c>
      <c r="G263" t="s">
        <v>28</v>
      </c>
      <c r="H263">
        <v>2</v>
      </c>
      <c r="J263" s="2">
        <v>45261.208333333336</v>
      </c>
      <c r="K263" s="2">
        <v>45314.812014270836</v>
      </c>
      <c r="L263" s="2">
        <v>45205.825254629628</v>
      </c>
      <c r="M263" t="s">
        <v>1972</v>
      </c>
      <c r="N263" t="s">
        <v>1970</v>
      </c>
      <c r="O263" s="2">
        <v>45236.672590185182</v>
      </c>
      <c r="P263" s="2">
        <v>45237.86742052083</v>
      </c>
      <c r="Q263" s="7">
        <f t="shared" si="4"/>
        <v>1.1948303356475662</v>
      </c>
    </row>
    <row r="264" spans="1:17" x14ac:dyDescent="0.35">
      <c r="A264" t="s">
        <v>317</v>
      </c>
      <c r="B264" t="s">
        <v>23</v>
      </c>
      <c r="C264" t="s">
        <v>44</v>
      </c>
      <c r="D264" t="s">
        <v>113</v>
      </c>
      <c r="E264" t="s">
        <v>48</v>
      </c>
      <c r="F264" t="s">
        <v>30</v>
      </c>
      <c r="G264" t="s">
        <v>28</v>
      </c>
      <c r="H264">
        <v>2</v>
      </c>
      <c r="J264" s="2">
        <v>45261.208333333336</v>
      </c>
      <c r="K264" s="2">
        <v>45314.812014270836</v>
      </c>
      <c r="L264" s="2">
        <v>45205.825254629628</v>
      </c>
      <c r="M264" t="s">
        <v>1980</v>
      </c>
      <c r="N264" t="s">
        <v>1970</v>
      </c>
      <c r="O264" s="2">
        <v>45238.764964837967</v>
      </c>
      <c r="P264" s="2">
        <v>45245.711667673611</v>
      </c>
      <c r="Q264" s="7">
        <f t="shared" si="4"/>
        <v>6.9467028356448282</v>
      </c>
    </row>
    <row r="265" spans="1:17" x14ac:dyDescent="0.35">
      <c r="A265" t="s">
        <v>1470</v>
      </c>
      <c r="B265" t="s">
        <v>23</v>
      </c>
      <c r="C265" t="s">
        <v>44</v>
      </c>
      <c r="D265" t="s">
        <v>76</v>
      </c>
      <c r="E265" t="s">
        <v>48</v>
      </c>
      <c r="F265" t="s">
        <v>30</v>
      </c>
      <c r="G265" t="s">
        <v>1441</v>
      </c>
      <c r="H265">
        <v>2</v>
      </c>
      <c r="J265" s="2">
        <v>45365.166666666664</v>
      </c>
      <c r="K265" s="2">
        <v>45412.672959918978</v>
      </c>
      <c r="L265" s="2">
        <v>45209.839432870373</v>
      </c>
      <c r="M265" t="s">
        <v>1969</v>
      </c>
      <c r="N265" t="s">
        <v>1970</v>
      </c>
      <c r="O265" s="2">
        <v>45218.611214606484</v>
      </c>
      <c r="P265" s="2">
        <v>45233.741325462965</v>
      </c>
      <c r="Q265" s="7">
        <f t="shared" si="4"/>
        <v>15.130110856480314</v>
      </c>
    </row>
    <row r="266" spans="1:17" x14ac:dyDescent="0.35">
      <c r="A266" t="s">
        <v>1470</v>
      </c>
      <c r="B266" t="s">
        <v>23</v>
      </c>
      <c r="C266" t="s">
        <v>44</v>
      </c>
      <c r="D266" t="s">
        <v>76</v>
      </c>
      <c r="E266" t="s">
        <v>48</v>
      </c>
      <c r="F266" t="s">
        <v>30</v>
      </c>
      <c r="G266" t="s">
        <v>1441</v>
      </c>
      <c r="H266">
        <v>2</v>
      </c>
      <c r="J266" s="2">
        <v>45365.166666666664</v>
      </c>
      <c r="K266" s="2">
        <v>45412.672959918978</v>
      </c>
      <c r="L266" s="2">
        <v>45209.839432870373</v>
      </c>
      <c r="M266" t="s">
        <v>1969</v>
      </c>
      <c r="N266" t="s">
        <v>1970</v>
      </c>
      <c r="O266" s="2">
        <v>45260.770622280092</v>
      </c>
      <c r="P266" s="2">
        <v>45282.743186874999</v>
      </c>
      <c r="Q266" s="7">
        <f t="shared" si="4"/>
        <v>21.972564594907453</v>
      </c>
    </row>
    <row r="267" spans="1:17" x14ac:dyDescent="0.35">
      <c r="A267" t="s">
        <v>1470</v>
      </c>
      <c r="B267" t="s">
        <v>23</v>
      </c>
      <c r="C267" t="s">
        <v>44</v>
      </c>
      <c r="D267" t="s">
        <v>76</v>
      </c>
      <c r="E267" t="s">
        <v>48</v>
      </c>
      <c r="F267" t="s">
        <v>30</v>
      </c>
      <c r="G267" t="s">
        <v>1441</v>
      </c>
      <c r="H267">
        <v>2</v>
      </c>
      <c r="J267" s="2">
        <v>45365.166666666664</v>
      </c>
      <c r="K267" s="2">
        <v>45412.672959918978</v>
      </c>
      <c r="L267" s="2">
        <v>45209.839432870373</v>
      </c>
      <c r="M267" t="s">
        <v>1969</v>
      </c>
      <c r="N267" t="s">
        <v>1970</v>
      </c>
      <c r="O267" s="2">
        <v>45314.755339097224</v>
      </c>
      <c r="P267" s="2">
        <v>45315.565042546295</v>
      </c>
      <c r="Q267" s="7">
        <f t="shared" si="4"/>
        <v>0.80970344907109393</v>
      </c>
    </row>
    <row r="268" spans="1:17" x14ac:dyDescent="0.35">
      <c r="A268" t="s">
        <v>1470</v>
      </c>
      <c r="B268" t="s">
        <v>23</v>
      </c>
      <c r="C268" t="s">
        <v>44</v>
      </c>
      <c r="D268" t="s">
        <v>76</v>
      </c>
      <c r="E268" t="s">
        <v>48</v>
      </c>
      <c r="F268" t="s">
        <v>30</v>
      </c>
      <c r="G268" t="s">
        <v>1441</v>
      </c>
      <c r="H268">
        <v>2</v>
      </c>
      <c r="J268" s="2">
        <v>45365.166666666664</v>
      </c>
      <c r="K268" s="2">
        <v>45412.672959918978</v>
      </c>
      <c r="L268" s="2">
        <v>45209.839432870373</v>
      </c>
      <c r="M268" t="s">
        <v>1973</v>
      </c>
      <c r="N268" t="s">
        <v>1970</v>
      </c>
      <c r="O268" s="2">
        <v>45387.812059652781</v>
      </c>
      <c r="P268" s="2">
        <v>45393.756602430556</v>
      </c>
      <c r="Q268" s="7">
        <f t="shared" si="4"/>
        <v>5.9445427777754958</v>
      </c>
    </row>
    <row r="269" spans="1:17" x14ac:dyDescent="0.35">
      <c r="A269" t="s">
        <v>424</v>
      </c>
      <c r="B269" t="s">
        <v>23</v>
      </c>
      <c r="C269" t="s">
        <v>44</v>
      </c>
      <c r="D269" t="s">
        <v>113</v>
      </c>
      <c r="E269" t="s">
        <v>38</v>
      </c>
      <c r="F269" t="s">
        <v>30</v>
      </c>
      <c r="G269" t="s">
        <v>28</v>
      </c>
      <c r="H269">
        <v>5</v>
      </c>
      <c r="J269" s="2">
        <v>45383.166666666664</v>
      </c>
      <c r="K269" s="2">
        <v>45434.80659954861</v>
      </c>
      <c r="L269" s="2">
        <v>45211.86822916667</v>
      </c>
      <c r="M269" t="s">
        <v>1972</v>
      </c>
      <c r="N269" t="s">
        <v>1970</v>
      </c>
      <c r="O269" s="2">
        <v>45324.732536828706</v>
      </c>
      <c r="P269" s="2">
        <v>45338.672930636574</v>
      </c>
      <c r="Q269" s="7">
        <f t="shared" si="4"/>
        <v>11</v>
      </c>
    </row>
    <row r="270" spans="1:17" x14ac:dyDescent="0.35">
      <c r="A270" t="s">
        <v>424</v>
      </c>
      <c r="B270" t="s">
        <v>23</v>
      </c>
      <c r="C270" t="s">
        <v>44</v>
      </c>
      <c r="D270" t="s">
        <v>113</v>
      </c>
      <c r="E270" t="s">
        <v>38</v>
      </c>
      <c r="F270" t="s">
        <v>30</v>
      </c>
      <c r="G270" t="s">
        <v>28</v>
      </c>
      <c r="H270">
        <v>5</v>
      </c>
      <c r="J270" s="2">
        <v>45383.166666666664</v>
      </c>
      <c r="K270" s="2">
        <v>45434.80659954861</v>
      </c>
      <c r="L270" s="2">
        <v>45211.86822916667</v>
      </c>
      <c r="M270" t="s">
        <v>1980</v>
      </c>
      <c r="N270" t="s">
        <v>1970</v>
      </c>
      <c r="O270" s="2">
        <v>45329.708496701387</v>
      </c>
      <c r="P270" s="2">
        <v>45341.676465833334</v>
      </c>
      <c r="Q270" s="7">
        <f t="shared" si="4"/>
        <v>9</v>
      </c>
    </row>
    <row r="271" spans="1:17" x14ac:dyDescent="0.35">
      <c r="A271" t="s">
        <v>1025</v>
      </c>
      <c r="B271" t="s">
        <v>23</v>
      </c>
      <c r="C271" t="s">
        <v>44</v>
      </c>
      <c r="D271" t="s">
        <v>36</v>
      </c>
      <c r="E271" t="s">
        <v>48</v>
      </c>
      <c r="F271" t="s">
        <v>30</v>
      </c>
      <c r="G271" t="s">
        <v>28</v>
      </c>
      <c r="H271">
        <v>30</v>
      </c>
      <c r="J271" s="2">
        <v>45779.166666666664</v>
      </c>
      <c r="K271" s="2">
        <v>45779.610633715274</v>
      </c>
      <c r="L271" s="2">
        <v>45211.71738425926</v>
      </c>
      <c r="M271" t="s">
        <v>1980</v>
      </c>
      <c r="N271" t="s">
        <v>1974</v>
      </c>
      <c r="O271" s="2">
        <v>45273.037523171297</v>
      </c>
      <c r="P271" s="2">
        <v>45447.550087511576</v>
      </c>
      <c r="Q271" s="7">
        <f t="shared" si="4"/>
        <v>174.51256434027891</v>
      </c>
    </row>
    <row r="272" spans="1:17" x14ac:dyDescent="0.35">
      <c r="A272" t="s">
        <v>1073</v>
      </c>
      <c r="B272" t="s">
        <v>23</v>
      </c>
      <c r="C272" t="s">
        <v>44</v>
      </c>
      <c r="D272" t="s">
        <v>135</v>
      </c>
      <c r="E272" t="s">
        <v>32</v>
      </c>
      <c r="F272" t="s">
        <v>30</v>
      </c>
      <c r="G272" t="s">
        <v>28</v>
      </c>
      <c r="J272" s="2">
        <v>45397.166666666664</v>
      </c>
      <c r="K272" s="2">
        <v>45401.851181990743</v>
      </c>
      <c r="L272" s="2">
        <v>45215.520995370367</v>
      </c>
      <c r="M272" t="s">
        <v>1971</v>
      </c>
      <c r="N272" t="s">
        <v>1970</v>
      </c>
      <c r="O272" s="2">
        <v>45274.668735277781</v>
      </c>
      <c r="P272" s="2">
        <v>45307.585561840278</v>
      </c>
      <c r="Q272" s="7">
        <f t="shared" si="4"/>
        <v>24</v>
      </c>
    </row>
    <row r="273" spans="1:17" x14ac:dyDescent="0.35">
      <c r="A273" t="s">
        <v>1073</v>
      </c>
      <c r="B273" t="s">
        <v>23</v>
      </c>
      <c r="C273" t="s">
        <v>44</v>
      </c>
      <c r="D273" t="s">
        <v>135</v>
      </c>
      <c r="E273" t="s">
        <v>32</v>
      </c>
      <c r="F273" t="s">
        <v>30</v>
      </c>
      <c r="G273" t="s">
        <v>28</v>
      </c>
      <c r="J273" s="2">
        <v>45397.166666666664</v>
      </c>
      <c r="K273" s="2">
        <v>45401.851181990743</v>
      </c>
      <c r="L273" s="2">
        <v>45215.520995370367</v>
      </c>
      <c r="M273" t="s">
        <v>1980</v>
      </c>
      <c r="N273" t="s">
        <v>1970</v>
      </c>
      <c r="O273" s="2">
        <v>45299.851557326387</v>
      </c>
      <c r="P273" s="2">
        <v>45308.701246840275</v>
      </c>
      <c r="Q273" s="7">
        <f t="shared" si="4"/>
        <v>8</v>
      </c>
    </row>
    <row r="274" spans="1:17" x14ac:dyDescent="0.35">
      <c r="A274" t="s">
        <v>196</v>
      </c>
      <c r="B274" t="s">
        <v>23</v>
      </c>
      <c r="C274" t="s">
        <v>44</v>
      </c>
      <c r="D274" t="s">
        <v>135</v>
      </c>
      <c r="E274" t="s">
        <v>32</v>
      </c>
      <c r="F274" t="s">
        <v>30</v>
      </c>
      <c r="G274" t="s">
        <v>28</v>
      </c>
      <c r="H274">
        <v>1</v>
      </c>
      <c r="J274" s="2">
        <v>45364.166666666664</v>
      </c>
      <c r="K274" s="2">
        <v>45392.023454444447</v>
      </c>
      <c r="L274" s="2">
        <v>45215.585613425923</v>
      </c>
      <c r="M274" t="s">
        <v>1971</v>
      </c>
      <c r="N274" t="s">
        <v>1970</v>
      </c>
      <c r="O274" s="2">
        <v>45274.658046956021</v>
      </c>
      <c r="P274" s="2">
        <v>45307.585385671293</v>
      </c>
      <c r="Q274" s="7">
        <f t="shared" si="4"/>
        <v>24</v>
      </c>
    </row>
    <row r="275" spans="1:17" x14ac:dyDescent="0.35">
      <c r="A275" t="s">
        <v>196</v>
      </c>
      <c r="B275" t="s">
        <v>23</v>
      </c>
      <c r="C275" t="s">
        <v>44</v>
      </c>
      <c r="D275" t="s">
        <v>135</v>
      </c>
      <c r="E275" t="s">
        <v>32</v>
      </c>
      <c r="F275" t="s">
        <v>30</v>
      </c>
      <c r="G275" t="s">
        <v>28</v>
      </c>
      <c r="H275">
        <v>1</v>
      </c>
      <c r="J275" s="2">
        <v>45364.166666666664</v>
      </c>
      <c r="K275" s="2">
        <v>45392.023454444447</v>
      </c>
      <c r="L275" s="2">
        <v>45215.585613425923</v>
      </c>
      <c r="M275" t="s">
        <v>1980</v>
      </c>
      <c r="N275" t="s">
        <v>1970</v>
      </c>
      <c r="O275" s="2">
        <v>45279.895374861109</v>
      </c>
      <c r="P275" s="2">
        <v>45308.701031620367</v>
      </c>
      <c r="Q275" s="7">
        <f t="shared" si="4"/>
        <v>22</v>
      </c>
    </row>
    <row r="276" spans="1:17" x14ac:dyDescent="0.35">
      <c r="A276" t="s">
        <v>196</v>
      </c>
      <c r="B276" t="s">
        <v>23</v>
      </c>
      <c r="C276" t="s">
        <v>44</v>
      </c>
      <c r="D276" t="s">
        <v>135</v>
      </c>
      <c r="E276" t="s">
        <v>32</v>
      </c>
      <c r="F276" t="s">
        <v>30</v>
      </c>
      <c r="G276" t="s">
        <v>28</v>
      </c>
      <c r="H276">
        <v>1</v>
      </c>
      <c r="J276" s="2">
        <v>45364.166666666664</v>
      </c>
      <c r="K276" s="2">
        <v>45392.023454444447</v>
      </c>
      <c r="L276" s="2">
        <v>45215.585613425923</v>
      </c>
      <c r="M276" t="s">
        <v>1972</v>
      </c>
      <c r="N276" t="s">
        <v>1976</v>
      </c>
      <c r="O276" s="2">
        <v>45329.754292291669</v>
      </c>
      <c r="P276" s="2">
        <v>45331.69690800926</v>
      </c>
      <c r="Q276" s="7">
        <f t="shared" si="4"/>
        <v>3</v>
      </c>
    </row>
    <row r="277" spans="1:17" x14ac:dyDescent="0.35">
      <c r="A277" t="s">
        <v>196</v>
      </c>
      <c r="B277" t="s">
        <v>23</v>
      </c>
      <c r="C277" t="s">
        <v>44</v>
      </c>
      <c r="D277" t="s">
        <v>135</v>
      </c>
      <c r="E277" t="s">
        <v>32</v>
      </c>
      <c r="F277" t="s">
        <v>30</v>
      </c>
      <c r="G277" t="s">
        <v>28</v>
      </c>
      <c r="H277">
        <v>1</v>
      </c>
      <c r="J277" s="2">
        <v>45364.166666666664</v>
      </c>
      <c r="K277" s="2">
        <v>45392.023454444447</v>
      </c>
      <c r="L277" s="2">
        <v>45215.585613425923</v>
      </c>
      <c r="M277" t="s">
        <v>1971</v>
      </c>
      <c r="N277" t="s">
        <v>1976</v>
      </c>
      <c r="O277" s="2">
        <v>45331.697069236114</v>
      </c>
      <c r="P277" s="2">
        <v>45338.605470312497</v>
      </c>
      <c r="Q277" s="7">
        <f t="shared" si="4"/>
        <v>6</v>
      </c>
    </row>
    <row r="278" spans="1:17" x14ac:dyDescent="0.35">
      <c r="A278" t="s">
        <v>859</v>
      </c>
      <c r="B278" t="s">
        <v>23</v>
      </c>
      <c r="C278" t="s">
        <v>44</v>
      </c>
      <c r="D278" t="s">
        <v>409</v>
      </c>
      <c r="E278" t="s">
        <v>48</v>
      </c>
      <c r="F278" t="s">
        <v>30</v>
      </c>
      <c r="G278" t="s">
        <v>28</v>
      </c>
      <c r="H278">
        <v>17</v>
      </c>
      <c r="J278" s="2">
        <v>45358.208333333336</v>
      </c>
      <c r="K278" s="2">
        <v>45754.551582893517</v>
      </c>
      <c r="L278" s="2">
        <v>45216.874421296299</v>
      </c>
      <c r="M278" t="s">
        <v>1971</v>
      </c>
      <c r="N278" t="s">
        <v>1970</v>
      </c>
      <c r="O278" s="2">
        <v>45300.627806759258</v>
      </c>
      <c r="P278" s="2">
        <v>45320.769120763885</v>
      </c>
      <c r="Q278" s="7">
        <f t="shared" si="4"/>
        <v>20.14131400462793</v>
      </c>
    </row>
    <row r="279" spans="1:17" x14ac:dyDescent="0.35">
      <c r="A279" t="s">
        <v>381</v>
      </c>
      <c r="B279" t="s">
        <v>23</v>
      </c>
      <c r="C279" t="s">
        <v>44</v>
      </c>
      <c r="D279" t="s">
        <v>76</v>
      </c>
      <c r="E279" t="s">
        <v>57</v>
      </c>
      <c r="F279" t="s">
        <v>30</v>
      </c>
      <c r="G279" t="s">
        <v>28</v>
      </c>
      <c r="H279">
        <v>4</v>
      </c>
      <c r="J279" s="2">
        <v>45338.208333333336</v>
      </c>
      <c r="K279" s="2">
        <v>45329.63270199074</v>
      </c>
      <c r="L279" s="2">
        <v>45217.581747685188</v>
      </c>
      <c r="M279" t="s">
        <v>1980</v>
      </c>
      <c r="N279" t="s">
        <v>1970</v>
      </c>
      <c r="O279" s="2">
        <v>45261.656733865741</v>
      </c>
      <c r="P279" s="2">
        <v>45266.734822511571</v>
      </c>
      <c r="Q279" s="7">
        <f t="shared" si="4"/>
        <v>4</v>
      </c>
    </row>
    <row r="280" spans="1:17" x14ac:dyDescent="0.35">
      <c r="A280" t="s">
        <v>1468</v>
      </c>
      <c r="B280" t="s">
        <v>23</v>
      </c>
      <c r="C280" t="s">
        <v>44</v>
      </c>
      <c r="D280" t="s">
        <v>76</v>
      </c>
      <c r="E280" t="s">
        <v>57</v>
      </c>
      <c r="F280" t="s">
        <v>30</v>
      </c>
      <c r="G280" t="s">
        <v>1441</v>
      </c>
      <c r="H280">
        <v>2</v>
      </c>
      <c r="J280" s="2">
        <v>45407.166666666664</v>
      </c>
      <c r="K280" s="2">
        <v>45443.600695266206</v>
      </c>
      <c r="L280" s="2">
        <v>45217.605462962965</v>
      </c>
      <c r="M280" t="s">
        <v>1971</v>
      </c>
      <c r="N280" t="s">
        <v>1970</v>
      </c>
      <c r="O280" s="2">
        <v>45232.893720972221</v>
      </c>
      <c r="P280" s="2">
        <v>45373.76710621528</v>
      </c>
      <c r="Q280" s="7">
        <f t="shared" si="4"/>
        <v>102</v>
      </c>
    </row>
    <row r="281" spans="1:17" x14ac:dyDescent="0.35">
      <c r="A281" t="s">
        <v>389</v>
      </c>
      <c r="B281" t="s">
        <v>23</v>
      </c>
      <c r="C281" t="s">
        <v>44</v>
      </c>
      <c r="D281" t="s">
        <v>54</v>
      </c>
      <c r="E281" t="s">
        <v>38</v>
      </c>
      <c r="F281" t="s">
        <v>30</v>
      </c>
      <c r="G281" t="s">
        <v>28</v>
      </c>
      <c r="H281">
        <v>4</v>
      </c>
      <c r="J281" s="2">
        <v>45303.208333333336</v>
      </c>
      <c r="K281" s="2">
        <v>45313.907263645837</v>
      </c>
      <c r="L281" s="2">
        <v>45218.447905092595</v>
      </c>
      <c r="M281" t="s">
        <v>1969</v>
      </c>
      <c r="N281" t="s">
        <v>1995</v>
      </c>
      <c r="O281" s="2">
        <v>45223.647492407406</v>
      </c>
      <c r="P281" s="2">
        <v>45224.770476365738</v>
      </c>
      <c r="Q281" s="7">
        <f t="shared" si="4"/>
        <v>2</v>
      </c>
    </row>
    <row r="282" spans="1:17" x14ac:dyDescent="0.35">
      <c r="A282" t="s">
        <v>389</v>
      </c>
      <c r="B282" t="s">
        <v>23</v>
      </c>
      <c r="C282" t="s">
        <v>44</v>
      </c>
      <c r="D282" t="s">
        <v>54</v>
      </c>
      <c r="E282" t="s">
        <v>38</v>
      </c>
      <c r="F282" t="s">
        <v>30</v>
      </c>
      <c r="G282" t="s">
        <v>28</v>
      </c>
      <c r="H282">
        <v>4</v>
      </c>
      <c r="J282" s="2">
        <v>45303.208333333336</v>
      </c>
      <c r="K282" s="2">
        <v>45313.907263645837</v>
      </c>
      <c r="L282" s="2">
        <v>45218.447905092595</v>
      </c>
      <c r="M282" t="s">
        <v>1969</v>
      </c>
      <c r="N282" t="s">
        <v>1970</v>
      </c>
      <c r="O282" s="2">
        <v>45238.211665648145</v>
      </c>
      <c r="P282" s="2">
        <v>45245.143177604165</v>
      </c>
      <c r="Q282" s="7">
        <f t="shared" si="4"/>
        <v>6</v>
      </c>
    </row>
    <row r="283" spans="1:17" x14ac:dyDescent="0.35">
      <c r="A283" t="s">
        <v>389</v>
      </c>
      <c r="B283" t="s">
        <v>23</v>
      </c>
      <c r="C283" t="s">
        <v>44</v>
      </c>
      <c r="D283" t="s">
        <v>54</v>
      </c>
      <c r="E283" t="s">
        <v>38</v>
      </c>
      <c r="F283" t="s">
        <v>30</v>
      </c>
      <c r="G283" t="s">
        <v>28</v>
      </c>
      <c r="H283">
        <v>4</v>
      </c>
      <c r="J283" s="2">
        <v>45303.208333333336</v>
      </c>
      <c r="K283" s="2">
        <v>45313.907263645837</v>
      </c>
      <c r="L283" s="2">
        <v>45218.447905092595</v>
      </c>
      <c r="M283" t="s">
        <v>1980</v>
      </c>
      <c r="N283" t="s">
        <v>1970</v>
      </c>
      <c r="O283" s="2">
        <v>45261.805839062501</v>
      </c>
      <c r="P283" s="2">
        <v>45271.57853003472</v>
      </c>
      <c r="Q283" s="7">
        <f t="shared" si="4"/>
        <v>7</v>
      </c>
    </row>
    <row r="284" spans="1:17" x14ac:dyDescent="0.35">
      <c r="A284" t="s">
        <v>389</v>
      </c>
      <c r="B284" t="s">
        <v>23</v>
      </c>
      <c r="C284" t="s">
        <v>44</v>
      </c>
      <c r="D284" t="s">
        <v>54</v>
      </c>
      <c r="E284" t="s">
        <v>38</v>
      </c>
      <c r="F284" t="s">
        <v>30</v>
      </c>
      <c r="G284" t="s">
        <v>28</v>
      </c>
      <c r="H284">
        <v>4</v>
      </c>
      <c r="J284" s="2">
        <v>45303.208333333336</v>
      </c>
      <c r="K284" s="2">
        <v>45313.907263645837</v>
      </c>
      <c r="L284" s="2">
        <v>45218.447905092595</v>
      </c>
      <c r="M284" t="s">
        <v>1969</v>
      </c>
      <c r="N284" t="s">
        <v>1970</v>
      </c>
      <c r="O284" s="2">
        <v>45264.089074872689</v>
      </c>
      <c r="P284" s="2">
        <v>45272.08138265046</v>
      </c>
      <c r="Q284" s="7">
        <f t="shared" si="4"/>
        <v>7</v>
      </c>
    </row>
    <row r="285" spans="1:17" x14ac:dyDescent="0.35">
      <c r="A285" t="s">
        <v>481</v>
      </c>
      <c r="B285" t="s">
        <v>23</v>
      </c>
      <c r="C285" t="s">
        <v>44</v>
      </c>
      <c r="D285" t="s">
        <v>76</v>
      </c>
      <c r="E285" t="s">
        <v>38</v>
      </c>
      <c r="F285" t="s">
        <v>30</v>
      </c>
      <c r="G285" t="s">
        <v>28</v>
      </c>
      <c r="H285">
        <v>6</v>
      </c>
      <c r="J285" s="2">
        <v>45316.208333333336</v>
      </c>
      <c r="K285" s="2">
        <v>45321.92228230324</v>
      </c>
      <c r="L285" s="2">
        <v>45223.861261574071</v>
      </c>
      <c r="M285" t="s">
        <v>1971</v>
      </c>
      <c r="N285" t="s">
        <v>1970</v>
      </c>
      <c r="O285" s="2">
        <v>45232.678067974535</v>
      </c>
      <c r="P285" s="2">
        <v>45246.942212349539</v>
      </c>
      <c r="Q285" s="7">
        <f t="shared" si="4"/>
        <v>11</v>
      </c>
    </row>
    <row r="286" spans="1:17" x14ac:dyDescent="0.35">
      <c r="A286" t="s">
        <v>481</v>
      </c>
      <c r="B286" t="s">
        <v>23</v>
      </c>
      <c r="C286" t="s">
        <v>44</v>
      </c>
      <c r="D286" t="s">
        <v>76</v>
      </c>
      <c r="E286" t="s">
        <v>38</v>
      </c>
      <c r="F286" t="s">
        <v>30</v>
      </c>
      <c r="G286" t="s">
        <v>28</v>
      </c>
      <c r="H286">
        <v>6</v>
      </c>
      <c r="J286" s="2">
        <v>45316.208333333336</v>
      </c>
      <c r="K286" s="2">
        <v>45321.92228230324</v>
      </c>
      <c r="L286" s="2">
        <v>45223.861261574071</v>
      </c>
      <c r="M286" t="s">
        <v>1980</v>
      </c>
      <c r="N286" t="s">
        <v>1970</v>
      </c>
      <c r="O286" s="2">
        <v>45257.96827795139</v>
      </c>
      <c r="P286" s="2">
        <v>45268.949814826388</v>
      </c>
      <c r="Q286" s="7">
        <f t="shared" si="4"/>
        <v>10</v>
      </c>
    </row>
    <row r="287" spans="1:17" x14ac:dyDescent="0.35">
      <c r="A287" t="s">
        <v>481</v>
      </c>
      <c r="B287" t="s">
        <v>23</v>
      </c>
      <c r="C287" t="s">
        <v>44</v>
      </c>
      <c r="D287" t="s">
        <v>76</v>
      </c>
      <c r="E287" t="s">
        <v>38</v>
      </c>
      <c r="F287" t="s">
        <v>30</v>
      </c>
      <c r="G287" t="s">
        <v>28</v>
      </c>
      <c r="H287">
        <v>6</v>
      </c>
      <c r="J287" s="2">
        <v>45316.208333333336</v>
      </c>
      <c r="K287" s="2">
        <v>45321.92228230324</v>
      </c>
      <c r="L287" s="2">
        <v>45223.861261574071</v>
      </c>
      <c r="M287" t="s">
        <v>1973</v>
      </c>
      <c r="N287" t="s">
        <v>1970</v>
      </c>
      <c r="O287" s="2">
        <v>45258.145305254628</v>
      </c>
      <c r="P287" s="2">
        <v>45275.779399999999</v>
      </c>
      <c r="Q287" s="7">
        <f t="shared" si="4"/>
        <v>14</v>
      </c>
    </row>
    <row r="288" spans="1:17" x14ac:dyDescent="0.35">
      <c r="A288" t="s">
        <v>481</v>
      </c>
      <c r="B288" t="s">
        <v>23</v>
      </c>
      <c r="C288" t="s">
        <v>44</v>
      </c>
      <c r="D288" t="s">
        <v>76</v>
      </c>
      <c r="E288" t="s">
        <v>38</v>
      </c>
      <c r="F288" t="s">
        <v>30</v>
      </c>
      <c r="G288" t="s">
        <v>28</v>
      </c>
      <c r="H288">
        <v>6</v>
      </c>
      <c r="J288" s="2">
        <v>45316.208333333336</v>
      </c>
      <c r="K288" s="2">
        <v>45321.92228230324</v>
      </c>
      <c r="L288" s="2">
        <v>45223.861261574071</v>
      </c>
      <c r="M288" t="s">
        <v>1971</v>
      </c>
      <c r="N288" t="s">
        <v>1997</v>
      </c>
      <c r="O288" s="2">
        <v>45314.78993082176</v>
      </c>
      <c r="P288" s="2">
        <v>45314.932049328701</v>
      </c>
      <c r="Q288" s="7">
        <f t="shared" si="4"/>
        <v>1</v>
      </c>
    </row>
    <row r="289" spans="1:17" x14ac:dyDescent="0.35">
      <c r="A289" t="s">
        <v>1099</v>
      </c>
      <c r="B289" t="s">
        <v>23</v>
      </c>
      <c r="C289" t="s">
        <v>44</v>
      </c>
      <c r="D289" t="s">
        <v>244</v>
      </c>
      <c r="E289" t="s">
        <v>38</v>
      </c>
      <c r="F289" t="s">
        <v>30</v>
      </c>
      <c r="G289" t="s">
        <v>28</v>
      </c>
      <c r="J289" s="2">
        <v>45588.166666666664</v>
      </c>
      <c r="K289" s="2">
        <v>45582.076316736115</v>
      </c>
      <c r="L289" s="2">
        <v>45224.378194444442</v>
      </c>
      <c r="M289" t="s">
        <v>1977</v>
      </c>
      <c r="N289" t="s">
        <v>1970</v>
      </c>
      <c r="O289" s="2">
        <v>45364.059959930557</v>
      </c>
      <c r="P289" s="2">
        <v>45435.051361180558</v>
      </c>
      <c r="Q289" s="7">
        <f t="shared" si="4"/>
        <v>52</v>
      </c>
    </row>
    <row r="290" spans="1:17" x14ac:dyDescent="0.35">
      <c r="A290" t="s">
        <v>1099</v>
      </c>
      <c r="B290" t="s">
        <v>23</v>
      </c>
      <c r="C290" t="s">
        <v>44</v>
      </c>
      <c r="D290" t="s">
        <v>244</v>
      </c>
      <c r="E290" t="s">
        <v>38</v>
      </c>
      <c r="F290" t="s">
        <v>30</v>
      </c>
      <c r="G290" t="s">
        <v>28</v>
      </c>
      <c r="J290" s="2">
        <v>45588.166666666664</v>
      </c>
      <c r="K290" s="2">
        <v>45582.076316736115</v>
      </c>
      <c r="L290" s="2">
        <v>45224.378194444442</v>
      </c>
      <c r="M290" t="s">
        <v>1977</v>
      </c>
      <c r="N290" t="s">
        <v>1970</v>
      </c>
      <c r="O290" s="2">
        <v>45414.457498506941</v>
      </c>
      <c r="P290" s="2">
        <v>45435.102914282405</v>
      </c>
      <c r="Q290" s="7">
        <f t="shared" si="4"/>
        <v>16</v>
      </c>
    </row>
    <row r="291" spans="1:17" x14ac:dyDescent="0.35">
      <c r="A291" t="s">
        <v>1099</v>
      </c>
      <c r="B291" t="s">
        <v>23</v>
      </c>
      <c r="C291" t="s">
        <v>44</v>
      </c>
      <c r="D291" t="s">
        <v>244</v>
      </c>
      <c r="E291" t="s">
        <v>38</v>
      </c>
      <c r="F291" t="s">
        <v>30</v>
      </c>
      <c r="G291" t="s">
        <v>28</v>
      </c>
      <c r="J291" s="2">
        <v>45588.166666666664</v>
      </c>
      <c r="K291" s="2">
        <v>45582.076316736115</v>
      </c>
      <c r="L291" s="2">
        <v>45224.378194444442</v>
      </c>
      <c r="M291" t="s">
        <v>1982</v>
      </c>
      <c r="N291" t="s">
        <v>1995</v>
      </c>
      <c r="O291" s="2">
        <v>45532.645854409719</v>
      </c>
      <c r="P291" s="2">
        <v>45553.317522372687</v>
      </c>
      <c r="Q291" s="7">
        <f t="shared" si="4"/>
        <v>16</v>
      </c>
    </row>
    <row r="292" spans="1:17" x14ac:dyDescent="0.35">
      <c r="A292" t="s">
        <v>190</v>
      </c>
      <c r="B292" t="s">
        <v>23</v>
      </c>
      <c r="C292" t="s">
        <v>44</v>
      </c>
      <c r="D292" t="s">
        <v>130</v>
      </c>
      <c r="E292" t="s">
        <v>48</v>
      </c>
      <c r="F292" t="s">
        <v>30</v>
      </c>
      <c r="G292" t="s">
        <v>28</v>
      </c>
      <c r="H292">
        <v>1</v>
      </c>
      <c r="J292" s="2">
        <v>45317.208333333336</v>
      </c>
      <c r="K292" s="2">
        <v>45457.59586976852</v>
      </c>
      <c r="L292" s="2">
        <v>45225.676840277774</v>
      </c>
      <c r="M292" t="s">
        <v>1971</v>
      </c>
      <c r="N292" t="s">
        <v>1970</v>
      </c>
      <c r="O292" s="2">
        <v>45239.677748368056</v>
      </c>
      <c r="P292" s="2">
        <v>45246.943705046295</v>
      </c>
      <c r="Q292" s="7">
        <f t="shared" si="4"/>
        <v>7.2659566782385809</v>
      </c>
    </row>
    <row r="293" spans="1:17" x14ac:dyDescent="0.35">
      <c r="A293" t="s">
        <v>190</v>
      </c>
      <c r="B293" t="s">
        <v>23</v>
      </c>
      <c r="C293" t="s">
        <v>44</v>
      </c>
      <c r="D293" t="s">
        <v>130</v>
      </c>
      <c r="E293" t="s">
        <v>48</v>
      </c>
      <c r="F293" t="s">
        <v>30</v>
      </c>
      <c r="G293" t="s">
        <v>28</v>
      </c>
      <c r="H293">
        <v>1</v>
      </c>
      <c r="J293" s="2">
        <v>45317.208333333336</v>
      </c>
      <c r="K293" s="2">
        <v>45457.59586976852</v>
      </c>
      <c r="L293" s="2">
        <v>45225.676840277774</v>
      </c>
      <c r="M293" t="s">
        <v>1971</v>
      </c>
      <c r="N293" t="s">
        <v>1970</v>
      </c>
      <c r="O293" s="2">
        <v>45257.807885856484</v>
      </c>
      <c r="P293" s="2">
        <v>45310.825966932869</v>
      </c>
      <c r="Q293" s="7">
        <f t="shared" si="4"/>
        <v>53.018081076384988</v>
      </c>
    </row>
    <row r="294" spans="1:17" x14ac:dyDescent="0.35">
      <c r="A294" t="s">
        <v>190</v>
      </c>
      <c r="B294" t="s">
        <v>23</v>
      </c>
      <c r="C294" t="s">
        <v>44</v>
      </c>
      <c r="D294" t="s">
        <v>130</v>
      </c>
      <c r="E294" t="s">
        <v>48</v>
      </c>
      <c r="F294" t="s">
        <v>30</v>
      </c>
      <c r="G294" t="s">
        <v>28</v>
      </c>
      <c r="H294">
        <v>1</v>
      </c>
      <c r="J294" s="2">
        <v>45317.208333333336</v>
      </c>
      <c r="K294" s="2">
        <v>45457.59586976852</v>
      </c>
      <c r="L294" s="2">
        <v>45225.676840277774</v>
      </c>
      <c r="M294" t="s">
        <v>1971</v>
      </c>
      <c r="N294" t="s">
        <v>1970</v>
      </c>
      <c r="O294" s="2">
        <v>45313.831723240743</v>
      </c>
      <c r="P294" s="2">
        <v>45314.677755219906</v>
      </c>
      <c r="Q294" s="7">
        <f t="shared" si="4"/>
        <v>0.84603197916294448</v>
      </c>
    </row>
    <row r="295" spans="1:17" x14ac:dyDescent="0.35">
      <c r="A295" t="s">
        <v>529</v>
      </c>
      <c r="B295" t="s">
        <v>23</v>
      </c>
      <c r="C295" t="s">
        <v>44</v>
      </c>
      <c r="D295" t="s">
        <v>113</v>
      </c>
      <c r="E295" t="s">
        <v>38</v>
      </c>
      <c r="F295" t="s">
        <v>30</v>
      </c>
      <c r="G295" t="s">
        <v>28</v>
      </c>
      <c r="H295">
        <v>8</v>
      </c>
      <c r="J295" s="2">
        <v>45344.208333333336</v>
      </c>
      <c r="K295" s="2">
        <v>45331.524656076392</v>
      </c>
      <c r="L295" s="2">
        <v>45225.80269675926</v>
      </c>
      <c r="M295" t="s">
        <v>1972</v>
      </c>
      <c r="N295" t="s">
        <v>1970</v>
      </c>
      <c r="O295" s="2">
        <v>45257.589015324076</v>
      </c>
      <c r="P295" s="2">
        <v>45261.742988680555</v>
      </c>
      <c r="Q295" s="7">
        <f t="shared" si="4"/>
        <v>5</v>
      </c>
    </row>
    <row r="296" spans="1:17" x14ac:dyDescent="0.35">
      <c r="A296" t="s">
        <v>384</v>
      </c>
      <c r="B296" t="s">
        <v>23</v>
      </c>
      <c r="C296" t="s">
        <v>44</v>
      </c>
      <c r="D296" t="s">
        <v>43</v>
      </c>
      <c r="E296" t="s">
        <v>48</v>
      </c>
      <c r="F296" t="s">
        <v>30</v>
      </c>
      <c r="G296" t="s">
        <v>28</v>
      </c>
      <c r="H296">
        <v>4</v>
      </c>
      <c r="J296" s="2">
        <v>45338.208333333336</v>
      </c>
      <c r="K296" s="2">
        <v>45376.552259016207</v>
      </c>
      <c r="L296" s="2">
        <v>45226.518969907411</v>
      </c>
      <c r="M296" t="s">
        <v>1980</v>
      </c>
      <c r="N296" t="s">
        <v>1970</v>
      </c>
      <c r="O296" s="2">
        <v>45320.723995243054</v>
      </c>
      <c r="P296" s="2">
        <v>45343.813561122683</v>
      </c>
      <c r="Q296" s="7">
        <f t="shared" si="4"/>
        <v>23.089565879628935</v>
      </c>
    </row>
    <row r="297" spans="1:17" x14ac:dyDescent="0.35">
      <c r="A297" t="s">
        <v>387</v>
      </c>
      <c r="B297" t="s">
        <v>23</v>
      </c>
      <c r="C297" t="s">
        <v>44</v>
      </c>
      <c r="D297" t="s">
        <v>135</v>
      </c>
      <c r="E297" t="s">
        <v>32</v>
      </c>
      <c r="F297" t="s">
        <v>30</v>
      </c>
      <c r="G297" t="s">
        <v>28</v>
      </c>
      <c r="H297">
        <v>4</v>
      </c>
      <c r="J297" s="2">
        <v>45310.208333333336</v>
      </c>
      <c r="K297" s="2">
        <v>45432.690627662036</v>
      </c>
      <c r="L297" s="2">
        <v>45226.613217592596</v>
      </c>
      <c r="M297" t="s">
        <v>1972</v>
      </c>
      <c r="N297" t="s">
        <v>1970</v>
      </c>
      <c r="O297" s="2">
        <v>45230.667131018519</v>
      </c>
      <c r="P297" s="2">
        <v>45260.647536342593</v>
      </c>
      <c r="Q297" s="7">
        <f t="shared" si="4"/>
        <v>23</v>
      </c>
    </row>
    <row r="298" spans="1:17" x14ac:dyDescent="0.35">
      <c r="A298" t="s">
        <v>387</v>
      </c>
      <c r="B298" t="s">
        <v>23</v>
      </c>
      <c r="C298" t="s">
        <v>44</v>
      </c>
      <c r="D298" t="s">
        <v>135</v>
      </c>
      <c r="E298" t="s">
        <v>32</v>
      </c>
      <c r="F298" t="s">
        <v>30</v>
      </c>
      <c r="G298" t="s">
        <v>28</v>
      </c>
      <c r="H298">
        <v>4</v>
      </c>
      <c r="J298" s="2">
        <v>45310.208333333336</v>
      </c>
      <c r="K298" s="2">
        <v>45432.690627662036</v>
      </c>
      <c r="L298" s="2">
        <v>45226.613217592596</v>
      </c>
      <c r="M298" t="s">
        <v>1971</v>
      </c>
      <c r="N298" t="s">
        <v>1970</v>
      </c>
      <c r="O298" s="2">
        <v>45238.83503451389</v>
      </c>
      <c r="P298" s="2">
        <v>45260.64717596065</v>
      </c>
      <c r="Q298" s="7">
        <f t="shared" si="4"/>
        <v>17</v>
      </c>
    </row>
    <row r="299" spans="1:17" x14ac:dyDescent="0.35">
      <c r="A299" t="s">
        <v>387</v>
      </c>
      <c r="B299" t="s">
        <v>23</v>
      </c>
      <c r="C299" t="s">
        <v>44</v>
      </c>
      <c r="D299" t="s">
        <v>135</v>
      </c>
      <c r="E299" t="s">
        <v>32</v>
      </c>
      <c r="F299" t="s">
        <v>30</v>
      </c>
      <c r="G299" t="s">
        <v>28</v>
      </c>
      <c r="H299">
        <v>4</v>
      </c>
      <c r="J299" s="2">
        <v>45310.208333333336</v>
      </c>
      <c r="K299" s="2">
        <v>45432.690627662036</v>
      </c>
      <c r="L299" s="2">
        <v>45226.613217592596</v>
      </c>
      <c r="M299" t="s">
        <v>1971</v>
      </c>
      <c r="N299" t="s">
        <v>1970</v>
      </c>
      <c r="O299" s="2">
        <v>45266.840658356479</v>
      </c>
      <c r="P299" s="2">
        <v>45293.663946574074</v>
      </c>
      <c r="Q299" s="7">
        <f t="shared" si="4"/>
        <v>20</v>
      </c>
    </row>
    <row r="300" spans="1:17" x14ac:dyDescent="0.35">
      <c r="A300" t="s">
        <v>387</v>
      </c>
      <c r="B300" t="s">
        <v>23</v>
      </c>
      <c r="C300" t="s">
        <v>44</v>
      </c>
      <c r="D300" t="s">
        <v>135</v>
      </c>
      <c r="E300" t="s">
        <v>32</v>
      </c>
      <c r="F300" t="s">
        <v>30</v>
      </c>
      <c r="G300" t="s">
        <v>28</v>
      </c>
      <c r="H300">
        <v>4</v>
      </c>
      <c r="J300" s="2">
        <v>45310.208333333336</v>
      </c>
      <c r="K300" s="2">
        <v>45432.690627662036</v>
      </c>
      <c r="L300" s="2">
        <v>45226.613217592596</v>
      </c>
      <c r="M300" t="s">
        <v>1988</v>
      </c>
      <c r="N300" t="s">
        <v>1970</v>
      </c>
      <c r="O300" s="2">
        <v>45309.684158993055</v>
      </c>
      <c r="P300" s="2">
        <v>45362.691283032407</v>
      </c>
      <c r="Q300" s="7">
        <f t="shared" si="4"/>
        <v>38</v>
      </c>
    </row>
    <row r="301" spans="1:17" x14ac:dyDescent="0.35">
      <c r="A301" t="s">
        <v>1524</v>
      </c>
      <c r="B301" t="s">
        <v>23</v>
      </c>
      <c r="C301" t="s">
        <v>44</v>
      </c>
      <c r="D301" t="s">
        <v>113</v>
      </c>
      <c r="E301" t="s">
        <v>38</v>
      </c>
      <c r="F301" t="s">
        <v>30</v>
      </c>
      <c r="G301" t="s">
        <v>1441</v>
      </c>
      <c r="H301">
        <v>5</v>
      </c>
      <c r="J301" s="2">
        <v>45366.166666666664</v>
      </c>
      <c r="K301" s="2">
        <v>45441.794527962964</v>
      </c>
      <c r="L301" s="2">
        <v>45229.633159722223</v>
      </c>
      <c r="M301" t="s">
        <v>1971</v>
      </c>
      <c r="N301" t="s">
        <v>1970</v>
      </c>
      <c r="O301" s="2">
        <v>45239.699254479165</v>
      </c>
      <c r="P301" s="2">
        <v>45265.847285428237</v>
      </c>
      <c r="Q301" s="7">
        <f t="shared" si="4"/>
        <v>19</v>
      </c>
    </row>
    <row r="302" spans="1:17" x14ac:dyDescent="0.35">
      <c r="A302" t="s">
        <v>1524</v>
      </c>
      <c r="B302" t="s">
        <v>23</v>
      </c>
      <c r="C302" t="s">
        <v>44</v>
      </c>
      <c r="D302" t="s">
        <v>113</v>
      </c>
      <c r="E302" t="s">
        <v>38</v>
      </c>
      <c r="F302" t="s">
        <v>30</v>
      </c>
      <c r="G302" t="s">
        <v>1441</v>
      </c>
      <c r="H302">
        <v>5</v>
      </c>
      <c r="J302" s="2">
        <v>45366.166666666664</v>
      </c>
      <c r="K302" s="2">
        <v>45441.794527962964</v>
      </c>
      <c r="L302" s="2">
        <v>45229.633159722223</v>
      </c>
      <c r="M302" t="s">
        <v>1971</v>
      </c>
      <c r="N302" t="s">
        <v>1970</v>
      </c>
      <c r="O302" s="2">
        <v>45299.672425949073</v>
      </c>
      <c r="P302" s="2">
        <v>45405.628682546296</v>
      </c>
      <c r="Q302" s="7">
        <f t="shared" si="4"/>
        <v>77</v>
      </c>
    </row>
    <row r="303" spans="1:17" x14ac:dyDescent="0.35">
      <c r="A303" t="s">
        <v>194</v>
      </c>
      <c r="B303" t="s">
        <v>23</v>
      </c>
      <c r="C303" t="s">
        <v>44</v>
      </c>
      <c r="D303" t="s">
        <v>113</v>
      </c>
      <c r="E303" t="s">
        <v>38</v>
      </c>
      <c r="F303" t="s">
        <v>30</v>
      </c>
      <c r="G303" t="s">
        <v>28</v>
      </c>
      <c r="H303">
        <v>1</v>
      </c>
      <c r="J303" s="2">
        <v>45371.166666666664</v>
      </c>
      <c r="K303" s="2">
        <v>45405.892162627315</v>
      </c>
      <c r="L303" s="2">
        <v>45236.671180555553</v>
      </c>
      <c r="M303" t="s">
        <v>1971</v>
      </c>
      <c r="N303" t="s">
        <v>1970</v>
      </c>
      <c r="O303" s="2">
        <v>45257.611498206017</v>
      </c>
      <c r="P303" s="2">
        <v>45261.873215254629</v>
      </c>
      <c r="Q303" s="7">
        <f t="shared" si="4"/>
        <v>5</v>
      </c>
    </row>
    <row r="304" spans="1:17" x14ac:dyDescent="0.35">
      <c r="A304" t="s">
        <v>194</v>
      </c>
      <c r="B304" t="s">
        <v>23</v>
      </c>
      <c r="C304" t="s">
        <v>44</v>
      </c>
      <c r="D304" t="s">
        <v>113</v>
      </c>
      <c r="E304" t="s">
        <v>38</v>
      </c>
      <c r="F304" t="s">
        <v>30</v>
      </c>
      <c r="G304" t="s">
        <v>28</v>
      </c>
      <c r="H304">
        <v>1</v>
      </c>
      <c r="J304" s="2">
        <v>45371.166666666664</v>
      </c>
      <c r="K304" s="2">
        <v>45405.892162627315</v>
      </c>
      <c r="L304" s="2">
        <v>45236.671180555553</v>
      </c>
      <c r="M304" t="s">
        <v>1980</v>
      </c>
      <c r="N304" t="s">
        <v>1970</v>
      </c>
      <c r="O304" s="2">
        <v>45296.795572060182</v>
      </c>
      <c r="P304" s="2">
        <v>45323.602219340275</v>
      </c>
      <c r="Q304" s="7">
        <f t="shared" si="4"/>
        <v>20</v>
      </c>
    </row>
    <row r="305" spans="1:17" x14ac:dyDescent="0.35">
      <c r="A305" t="s">
        <v>1069</v>
      </c>
      <c r="B305" t="s">
        <v>23</v>
      </c>
      <c r="C305" t="s">
        <v>44</v>
      </c>
      <c r="D305" t="s">
        <v>76</v>
      </c>
      <c r="E305" t="s">
        <v>32</v>
      </c>
      <c r="F305" t="s">
        <v>30</v>
      </c>
      <c r="G305" t="s">
        <v>28</v>
      </c>
      <c r="J305" s="2">
        <v>45317.208333333336</v>
      </c>
      <c r="K305" s="2">
        <v>45341.945419502314</v>
      </c>
      <c r="L305" s="2">
        <v>45236.680254629631</v>
      </c>
      <c r="M305" t="s">
        <v>1971</v>
      </c>
      <c r="N305" t="s">
        <v>1970</v>
      </c>
      <c r="O305" s="2">
        <v>45246.693268923613</v>
      </c>
      <c r="P305" s="2">
        <v>45267.901368159721</v>
      </c>
      <c r="Q305" s="7">
        <f t="shared" si="4"/>
        <v>16</v>
      </c>
    </row>
    <row r="306" spans="1:17" x14ac:dyDescent="0.35">
      <c r="A306" t="s">
        <v>922</v>
      </c>
      <c r="B306" t="s">
        <v>23</v>
      </c>
      <c r="C306" t="s">
        <v>44</v>
      </c>
      <c r="D306" t="s">
        <v>409</v>
      </c>
      <c r="E306" t="s">
        <v>48</v>
      </c>
      <c r="F306" t="s">
        <v>30</v>
      </c>
      <c r="G306" t="s">
        <v>28</v>
      </c>
      <c r="H306">
        <v>20</v>
      </c>
      <c r="J306" s="2">
        <v>45750.166666666664</v>
      </c>
      <c r="K306" s="2">
        <v>45847.636121909723</v>
      </c>
      <c r="L306" s="2">
        <v>45236.862349537034</v>
      </c>
      <c r="M306" t="s">
        <v>1969</v>
      </c>
      <c r="N306" t="s">
        <v>1970</v>
      </c>
      <c r="O306" s="2">
        <v>45363.842042326389</v>
      </c>
      <c r="P306" s="2">
        <v>45377.683716331019</v>
      </c>
      <c r="Q306" s="7">
        <f t="shared" si="4"/>
        <v>13.841674004630477</v>
      </c>
    </row>
    <row r="307" spans="1:17" x14ac:dyDescent="0.35">
      <c r="A307" t="s">
        <v>922</v>
      </c>
      <c r="B307" t="s">
        <v>23</v>
      </c>
      <c r="C307" t="s">
        <v>44</v>
      </c>
      <c r="D307" t="s">
        <v>409</v>
      </c>
      <c r="E307" t="s">
        <v>48</v>
      </c>
      <c r="F307" t="s">
        <v>30</v>
      </c>
      <c r="G307" t="s">
        <v>28</v>
      </c>
      <c r="H307">
        <v>20</v>
      </c>
      <c r="J307" s="2">
        <v>45750.166666666664</v>
      </c>
      <c r="K307" s="2">
        <v>45847.636121909723</v>
      </c>
      <c r="L307" s="2">
        <v>45236.862349537034</v>
      </c>
      <c r="M307" t="s">
        <v>1980</v>
      </c>
      <c r="N307" t="s">
        <v>1984</v>
      </c>
      <c r="O307" s="2">
        <v>45497.75073310185</v>
      </c>
      <c r="P307" s="2">
        <v>45498.510727696761</v>
      </c>
      <c r="Q307" s="7">
        <f t="shared" si="4"/>
        <v>0.75999459491140442</v>
      </c>
    </row>
    <row r="308" spans="1:17" x14ac:dyDescent="0.35">
      <c r="A308" t="s">
        <v>429</v>
      </c>
      <c r="B308" t="s">
        <v>23</v>
      </c>
      <c r="C308" t="s">
        <v>44</v>
      </c>
      <c r="D308" t="s">
        <v>76</v>
      </c>
      <c r="E308" t="s">
        <v>57</v>
      </c>
      <c r="F308" t="s">
        <v>30</v>
      </c>
      <c r="G308" t="s">
        <v>28</v>
      </c>
      <c r="H308">
        <v>5</v>
      </c>
      <c r="J308" s="2">
        <v>45351.208333333336</v>
      </c>
      <c r="K308" s="2">
        <v>45343.676331249997</v>
      </c>
      <c r="L308" s="2">
        <v>45236.874108796299</v>
      </c>
      <c r="M308" t="s">
        <v>1969</v>
      </c>
      <c r="N308" t="s">
        <v>1970</v>
      </c>
      <c r="O308" s="2">
        <v>45243.66514109954</v>
      </c>
      <c r="P308" s="2">
        <v>45247.756173506947</v>
      </c>
      <c r="Q308" s="7">
        <f t="shared" si="4"/>
        <v>5</v>
      </c>
    </row>
    <row r="309" spans="1:17" x14ac:dyDescent="0.35">
      <c r="A309" t="s">
        <v>429</v>
      </c>
      <c r="B309" t="s">
        <v>23</v>
      </c>
      <c r="C309" t="s">
        <v>44</v>
      </c>
      <c r="D309" t="s">
        <v>76</v>
      </c>
      <c r="E309" t="s">
        <v>57</v>
      </c>
      <c r="F309" t="s">
        <v>30</v>
      </c>
      <c r="G309" t="s">
        <v>28</v>
      </c>
      <c r="H309">
        <v>5</v>
      </c>
      <c r="J309" s="2">
        <v>45351.208333333336</v>
      </c>
      <c r="K309" s="2">
        <v>45343.676331249997</v>
      </c>
      <c r="L309" s="2">
        <v>45236.874108796299</v>
      </c>
      <c r="M309" t="s">
        <v>1971</v>
      </c>
      <c r="N309" t="s">
        <v>1970</v>
      </c>
      <c r="O309" s="2">
        <v>45266.835704803241</v>
      </c>
      <c r="P309" s="2">
        <v>45267.788283819442</v>
      </c>
      <c r="Q309" s="7">
        <f t="shared" si="4"/>
        <v>2</v>
      </c>
    </row>
    <row r="310" spans="1:17" x14ac:dyDescent="0.35">
      <c r="A310" t="s">
        <v>429</v>
      </c>
      <c r="B310" t="s">
        <v>23</v>
      </c>
      <c r="C310" t="s">
        <v>44</v>
      </c>
      <c r="D310" t="s">
        <v>76</v>
      </c>
      <c r="E310" t="s">
        <v>57</v>
      </c>
      <c r="F310" t="s">
        <v>30</v>
      </c>
      <c r="G310" t="s">
        <v>28</v>
      </c>
      <c r="H310">
        <v>5</v>
      </c>
      <c r="J310" s="2">
        <v>45351.208333333336</v>
      </c>
      <c r="K310" s="2">
        <v>45343.676331249997</v>
      </c>
      <c r="L310" s="2">
        <v>45236.874108796299</v>
      </c>
      <c r="M310" t="s">
        <v>1980</v>
      </c>
      <c r="N310" t="s">
        <v>1970</v>
      </c>
      <c r="O310" s="2">
        <v>45266.862186840277</v>
      </c>
      <c r="P310" s="2">
        <v>45275.1512883912</v>
      </c>
      <c r="Q310" s="7">
        <f t="shared" si="4"/>
        <v>8</v>
      </c>
    </row>
    <row r="311" spans="1:17" x14ac:dyDescent="0.35">
      <c r="A311" t="s">
        <v>516</v>
      </c>
      <c r="B311" t="s">
        <v>23</v>
      </c>
      <c r="C311" t="s">
        <v>44</v>
      </c>
      <c r="D311" t="s">
        <v>54</v>
      </c>
      <c r="E311" t="s">
        <v>38</v>
      </c>
      <c r="F311" t="s">
        <v>30</v>
      </c>
      <c r="G311" t="s">
        <v>28</v>
      </c>
      <c r="H311">
        <v>7</v>
      </c>
      <c r="J311" s="2">
        <v>45352.208333333336</v>
      </c>
      <c r="K311" s="2">
        <v>45338.161683935185</v>
      </c>
      <c r="L311" s="2">
        <v>45238.526041666664</v>
      </c>
      <c r="M311" t="s">
        <v>1969</v>
      </c>
      <c r="N311" t="s">
        <v>1995</v>
      </c>
      <c r="O311" s="2">
        <v>45247.718359155093</v>
      </c>
      <c r="P311" s="2">
        <v>45258.058683356481</v>
      </c>
      <c r="Q311" s="7">
        <f t="shared" si="4"/>
        <v>8</v>
      </c>
    </row>
    <row r="312" spans="1:17" x14ac:dyDescent="0.35">
      <c r="A312" t="s">
        <v>320</v>
      </c>
      <c r="B312" t="s">
        <v>23</v>
      </c>
      <c r="C312" t="s">
        <v>44</v>
      </c>
      <c r="D312" t="s">
        <v>54</v>
      </c>
      <c r="E312" t="s">
        <v>57</v>
      </c>
      <c r="F312" t="s">
        <v>30</v>
      </c>
      <c r="G312" t="s">
        <v>28</v>
      </c>
      <c r="H312">
        <v>2</v>
      </c>
      <c r="J312" s="2">
        <v>45474.166666666664</v>
      </c>
      <c r="K312" s="2">
        <v>45558.049577905091</v>
      </c>
      <c r="L312" s="2">
        <v>45238.530949074076</v>
      </c>
      <c r="M312" t="s">
        <v>1969</v>
      </c>
      <c r="N312" t="s">
        <v>1995</v>
      </c>
      <c r="O312" s="2">
        <v>45265.078503275465</v>
      </c>
      <c r="P312" s="2">
        <v>45273.746516273146</v>
      </c>
      <c r="Q312" s="7">
        <f t="shared" si="4"/>
        <v>7</v>
      </c>
    </row>
    <row r="313" spans="1:17" x14ac:dyDescent="0.35">
      <c r="A313" t="s">
        <v>320</v>
      </c>
      <c r="B313" t="s">
        <v>23</v>
      </c>
      <c r="C313" t="s">
        <v>44</v>
      </c>
      <c r="D313" t="s">
        <v>54</v>
      </c>
      <c r="E313" t="s">
        <v>57</v>
      </c>
      <c r="F313" t="s">
        <v>30</v>
      </c>
      <c r="G313" t="s">
        <v>28</v>
      </c>
      <c r="H313">
        <v>2</v>
      </c>
      <c r="J313" s="2">
        <v>45474.166666666664</v>
      </c>
      <c r="K313" s="2">
        <v>45558.049577905091</v>
      </c>
      <c r="L313" s="2">
        <v>45238.530949074076</v>
      </c>
      <c r="M313" t="s">
        <v>1969</v>
      </c>
      <c r="N313" t="s">
        <v>1995</v>
      </c>
      <c r="O313" s="2">
        <v>45306.527618912034</v>
      </c>
      <c r="P313" s="2">
        <v>45352.299957476855</v>
      </c>
      <c r="Q313" s="7">
        <f t="shared" si="4"/>
        <v>35</v>
      </c>
    </row>
    <row r="314" spans="1:17" x14ac:dyDescent="0.35">
      <c r="A314" t="s">
        <v>320</v>
      </c>
      <c r="B314" t="s">
        <v>23</v>
      </c>
      <c r="C314" t="s">
        <v>44</v>
      </c>
      <c r="D314" t="s">
        <v>54</v>
      </c>
      <c r="E314" t="s">
        <v>57</v>
      </c>
      <c r="F314" t="s">
        <v>30</v>
      </c>
      <c r="G314" t="s">
        <v>28</v>
      </c>
      <c r="H314">
        <v>2</v>
      </c>
      <c r="J314" s="2">
        <v>45474.166666666664</v>
      </c>
      <c r="K314" s="2">
        <v>45558.049577905091</v>
      </c>
      <c r="L314" s="2">
        <v>45238.530949074076</v>
      </c>
      <c r="M314" t="s">
        <v>1971</v>
      </c>
      <c r="N314" t="s">
        <v>1970</v>
      </c>
      <c r="O314" s="2">
        <v>45364.12077296296</v>
      </c>
      <c r="P314" s="2">
        <v>45386.026560509257</v>
      </c>
      <c r="Q314" s="7">
        <f t="shared" si="4"/>
        <v>17</v>
      </c>
    </row>
    <row r="315" spans="1:17" x14ac:dyDescent="0.35">
      <c r="A315" t="s">
        <v>320</v>
      </c>
      <c r="B315" t="s">
        <v>23</v>
      </c>
      <c r="C315" t="s">
        <v>44</v>
      </c>
      <c r="D315" t="s">
        <v>54</v>
      </c>
      <c r="E315" t="s">
        <v>57</v>
      </c>
      <c r="F315" t="s">
        <v>30</v>
      </c>
      <c r="G315" t="s">
        <v>28</v>
      </c>
      <c r="H315">
        <v>2</v>
      </c>
      <c r="J315" s="2">
        <v>45474.166666666664</v>
      </c>
      <c r="K315" s="2">
        <v>45558.049577905091</v>
      </c>
      <c r="L315" s="2">
        <v>45238.530949074076</v>
      </c>
      <c r="M315" t="s">
        <v>1972</v>
      </c>
      <c r="N315" t="s">
        <v>1970</v>
      </c>
      <c r="O315" s="2">
        <v>45393.326751701388</v>
      </c>
      <c r="P315" s="2">
        <v>45397.033661689813</v>
      </c>
      <c r="Q315" s="7">
        <f t="shared" si="4"/>
        <v>3</v>
      </c>
    </row>
    <row r="316" spans="1:17" x14ac:dyDescent="0.35">
      <c r="A316" t="s">
        <v>391</v>
      </c>
      <c r="B316" t="s">
        <v>23</v>
      </c>
      <c r="C316" t="s">
        <v>44</v>
      </c>
      <c r="D316" t="s">
        <v>54</v>
      </c>
      <c r="E316" t="s">
        <v>38</v>
      </c>
      <c r="F316" t="s">
        <v>30</v>
      </c>
      <c r="G316" t="s">
        <v>28</v>
      </c>
      <c r="H316">
        <v>4</v>
      </c>
      <c r="J316" s="2">
        <v>45448.166666666664</v>
      </c>
      <c r="K316" s="2">
        <v>45559.208717152775</v>
      </c>
      <c r="L316" s="2">
        <v>45238.538981481484</v>
      </c>
      <c r="M316" t="s">
        <v>1969</v>
      </c>
      <c r="N316" t="s">
        <v>1995</v>
      </c>
      <c r="O316" s="2">
        <v>45247.757819270832</v>
      </c>
      <c r="P316" s="2">
        <v>45258.066238715277</v>
      </c>
      <c r="Q316" s="7">
        <f t="shared" si="4"/>
        <v>8</v>
      </c>
    </row>
    <row r="317" spans="1:17" x14ac:dyDescent="0.35">
      <c r="A317" t="s">
        <v>391</v>
      </c>
      <c r="B317" t="s">
        <v>23</v>
      </c>
      <c r="C317" t="s">
        <v>44</v>
      </c>
      <c r="D317" t="s">
        <v>54</v>
      </c>
      <c r="E317" t="s">
        <v>38</v>
      </c>
      <c r="F317" t="s">
        <v>30</v>
      </c>
      <c r="G317" t="s">
        <v>28</v>
      </c>
      <c r="H317">
        <v>4</v>
      </c>
      <c r="J317" s="2">
        <v>45448.166666666664</v>
      </c>
      <c r="K317" s="2">
        <v>45559.208717152775</v>
      </c>
      <c r="L317" s="2">
        <v>45238.538981481484</v>
      </c>
      <c r="M317" t="s">
        <v>1969</v>
      </c>
      <c r="N317" t="s">
        <v>1970</v>
      </c>
      <c r="O317" s="2">
        <v>45271.236776863429</v>
      </c>
      <c r="P317" s="2">
        <v>45280.446221388891</v>
      </c>
      <c r="Q317" s="7">
        <f t="shared" si="4"/>
        <v>8</v>
      </c>
    </row>
    <row r="318" spans="1:17" x14ac:dyDescent="0.35">
      <c r="A318" t="s">
        <v>391</v>
      </c>
      <c r="B318" t="s">
        <v>23</v>
      </c>
      <c r="C318" t="s">
        <v>44</v>
      </c>
      <c r="D318" t="s">
        <v>54</v>
      </c>
      <c r="E318" t="s">
        <v>38</v>
      </c>
      <c r="F318" t="s">
        <v>30</v>
      </c>
      <c r="G318" t="s">
        <v>28</v>
      </c>
      <c r="H318">
        <v>4</v>
      </c>
      <c r="J318" s="2">
        <v>45448.166666666664</v>
      </c>
      <c r="K318" s="2">
        <v>45559.208717152775</v>
      </c>
      <c r="L318" s="2">
        <v>45238.538981481484</v>
      </c>
      <c r="M318" t="s">
        <v>1969</v>
      </c>
      <c r="N318" t="s">
        <v>1970</v>
      </c>
      <c r="O318" s="2">
        <v>45288.108652986113</v>
      </c>
      <c r="P318" s="2">
        <v>45301.517676608797</v>
      </c>
      <c r="Q318" s="7">
        <f t="shared" si="4"/>
        <v>10</v>
      </c>
    </row>
    <row r="319" spans="1:17" x14ac:dyDescent="0.35">
      <c r="A319" t="s">
        <v>391</v>
      </c>
      <c r="B319" t="s">
        <v>23</v>
      </c>
      <c r="C319" t="s">
        <v>44</v>
      </c>
      <c r="D319" t="s">
        <v>54</v>
      </c>
      <c r="E319" t="s">
        <v>38</v>
      </c>
      <c r="F319" t="s">
        <v>30</v>
      </c>
      <c r="G319" t="s">
        <v>28</v>
      </c>
      <c r="H319">
        <v>4</v>
      </c>
      <c r="J319" s="2">
        <v>45448.166666666664</v>
      </c>
      <c r="K319" s="2">
        <v>45559.208717152775</v>
      </c>
      <c r="L319" s="2">
        <v>45238.538981481484</v>
      </c>
      <c r="M319" t="s">
        <v>1969</v>
      </c>
      <c r="N319" t="s">
        <v>1970</v>
      </c>
      <c r="O319" s="2">
        <v>45336.59731740741</v>
      </c>
      <c r="P319" s="2">
        <v>45349.292620486114</v>
      </c>
      <c r="Q319" s="7">
        <f t="shared" si="4"/>
        <v>10</v>
      </c>
    </row>
    <row r="320" spans="1:17" x14ac:dyDescent="0.35">
      <c r="A320" t="s">
        <v>391</v>
      </c>
      <c r="B320" t="s">
        <v>23</v>
      </c>
      <c r="C320" t="s">
        <v>44</v>
      </c>
      <c r="D320" t="s">
        <v>54</v>
      </c>
      <c r="E320" t="s">
        <v>38</v>
      </c>
      <c r="F320" t="s">
        <v>30</v>
      </c>
      <c r="G320" t="s">
        <v>28</v>
      </c>
      <c r="H320">
        <v>4</v>
      </c>
      <c r="J320" s="2">
        <v>45448.166666666664</v>
      </c>
      <c r="K320" s="2">
        <v>45559.208717152775</v>
      </c>
      <c r="L320" s="2">
        <v>45238.538981481484</v>
      </c>
      <c r="M320" t="s">
        <v>1980</v>
      </c>
      <c r="N320" t="s">
        <v>1970</v>
      </c>
      <c r="O320" s="2">
        <v>45342.618179328703</v>
      </c>
      <c r="P320" s="2">
        <v>45348.867707430552</v>
      </c>
      <c r="Q320" s="7">
        <f t="shared" si="4"/>
        <v>5</v>
      </c>
    </row>
    <row r="321" spans="1:17" x14ac:dyDescent="0.35">
      <c r="A321" t="s">
        <v>391</v>
      </c>
      <c r="B321" t="s">
        <v>23</v>
      </c>
      <c r="C321" t="s">
        <v>44</v>
      </c>
      <c r="D321" t="s">
        <v>54</v>
      </c>
      <c r="E321" t="s">
        <v>38</v>
      </c>
      <c r="F321" t="s">
        <v>30</v>
      </c>
      <c r="G321" t="s">
        <v>28</v>
      </c>
      <c r="H321">
        <v>4</v>
      </c>
      <c r="J321" s="2">
        <v>45448.166666666664</v>
      </c>
      <c r="K321" s="2">
        <v>45559.208717152775</v>
      </c>
      <c r="L321" s="2">
        <v>45238.538981481484</v>
      </c>
      <c r="M321" t="s">
        <v>1971</v>
      </c>
      <c r="N321" t="s">
        <v>1970</v>
      </c>
      <c r="O321" s="2">
        <v>45363.59508215278</v>
      </c>
      <c r="P321" s="2">
        <v>45364.350615474534</v>
      </c>
      <c r="Q321" s="7">
        <f t="shared" si="4"/>
        <v>2</v>
      </c>
    </row>
    <row r="322" spans="1:17" x14ac:dyDescent="0.35">
      <c r="A322" t="s">
        <v>1560</v>
      </c>
      <c r="B322" t="s">
        <v>23</v>
      </c>
      <c r="C322" t="s">
        <v>44</v>
      </c>
      <c r="D322" t="s">
        <v>54</v>
      </c>
      <c r="E322" t="s">
        <v>38</v>
      </c>
      <c r="F322" t="s">
        <v>30</v>
      </c>
      <c r="G322" t="s">
        <v>1441</v>
      </c>
      <c r="H322">
        <v>9</v>
      </c>
      <c r="J322" s="2">
        <v>45393.166666666664</v>
      </c>
      <c r="K322" s="2">
        <v>45372.064474918981</v>
      </c>
      <c r="L322" s="2">
        <v>45240.583148148151</v>
      </c>
      <c r="M322" t="s">
        <v>1969</v>
      </c>
      <c r="N322" t="s">
        <v>1995</v>
      </c>
      <c r="O322" s="2">
        <v>45265.806438194442</v>
      </c>
      <c r="P322" s="2">
        <v>45300.644714733797</v>
      </c>
      <c r="Q322" s="7">
        <f t="shared" si="4"/>
        <v>26</v>
      </c>
    </row>
    <row r="323" spans="1:17" x14ac:dyDescent="0.35">
      <c r="A323" t="s">
        <v>1560</v>
      </c>
      <c r="B323" t="s">
        <v>23</v>
      </c>
      <c r="C323" t="s">
        <v>44</v>
      </c>
      <c r="D323" t="s">
        <v>54</v>
      </c>
      <c r="E323" t="s">
        <v>38</v>
      </c>
      <c r="F323" t="s">
        <v>30</v>
      </c>
      <c r="G323" t="s">
        <v>1441</v>
      </c>
      <c r="H323">
        <v>9</v>
      </c>
      <c r="J323" s="2">
        <v>45393.166666666664</v>
      </c>
      <c r="K323" s="2">
        <v>45372.064474918981</v>
      </c>
      <c r="L323" s="2">
        <v>45240.583148148151</v>
      </c>
      <c r="M323" t="s">
        <v>1971</v>
      </c>
      <c r="N323" t="s">
        <v>1970</v>
      </c>
      <c r="O323" s="2">
        <v>45315.686595092593</v>
      </c>
      <c r="P323" s="2">
        <v>45323.428155729169</v>
      </c>
      <c r="Q323" s="7">
        <f t="shared" ref="Q323:Q386" si="5">IF(OR(O323="", P323=""), "", IF(OR(E323="PW1000G", E323="PW800"), P323 - O323, NETWORKDAYS(O323, P323)))</f>
        <v>7</v>
      </c>
    </row>
    <row r="324" spans="1:17" x14ac:dyDescent="0.35">
      <c r="A324" t="s">
        <v>1071</v>
      </c>
      <c r="B324" t="s">
        <v>23</v>
      </c>
      <c r="C324" t="s">
        <v>44</v>
      </c>
      <c r="D324" t="s">
        <v>135</v>
      </c>
      <c r="E324" t="s">
        <v>32</v>
      </c>
      <c r="F324" t="s">
        <v>30</v>
      </c>
      <c r="G324" t="s">
        <v>28</v>
      </c>
      <c r="J324" s="2">
        <v>45371.166666666664</v>
      </c>
      <c r="K324" s="2">
        <v>45416.15436922454</v>
      </c>
      <c r="L324" s="2">
        <v>45240.662395833337</v>
      </c>
      <c r="M324" t="s">
        <v>1969</v>
      </c>
      <c r="N324" t="s">
        <v>1970</v>
      </c>
      <c r="O324" s="2">
        <v>45260.928520520836</v>
      </c>
      <c r="P324" s="2">
        <v>45300.61419388889</v>
      </c>
      <c r="Q324" s="7">
        <f t="shared" si="5"/>
        <v>29</v>
      </c>
    </row>
    <row r="325" spans="1:17" x14ac:dyDescent="0.35">
      <c r="A325" t="s">
        <v>1071</v>
      </c>
      <c r="B325" t="s">
        <v>23</v>
      </c>
      <c r="C325" t="s">
        <v>44</v>
      </c>
      <c r="D325" t="s">
        <v>135</v>
      </c>
      <c r="E325" t="s">
        <v>32</v>
      </c>
      <c r="F325" t="s">
        <v>30</v>
      </c>
      <c r="G325" t="s">
        <v>28</v>
      </c>
      <c r="J325" s="2">
        <v>45371.166666666664</v>
      </c>
      <c r="K325" s="2">
        <v>45416.15436922454</v>
      </c>
      <c r="L325" s="2">
        <v>45240.662395833337</v>
      </c>
      <c r="M325" t="s">
        <v>1969</v>
      </c>
      <c r="N325" t="s">
        <v>1974</v>
      </c>
      <c r="O325" s="2">
        <v>45313.925601134259</v>
      </c>
      <c r="P325" s="2">
        <v>45323.894554907405</v>
      </c>
      <c r="Q325" s="7">
        <f t="shared" si="5"/>
        <v>9</v>
      </c>
    </row>
    <row r="326" spans="1:17" x14ac:dyDescent="0.35">
      <c r="A326" t="s">
        <v>1505</v>
      </c>
      <c r="B326" t="s">
        <v>23</v>
      </c>
      <c r="C326" t="s">
        <v>44</v>
      </c>
      <c r="D326" t="s">
        <v>130</v>
      </c>
      <c r="E326" t="s">
        <v>48</v>
      </c>
      <c r="F326" t="s">
        <v>30</v>
      </c>
      <c r="G326" t="s">
        <v>1441</v>
      </c>
      <c r="H326">
        <v>4</v>
      </c>
      <c r="J326" s="2">
        <v>45392.166666666664</v>
      </c>
      <c r="K326" s="2">
        <v>45552.803311099538</v>
      </c>
      <c r="L326" s="2">
        <v>45243.566990740743</v>
      </c>
      <c r="M326" t="s">
        <v>1969</v>
      </c>
      <c r="N326" t="s">
        <v>1970</v>
      </c>
      <c r="O326" s="2">
        <v>45260.822312002318</v>
      </c>
      <c r="P326" s="2">
        <v>45264.581372615743</v>
      </c>
      <c r="Q326" s="7">
        <f t="shared" si="5"/>
        <v>3.7590606134253903</v>
      </c>
    </row>
    <row r="327" spans="1:17" x14ac:dyDescent="0.35">
      <c r="A327" t="s">
        <v>1505</v>
      </c>
      <c r="B327" t="s">
        <v>23</v>
      </c>
      <c r="C327" t="s">
        <v>44</v>
      </c>
      <c r="D327" t="s">
        <v>130</v>
      </c>
      <c r="E327" t="s">
        <v>48</v>
      </c>
      <c r="F327" t="s">
        <v>30</v>
      </c>
      <c r="G327" t="s">
        <v>1441</v>
      </c>
      <c r="H327">
        <v>4</v>
      </c>
      <c r="J327" s="2">
        <v>45392.166666666664</v>
      </c>
      <c r="K327" s="2">
        <v>45552.803311099538</v>
      </c>
      <c r="L327" s="2">
        <v>45243.566990740743</v>
      </c>
      <c r="M327" t="s">
        <v>1969</v>
      </c>
      <c r="N327" t="s">
        <v>1970</v>
      </c>
      <c r="O327" s="2">
        <v>45274.705905289353</v>
      </c>
      <c r="P327" s="2">
        <v>45300.832208877313</v>
      </c>
      <c r="Q327" s="7">
        <f t="shared" si="5"/>
        <v>26.126303587960138</v>
      </c>
    </row>
    <row r="328" spans="1:17" x14ac:dyDescent="0.35">
      <c r="A328" t="s">
        <v>1505</v>
      </c>
      <c r="B328" t="s">
        <v>23</v>
      </c>
      <c r="C328" t="s">
        <v>44</v>
      </c>
      <c r="D328" t="s">
        <v>130</v>
      </c>
      <c r="E328" t="s">
        <v>48</v>
      </c>
      <c r="F328" t="s">
        <v>30</v>
      </c>
      <c r="G328" t="s">
        <v>1441</v>
      </c>
      <c r="H328">
        <v>4</v>
      </c>
      <c r="J328" s="2">
        <v>45392.166666666664</v>
      </c>
      <c r="K328" s="2">
        <v>45552.803311099538</v>
      </c>
      <c r="L328" s="2">
        <v>45243.566990740743</v>
      </c>
      <c r="M328" t="s">
        <v>1980</v>
      </c>
      <c r="N328" t="s">
        <v>1983</v>
      </c>
      <c r="O328" s="2">
        <v>45433.612478842595</v>
      </c>
      <c r="P328" s="2">
        <v>45502.489354826386</v>
      </c>
      <c r="Q328" s="7">
        <f t="shared" si="5"/>
        <v>68.876875983791251</v>
      </c>
    </row>
    <row r="329" spans="1:17" x14ac:dyDescent="0.35">
      <c r="A329" t="s">
        <v>1505</v>
      </c>
      <c r="B329" t="s">
        <v>23</v>
      </c>
      <c r="C329" t="s">
        <v>44</v>
      </c>
      <c r="D329" t="s">
        <v>130</v>
      </c>
      <c r="E329" t="s">
        <v>48</v>
      </c>
      <c r="F329" t="s">
        <v>30</v>
      </c>
      <c r="G329" t="s">
        <v>1441</v>
      </c>
      <c r="H329">
        <v>4</v>
      </c>
      <c r="J329" s="2">
        <v>45392.166666666664</v>
      </c>
      <c r="K329" s="2">
        <v>45552.803311099538</v>
      </c>
      <c r="L329" s="2">
        <v>45243.566990740743</v>
      </c>
      <c r="M329" t="s">
        <v>1980</v>
      </c>
      <c r="N329" t="s">
        <v>1976</v>
      </c>
      <c r="O329" s="2">
        <v>45512.59221333333</v>
      </c>
      <c r="P329" s="2">
        <v>45513.754990648151</v>
      </c>
      <c r="Q329" s="7">
        <f t="shared" si="5"/>
        <v>1.1627773148211418</v>
      </c>
    </row>
    <row r="330" spans="1:17" x14ac:dyDescent="0.35">
      <c r="A330" t="s">
        <v>1505</v>
      </c>
      <c r="B330" t="s">
        <v>23</v>
      </c>
      <c r="C330" t="s">
        <v>44</v>
      </c>
      <c r="D330" t="s">
        <v>130</v>
      </c>
      <c r="E330" t="s">
        <v>48</v>
      </c>
      <c r="F330" t="s">
        <v>30</v>
      </c>
      <c r="G330" t="s">
        <v>1441</v>
      </c>
      <c r="H330">
        <v>4</v>
      </c>
      <c r="J330" s="2">
        <v>45392.166666666664</v>
      </c>
      <c r="K330" s="2">
        <v>45552.803311099538</v>
      </c>
      <c r="L330" s="2">
        <v>45243.566990740743</v>
      </c>
      <c r="M330" t="s">
        <v>1980</v>
      </c>
      <c r="N330" t="s">
        <v>1970</v>
      </c>
      <c r="O330" s="2">
        <v>45513.755111574072</v>
      </c>
      <c r="P330" s="2">
        <v>45534.688274097221</v>
      </c>
      <c r="Q330" s="7">
        <f t="shared" si="5"/>
        <v>20.933162523149804</v>
      </c>
    </row>
    <row r="331" spans="1:17" x14ac:dyDescent="0.35">
      <c r="A331" t="s">
        <v>432</v>
      </c>
      <c r="B331" t="s">
        <v>23</v>
      </c>
      <c r="C331" t="s">
        <v>44</v>
      </c>
      <c r="D331" t="s">
        <v>76</v>
      </c>
      <c r="E331" t="s">
        <v>48</v>
      </c>
      <c r="F331" t="s">
        <v>30</v>
      </c>
      <c r="G331" t="s">
        <v>28</v>
      </c>
      <c r="H331">
        <v>5</v>
      </c>
      <c r="J331" s="2">
        <v>45377.166666666664</v>
      </c>
      <c r="K331" s="2">
        <v>45377.649515844911</v>
      </c>
      <c r="L331" s="2">
        <v>45245.64334490741</v>
      </c>
      <c r="M331" t="s">
        <v>1969</v>
      </c>
      <c r="N331" t="s">
        <v>1970</v>
      </c>
      <c r="O331" s="2">
        <v>45257.833945787039</v>
      </c>
      <c r="P331" s="2">
        <v>45310.777481493053</v>
      </c>
      <c r="Q331" s="7">
        <f t="shared" si="5"/>
        <v>52.94353570601379</v>
      </c>
    </row>
    <row r="332" spans="1:17" x14ac:dyDescent="0.35">
      <c r="A332" t="s">
        <v>432</v>
      </c>
      <c r="B332" t="s">
        <v>23</v>
      </c>
      <c r="C332" t="s">
        <v>44</v>
      </c>
      <c r="D332" t="s">
        <v>76</v>
      </c>
      <c r="E332" t="s">
        <v>48</v>
      </c>
      <c r="F332" t="s">
        <v>30</v>
      </c>
      <c r="G332" t="s">
        <v>28</v>
      </c>
      <c r="H332">
        <v>5</v>
      </c>
      <c r="J332" s="2">
        <v>45377.166666666664</v>
      </c>
      <c r="K332" s="2">
        <v>45377.649515844911</v>
      </c>
      <c r="L332" s="2">
        <v>45245.64334490741</v>
      </c>
      <c r="M332" t="s">
        <v>1971</v>
      </c>
      <c r="N332" t="s">
        <v>1970</v>
      </c>
      <c r="O332" s="2">
        <v>45335.694441006941</v>
      </c>
      <c r="P332" s="2">
        <v>45344.586511666668</v>
      </c>
      <c r="Q332" s="7">
        <f t="shared" si="5"/>
        <v>8.8920706597273238</v>
      </c>
    </row>
    <row r="333" spans="1:17" x14ac:dyDescent="0.35">
      <c r="A333" t="s">
        <v>985</v>
      </c>
      <c r="B333" t="s">
        <v>23</v>
      </c>
      <c r="C333" t="s">
        <v>44</v>
      </c>
      <c r="D333" t="s">
        <v>76</v>
      </c>
      <c r="E333" t="s">
        <v>38</v>
      </c>
      <c r="F333" t="s">
        <v>30</v>
      </c>
      <c r="G333" t="s">
        <v>28</v>
      </c>
      <c r="H333">
        <v>25</v>
      </c>
      <c r="J333" s="2">
        <v>45282.208333333336</v>
      </c>
      <c r="K333" s="2">
        <v>45575.686727245367</v>
      </c>
      <c r="L333" s="2">
        <v>45247.910532407404</v>
      </c>
      <c r="M333" t="s">
        <v>1971</v>
      </c>
      <c r="N333" t="s">
        <v>1970</v>
      </c>
      <c r="O333" s="2">
        <v>45313.853400011576</v>
      </c>
      <c r="P333" s="2">
        <v>45335.956661400465</v>
      </c>
      <c r="Q333" s="7">
        <f t="shared" si="5"/>
        <v>17</v>
      </c>
    </row>
    <row r="334" spans="1:17" x14ac:dyDescent="0.35">
      <c r="A334" t="s">
        <v>985</v>
      </c>
      <c r="B334" t="s">
        <v>23</v>
      </c>
      <c r="C334" t="s">
        <v>44</v>
      </c>
      <c r="D334" t="s">
        <v>76</v>
      </c>
      <c r="E334" t="s">
        <v>38</v>
      </c>
      <c r="F334" t="s">
        <v>30</v>
      </c>
      <c r="G334" t="s">
        <v>28</v>
      </c>
      <c r="H334">
        <v>25</v>
      </c>
      <c r="J334" s="2">
        <v>45282.208333333336</v>
      </c>
      <c r="K334" s="2">
        <v>45575.686727245367</v>
      </c>
      <c r="L334" s="2">
        <v>45247.910532407404</v>
      </c>
      <c r="M334" t="s">
        <v>1975</v>
      </c>
      <c r="N334" t="s">
        <v>1970</v>
      </c>
      <c r="O334" s="2">
        <v>45408.903192361111</v>
      </c>
      <c r="P334" s="2">
        <v>45462.664544930558</v>
      </c>
      <c r="Q334" s="7">
        <f t="shared" si="5"/>
        <v>39</v>
      </c>
    </row>
    <row r="335" spans="1:17" x14ac:dyDescent="0.35">
      <c r="A335" t="s">
        <v>985</v>
      </c>
      <c r="B335" t="s">
        <v>23</v>
      </c>
      <c r="C335" t="s">
        <v>44</v>
      </c>
      <c r="D335" t="s">
        <v>76</v>
      </c>
      <c r="E335" t="s">
        <v>38</v>
      </c>
      <c r="F335" t="s">
        <v>30</v>
      </c>
      <c r="G335" t="s">
        <v>28</v>
      </c>
      <c r="H335">
        <v>25</v>
      </c>
      <c r="J335" s="2">
        <v>45282.208333333336</v>
      </c>
      <c r="K335" s="2">
        <v>45575.686727245367</v>
      </c>
      <c r="L335" s="2">
        <v>45247.910532407404</v>
      </c>
      <c r="M335" t="s">
        <v>1975</v>
      </c>
      <c r="N335" t="s">
        <v>1970</v>
      </c>
      <c r="O335" s="2">
        <v>45413.86048880787</v>
      </c>
      <c r="P335" s="2">
        <v>45462.666383541669</v>
      </c>
      <c r="Q335" s="7">
        <f t="shared" si="5"/>
        <v>36</v>
      </c>
    </row>
    <row r="336" spans="1:17" x14ac:dyDescent="0.35">
      <c r="A336" t="s">
        <v>773</v>
      </c>
      <c r="B336" t="s">
        <v>23</v>
      </c>
      <c r="C336" t="s">
        <v>44</v>
      </c>
      <c r="D336" t="s">
        <v>130</v>
      </c>
      <c r="E336" t="s">
        <v>48</v>
      </c>
      <c r="F336" t="s">
        <v>30</v>
      </c>
      <c r="G336" t="s">
        <v>28</v>
      </c>
      <c r="H336">
        <v>14</v>
      </c>
      <c r="J336" s="2">
        <v>45372.166666666664</v>
      </c>
      <c r="K336" s="2">
        <v>45457.64790708333</v>
      </c>
      <c r="L336" s="2">
        <v>45250.67864583333</v>
      </c>
      <c r="M336" t="s">
        <v>1971</v>
      </c>
      <c r="N336" t="s">
        <v>1970</v>
      </c>
      <c r="O336" s="2">
        <v>45273.581360659722</v>
      </c>
      <c r="P336" s="2">
        <v>45308.892642685183</v>
      </c>
      <c r="Q336" s="7">
        <f t="shared" si="5"/>
        <v>35.311282025460969</v>
      </c>
    </row>
    <row r="337" spans="1:17" x14ac:dyDescent="0.35">
      <c r="A337" t="s">
        <v>513</v>
      </c>
      <c r="B337" t="s">
        <v>23</v>
      </c>
      <c r="C337" t="s">
        <v>44</v>
      </c>
      <c r="D337" t="s">
        <v>76</v>
      </c>
      <c r="E337" t="s">
        <v>38</v>
      </c>
      <c r="F337" t="s">
        <v>30</v>
      </c>
      <c r="G337" t="s">
        <v>28</v>
      </c>
      <c r="H337">
        <v>7</v>
      </c>
      <c r="J337" s="2">
        <v>45512.166666666664</v>
      </c>
      <c r="K337" s="2">
        <v>45509.662313009256</v>
      </c>
      <c r="L337" s="2">
        <v>45251.697962962964</v>
      </c>
      <c r="M337" t="s">
        <v>1969</v>
      </c>
      <c r="N337" t="s">
        <v>1970</v>
      </c>
      <c r="O337" s="2">
        <v>45258.853057465276</v>
      </c>
      <c r="P337" s="2">
        <v>45293.526127569443</v>
      </c>
      <c r="Q337" s="7">
        <f t="shared" si="5"/>
        <v>26</v>
      </c>
    </row>
    <row r="338" spans="1:17" x14ac:dyDescent="0.35">
      <c r="A338" t="s">
        <v>513</v>
      </c>
      <c r="B338" t="s">
        <v>23</v>
      </c>
      <c r="C338" t="s">
        <v>44</v>
      </c>
      <c r="D338" t="s">
        <v>76</v>
      </c>
      <c r="E338" t="s">
        <v>38</v>
      </c>
      <c r="F338" t="s">
        <v>30</v>
      </c>
      <c r="G338" t="s">
        <v>28</v>
      </c>
      <c r="H338">
        <v>7</v>
      </c>
      <c r="J338" s="2">
        <v>45512.166666666664</v>
      </c>
      <c r="K338" s="2">
        <v>45509.662313009256</v>
      </c>
      <c r="L338" s="2">
        <v>45251.697962962964</v>
      </c>
      <c r="M338" t="s">
        <v>1971</v>
      </c>
      <c r="N338" t="s">
        <v>1970</v>
      </c>
      <c r="O338" s="2">
        <v>45323.550322222225</v>
      </c>
      <c r="P338" s="2">
        <v>45383.493987939815</v>
      </c>
      <c r="Q338" s="7">
        <f t="shared" si="5"/>
        <v>43</v>
      </c>
    </row>
    <row r="339" spans="1:17" x14ac:dyDescent="0.35">
      <c r="A339" t="s">
        <v>513</v>
      </c>
      <c r="B339" t="s">
        <v>23</v>
      </c>
      <c r="C339" t="s">
        <v>44</v>
      </c>
      <c r="D339" t="s">
        <v>76</v>
      </c>
      <c r="E339" t="s">
        <v>38</v>
      </c>
      <c r="F339" t="s">
        <v>30</v>
      </c>
      <c r="G339" t="s">
        <v>28</v>
      </c>
      <c r="H339">
        <v>7</v>
      </c>
      <c r="J339" s="2">
        <v>45512.166666666664</v>
      </c>
      <c r="K339" s="2">
        <v>45509.662313009256</v>
      </c>
      <c r="L339" s="2">
        <v>45251.697962962964</v>
      </c>
      <c r="M339" t="s">
        <v>1972</v>
      </c>
      <c r="N339" t="s">
        <v>1970</v>
      </c>
      <c r="O339" s="2">
        <v>45370.734227719906</v>
      </c>
      <c r="P339" s="2">
        <v>45383.494112928238</v>
      </c>
      <c r="Q339" s="7">
        <f t="shared" si="5"/>
        <v>10</v>
      </c>
    </row>
    <row r="340" spans="1:17" x14ac:dyDescent="0.35">
      <c r="A340" t="s">
        <v>513</v>
      </c>
      <c r="B340" t="s">
        <v>23</v>
      </c>
      <c r="C340" t="s">
        <v>44</v>
      </c>
      <c r="D340" t="s">
        <v>76</v>
      </c>
      <c r="E340" t="s">
        <v>38</v>
      </c>
      <c r="F340" t="s">
        <v>30</v>
      </c>
      <c r="G340" t="s">
        <v>28</v>
      </c>
      <c r="H340">
        <v>7</v>
      </c>
      <c r="J340" s="2">
        <v>45512.166666666664</v>
      </c>
      <c r="K340" s="2">
        <v>45509.662313009256</v>
      </c>
      <c r="L340" s="2">
        <v>45251.697962962964</v>
      </c>
      <c r="M340" t="s">
        <v>1975</v>
      </c>
      <c r="N340" t="s">
        <v>1970</v>
      </c>
      <c r="O340" s="2">
        <v>45383.962359004632</v>
      </c>
      <c r="P340" s="2">
        <v>45418.582669675925</v>
      </c>
      <c r="Q340" s="7">
        <f t="shared" si="5"/>
        <v>26</v>
      </c>
    </row>
    <row r="341" spans="1:17" x14ac:dyDescent="0.35">
      <c r="A341" t="s">
        <v>513</v>
      </c>
      <c r="B341" t="s">
        <v>23</v>
      </c>
      <c r="C341" t="s">
        <v>44</v>
      </c>
      <c r="D341" t="s">
        <v>76</v>
      </c>
      <c r="E341" t="s">
        <v>38</v>
      </c>
      <c r="F341" t="s">
        <v>30</v>
      </c>
      <c r="G341" t="s">
        <v>28</v>
      </c>
      <c r="H341">
        <v>7</v>
      </c>
      <c r="J341" s="2">
        <v>45512.166666666664</v>
      </c>
      <c r="K341" s="2">
        <v>45509.662313009256</v>
      </c>
      <c r="L341" s="2">
        <v>45251.697962962964</v>
      </c>
      <c r="M341" t="s">
        <v>1975</v>
      </c>
      <c r="N341" t="s">
        <v>1970</v>
      </c>
      <c r="O341" s="2">
        <v>45450.809384479166</v>
      </c>
      <c r="P341" s="2">
        <v>45491.491533553242</v>
      </c>
      <c r="Q341" s="7">
        <f t="shared" si="5"/>
        <v>30</v>
      </c>
    </row>
    <row r="342" spans="1:17" x14ac:dyDescent="0.35">
      <c r="A342" t="s">
        <v>117</v>
      </c>
      <c r="B342" t="s">
        <v>23</v>
      </c>
      <c r="C342" t="s">
        <v>44</v>
      </c>
      <c r="D342" t="s">
        <v>113</v>
      </c>
      <c r="E342" t="s">
        <v>57</v>
      </c>
      <c r="F342" t="s">
        <v>30</v>
      </c>
      <c r="G342" t="s">
        <v>46</v>
      </c>
      <c r="J342" s="2">
        <v>45359.208333333336</v>
      </c>
      <c r="K342" s="2">
        <v>45348.736161446759</v>
      </c>
      <c r="L342" s="2">
        <v>45251.816064814811</v>
      </c>
      <c r="M342" t="s">
        <v>1969</v>
      </c>
      <c r="N342" t="s">
        <v>1970</v>
      </c>
      <c r="O342" s="2">
        <v>45258.76890653935</v>
      </c>
      <c r="P342" s="2">
        <v>45268.691420798612</v>
      </c>
      <c r="Q342" s="7">
        <f t="shared" si="5"/>
        <v>9</v>
      </c>
    </row>
    <row r="343" spans="1:17" x14ac:dyDescent="0.35">
      <c r="A343" t="s">
        <v>117</v>
      </c>
      <c r="B343" t="s">
        <v>23</v>
      </c>
      <c r="C343" t="s">
        <v>44</v>
      </c>
      <c r="D343" t="s">
        <v>113</v>
      </c>
      <c r="E343" t="s">
        <v>57</v>
      </c>
      <c r="F343" t="s">
        <v>30</v>
      </c>
      <c r="G343" t="s">
        <v>46</v>
      </c>
      <c r="J343" s="2">
        <v>45359.208333333336</v>
      </c>
      <c r="K343" s="2">
        <v>45348.736161446759</v>
      </c>
      <c r="L343" s="2">
        <v>45251.816064814811</v>
      </c>
      <c r="M343" t="s">
        <v>1969</v>
      </c>
      <c r="N343" t="s">
        <v>1970</v>
      </c>
      <c r="O343" s="2">
        <v>45275.680713842594</v>
      </c>
      <c r="P343" s="2">
        <v>45296.792923564812</v>
      </c>
      <c r="Q343" s="7">
        <f t="shared" si="5"/>
        <v>16</v>
      </c>
    </row>
    <row r="344" spans="1:17" x14ac:dyDescent="0.35">
      <c r="A344" t="s">
        <v>117</v>
      </c>
      <c r="B344" t="s">
        <v>23</v>
      </c>
      <c r="C344" t="s">
        <v>44</v>
      </c>
      <c r="D344" t="s">
        <v>113</v>
      </c>
      <c r="E344" t="s">
        <v>57</v>
      </c>
      <c r="F344" t="s">
        <v>30</v>
      </c>
      <c r="G344" t="s">
        <v>46</v>
      </c>
      <c r="J344" s="2">
        <v>45359.208333333336</v>
      </c>
      <c r="K344" s="2">
        <v>45348.736161446759</v>
      </c>
      <c r="L344" s="2">
        <v>45251.816064814811</v>
      </c>
      <c r="M344" t="s">
        <v>1969</v>
      </c>
      <c r="N344" t="s">
        <v>1970</v>
      </c>
      <c r="O344" s="2">
        <v>45301.684201006945</v>
      </c>
      <c r="P344" s="2">
        <v>45310.748689131942</v>
      </c>
      <c r="Q344" s="7">
        <f t="shared" si="5"/>
        <v>8</v>
      </c>
    </row>
    <row r="345" spans="1:17" x14ac:dyDescent="0.35">
      <c r="A345" t="s">
        <v>117</v>
      </c>
      <c r="B345" t="s">
        <v>23</v>
      </c>
      <c r="C345" t="s">
        <v>44</v>
      </c>
      <c r="D345" t="s">
        <v>113</v>
      </c>
      <c r="E345" t="s">
        <v>57</v>
      </c>
      <c r="F345" t="s">
        <v>30</v>
      </c>
      <c r="G345" t="s">
        <v>46</v>
      </c>
      <c r="J345" s="2">
        <v>45359.208333333336</v>
      </c>
      <c r="K345" s="2">
        <v>45348.736161446759</v>
      </c>
      <c r="L345" s="2">
        <v>45251.816064814811</v>
      </c>
      <c r="M345" t="s">
        <v>1971</v>
      </c>
      <c r="N345" t="s">
        <v>1970</v>
      </c>
      <c r="O345" s="2">
        <v>45310.749056828703</v>
      </c>
      <c r="P345" s="2">
        <v>45313.678850879631</v>
      </c>
      <c r="Q345" s="7">
        <f t="shared" si="5"/>
        <v>2</v>
      </c>
    </row>
    <row r="346" spans="1:17" x14ac:dyDescent="0.35">
      <c r="A346" t="s">
        <v>117</v>
      </c>
      <c r="B346" t="s">
        <v>23</v>
      </c>
      <c r="C346" t="s">
        <v>44</v>
      </c>
      <c r="D346" t="s">
        <v>113</v>
      </c>
      <c r="E346" t="s">
        <v>57</v>
      </c>
      <c r="F346" t="s">
        <v>30</v>
      </c>
      <c r="G346" t="s">
        <v>46</v>
      </c>
      <c r="J346" s="2">
        <v>45359.208333333336</v>
      </c>
      <c r="K346" s="2">
        <v>45348.736161446759</v>
      </c>
      <c r="L346" s="2">
        <v>45251.816064814811</v>
      </c>
      <c r="M346" t="s">
        <v>1988</v>
      </c>
      <c r="N346" t="s">
        <v>1970</v>
      </c>
      <c r="O346" s="2">
        <v>45330.709019201386</v>
      </c>
      <c r="P346" s="2">
        <v>45336.603383437498</v>
      </c>
      <c r="Q346" s="7">
        <f t="shared" si="5"/>
        <v>5</v>
      </c>
    </row>
    <row r="347" spans="1:17" x14ac:dyDescent="0.35">
      <c r="A347" t="s">
        <v>444</v>
      </c>
      <c r="B347" t="s">
        <v>23</v>
      </c>
      <c r="C347" t="s">
        <v>44</v>
      </c>
      <c r="D347" t="s">
        <v>130</v>
      </c>
      <c r="E347" t="s">
        <v>38</v>
      </c>
      <c r="F347" t="s">
        <v>30</v>
      </c>
      <c r="G347" t="s">
        <v>28</v>
      </c>
      <c r="H347">
        <v>5</v>
      </c>
      <c r="J347" s="2">
        <v>45442.166666666664</v>
      </c>
      <c r="K347" s="2">
        <v>45540.072593136574</v>
      </c>
      <c r="L347" s="2">
        <v>45252.349756944444</v>
      </c>
      <c r="M347" t="s">
        <v>1969</v>
      </c>
      <c r="N347" t="s">
        <v>1995</v>
      </c>
      <c r="O347" s="2">
        <v>45282.129133784721</v>
      </c>
      <c r="P347" s="2">
        <v>45338.116616724539</v>
      </c>
      <c r="Q347" s="7">
        <f t="shared" si="5"/>
        <v>41</v>
      </c>
    </row>
    <row r="348" spans="1:17" x14ac:dyDescent="0.35">
      <c r="A348" t="s">
        <v>444</v>
      </c>
      <c r="B348" t="s">
        <v>23</v>
      </c>
      <c r="C348" t="s">
        <v>44</v>
      </c>
      <c r="D348" t="s">
        <v>130</v>
      </c>
      <c r="E348" t="s">
        <v>38</v>
      </c>
      <c r="F348" t="s">
        <v>30</v>
      </c>
      <c r="G348" t="s">
        <v>28</v>
      </c>
      <c r="H348">
        <v>5</v>
      </c>
      <c r="J348" s="2">
        <v>45442.166666666664</v>
      </c>
      <c r="K348" s="2">
        <v>45540.072593136574</v>
      </c>
      <c r="L348" s="2">
        <v>45252.349756944444</v>
      </c>
      <c r="M348" t="s">
        <v>1969</v>
      </c>
      <c r="N348" t="s">
        <v>1970</v>
      </c>
      <c r="O348" s="2">
        <v>45350.360553067127</v>
      </c>
      <c r="P348" s="2">
        <v>45407.014290787039</v>
      </c>
      <c r="Q348" s="7">
        <f t="shared" si="5"/>
        <v>42</v>
      </c>
    </row>
    <row r="349" spans="1:17" x14ac:dyDescent="0.35">
      <c r="A349" t="s">
        <v>1747</v>
      </c>
      <c r="B349" t="s">
        <v>23</v>
      </c>
      <c r="C349" t="s">
        <v>44</v>
      </c>
      <c r="D349" t="s">
        <v>76</v>
      </c>
      <c r="E349" t="s">
        <v>38</v>
      </c>
      <c r="F349" t="s">
        <v>30</v>
      </c>
      <c r="G349" t="s">
        <v>1719</v>
      </c>
      <c r="J349" s="2"/>
      <c r="K349" s="2">
        <v>45328.589943865743</v>
      </c>
      <c r="L349" s="2">
        <v>45252.868692129632</v>
      </c>
      <c r="M349" t="s">
        <v>1971</v>
      </c>
      <c r="N349" t="s">
        <v>1970</v>
      </c>
      <c r="O349" s="2">
        <v>45278.595098796293</v>
      </c>
      <c r="P349" s="2">
        <v>45279.886685729165</v>
      </c>
      <c r="Q349" s="7">
        <f t="shared" si="5"/>
        <v>2</v>
      </c>
    </row>
    <row r="350" spans="1:17" x14ac:dyDescent="0.35">
      <c r="A350" t="s">
        <v>645</v>
      </c>
      <c r="B350" t="s">
        <v>23</v>
      </c>
      <c r="C350" t="s">
        <v>44</v>
      </c>
      <c r="D350" t="s">
        <v>130</v>
      </c>
      <c r="E350" t="s">
        <v>48</v>
      </c>
      <c r="F350" t="s">
        <v>30</v>
      </c>
      <c r="G350" t="s">
        <v>28</v>
      </c>
      <c r="H350">
        <v>11</v>
      </c>
      <c r="J350" s="2">
        <v>45371.166666666664</v>
      </c>
      <c r="K350" s="2">
        <v>45468.778472094906</v>
      </c>
      <c r="L350" s="2">
        <v>45260.658958333333</v>
      </c>
      <c r="M350" t="s">
        <v>1969</v>
      </c>
      <c r="N350" t="s">
        <v>1970</v>
      </c>
      <c r="O350" s="2">
        <v>45267.925642037037</v>
      </c>
      <c r="P350" s="2">
        <v>45308.683829618058</v>
      </c>
      <c r="Q350" s="7">
        <f t="shared" si="5"/>
        <v>40.758187581021048</v>
      </c>
    </row>
    <row r="351" spans="1:17" x14ac:dyDescent="0.35">
      <c r="A351" t="s">
        <v>645</v>
      </c>
      <c r="B351" t="s">
        <v>23</v>
      </c>
      <c r="C351" t="s">
        <v>44</v>
      </c>
      <c r="D351" t="s">
        <v>130</v>
      </c>
      <c r="E351" t="s">
        <v>48</v>
      </c>
      <c r="F351" t="s">
        <v>30</v>
      </c>
      <c r="G351" t="s">
        <v>28</v>
      </c>
      <c r="H351">
        <v>11</v>
      </c>
      <c r="J351" s="2">
        <v>45371.166666666664</v>
      </c>
      <c r="K351" s="2">
        <v>45468.778472094906</v>
      </c>
      <c r="L351" s="2">
        <v>45260.658958333333</v>
      </c>
      <c r="M351" t="s">
        <v>1980</v>
      </c>
      <c r="N351" t="s">
        <v>1974</v>
      </c>
      <c r="O351" s="2">
        <v>45371.652411400464</v>
      </c>
      <c r="P351" s="2">
        <v>45384.594386180557</v>
      </c>
      <c r="Q351" s="7">
        <f t="shared" si="5"/>
        <v>12.941974780093005</v>
      </c>
    </row>
    <row r="352" spans="1:17" x14ac:dyDescent="0.35">
      <c r="A352" t="s">
        <v>645</v>
      </c>
      <c r="B352" t="s">
        <v>23</v>
      </c>
      <c r="C352" t="s">
        <v>44</v>
      </c>
      <c r="D352" t="s">
        <v>130</v>
      </c>
      <c r="E352" t="s">
        <v>48</v>
      </c>
      <c r="F352" t="s">
        <v>30</v>
      </c>
      <c r="G352" t="s">
        <v>28</v>
      </c>
      <c r="H352">
        <v>11</v>
      </c>
      <c r="J352" s="2">
        <v>45371.166666666664</v>
      </c>
      <c r="K352" s="2">
        <v>45468.778472094906</v>
      </c>
      <c r="L352" s="2">
        <v>45260.658958333333</v>
      </c>
      <c r="M352" t="s">
        <v>1975</v>
      </c>
      <c r="N352" t="s">
        <v>1970</v>
      </c>
      <c r="O352" s="2">
        <v>45415.847530358798</v>
      </c>
      <c r="P352" s="2">
        <v>45450.845296215281</v>
      </c>
      <c r="Q352" s="7">
        <f t="shared" si="5"/>
        <v>34.997765856482147</v>
      </c>
    </row>
    <row r="353" spans="1:17" x14ac:dyDescent="0.35">
      <c r="A353" t="s">
        <v>645</v>
      </c>
      <c r="B353" t="s">
        <v>23</v>
      </c>
      <c r="C353" t="s">
        <v>44</v>
      </c>
      <c r="D353" t="s">
        <v>130</v>
      </c>
      <c r="E353" t="s">
        <v>48</v>
      </c>
      <c r="F353" t="s">
        <v>30</v>
      </c>
      <c r="G353" t="s">
        <v>28</v>
      </c>
      <c r="H353">
        <v>11</v>
      </c>
      <c r="J353" s="2">
        <v>45371.166666666664</v>
      </c>
      <c r="K353" s="2">
        <v>45468.778472094906</v>
      </c>
      <c r="L353" s="2">
        <v>45260.658958333333</v>
      </c>
      <c r="M353" t="s">
        <v>1973</v>
      </c>
      <c r="N353" t="s">
        <v>1970</v>
      </c>
      <c r="O353" s="2">
        <v>45429.54134841435</v>
      </c>
      <c r="P353" s="2">
        <v>45453.589971990739</v>
      </c>
      <c r="Q353" s="7">
        <f t="shared" si="5"/>
        <v>24.048623576389218</v>
      </c>
    </row>
    <row r="354" spans="1:17" x14ac:dyDescent="0.35">
      <c r="A354" t="s">
        <v>483</v>
      </c>
      <c r="B354" t="s">
        <v>23</v>
      </c>
      <c r="C354" t="s">
        <v>44</v>
      </c>
      <c r="D354" t="s">
        <v>76</v>
      </c>
      <c r="E354" t="s">
        <v>57</v>
      </c>
      <c r="F354" t="s">
        <v>30</v>
      </c>
      <c r="G354" t="s">
        <v>28</v>
      </c>
      <c r="H354">
        <v>6</v>
      </c>
      <c r="J354" s="2">
        <v>45394.166666666664</v>
      </c>
      <c r="K354" s="2">
        <v>45405.6741056713</v>
      </c>
      <c r="L354" s="2">
        <v>45266.840416666666</v>
      </c>
      <c r="M354" t="s">
        <v>1969</v>
      </c>
      <c r="N354" t="s">
        <v>1970</v>
      </c>
      <c r="O354" s="2">
        <v>45272.696811828704</v>
      </c>
      <c r="P354" s="2">
        <v>45314.708619502315</v>
      </c>
      <c r="Q354" s="7">
        <f t="shared" si="5"/>
        <v>31</v>
      </c>
    </row>
    <row r="355" spans="1:17" x14ac:dyDescent="0.35">
      <c r="A355" t="s">
        <v>483</v>
      </c>
      <c r="B355" t="s">
        <v>23</v>
      </c>
      <c r="C355" t="s">
        <v>44</v>
      </c>
      <c r="D355" t="s">
        <v>76</v>
      </c>
      <c r="E355" t="s">
        <v>57</v>
      </c>
      <c r="F355" t="s">
        <v>30</v>
      </c>
      <c r="G355" t="s">
        <v>28</v>
      </c>
      <c r="H355">
        <v>6</v>
      </c>
      <c r="J355" s="2">
        <v>45394.166666666664</v>
      </c>
      <c r="K355" s="2">
        <v>45405.6741056713</v>
      </c>
      <c r="L355" s="2">
        <v>45266.840416666666</v>
      </c>
      <c r="M355" t="s">
        <v>1969</v>
      </c>
      <c r="N355" t="s">
        <v>1970</v>
      </c>
      <c r="O355" s="2">
        <v>45314.789824803243</v>
      </c>
      <c r="P355" s="2">
        <v>45314.790285844909</v>
      </c>
      <c r="Q355" s="7">
        <f t="shared" si="5"/>
        <v>1</v>
      </c>
    </row>
    <row r="356" spans="1:17" x14ac:dyDescent="0.35">
      <c r="A356" t="s">
        <v>483</v>
      </c>
      <c r="B356" t="s">
        <v>23</v>
      </c>
      <c r="C356" t="s">
        <v>44</v>
      </c>
      <c r="D356" t="s">
        <v>76</v>
      </c>
      <c r="E356" t="s">
        <v>57</v>
      </c>
      <c r="F356" t="s">
        <v>30</v>
      </c>
      <c r="G356" t="s">
        <v>28</v>
      </c>
      <c r="H356">
        <v>6</v>
      </c>
      <c r="J356" s="2">
        <v>45394.166666666664</v>
      </c>
      <c r="K356" s="2">
        <v>45405.6741056713</v>
      </c>
      <c r="L356" s="2">
        <v>45266.840416666666</v>
      </c>
      <c r="M356" t="s">
        <v>1971</v>
      </c>
      <c r="N356" t="s">
        <v>1970</v>
      </c>
      <c r="O356" s="2">
        <v>45316.913938796293</v>
      </c>
      <c r="P356" s="2">
        <v>45334.542987430556</v>
      </c>
      <c r="Q356" s="7">
        <f t="shared" si="5"/>
        <v>13</v>
      </c>
    </row>
    <row r="357" spans="1:17" x14ac:dyDescent="0.35">
      <c r="A357" t="s">
        <v>483</v>
      </c>
      <c r="B357" t="s">
        <v>23</v>
      </c>
      <c r="C357" t="s">
        <v>44</v>
      </c>
      <c r="D357" t="s">
        <v>76</v>
      </c>
      <c r="E357" t="s">
        <v>57</v>
      </c>
      <c r="F357" t="s">
        <v>30</v>
      </c>
      <c r="G357" t="s">
        <v>28</v>
      </c>
      <c r="H357">
        <v>6</v>
      </c>
      <c r="J357" s="2">
        <v>45394.166666666664</v>
      </c>
      <c r="K357" s="2">
        <v>45405.6741056713</v>
      </c>
      <c r="L357" s="2">
        <v>45266.840416666666</v>
      </c>
      <c r="M357" t="s">
        <v>1980</v>
      </c>
      <c r="N357" t="s">
        <v>1970</v>
      </c>
      <c r="O357" s="2">
        <v>45338.661194884262</v>
      </c>
      <c r="P357" s="2">
        <v>45348.941366712963</v>
      </c>
      <c r="Q357" s="7">
        <f t="shared" si="5"/>
        <v>7</v>
      </c>
    </row>
    <row r="358" spans="1:17" x14ac:dyDescent="0.35">
      <c r="A358" t="s">
        <v>483</v>
      </c>
      <c r="B358" t="s">
        <v>23</v>
      </c>
      <c r="C358" t="s">
        <v>44</v>
      </c>
      <c r="D358" t="s">
        <v>76</v>
      </c>
      <c r="E358" t="s">
        <v>57</v>
      </c>
      <c r="F358" t="s">
        <v>30</v>
      </c>
      <c r="G358" t="s">
        <v>28</v>
      </c>
      <c r="H358">
        <v>6</v>
      </c>
      <c r="J358" s="2">
        <v>45394.166666666664</v>
      </c>
      <c r="K358" s="2">
        <v>45405.6741056713</v>
      </c>
      <c r="L358" s="2">
        <v>45266.840416666666</v>
      </c>
      <c r="M358" t="s">
        <v>1971</v>
      </c>
      <c r="N358" t="s">
        <v>1970</v>
      </c>
      <c r="O358" s="2">
        <v>45341.571587638886</v>
      </c>
      <c r="P358" s="2">
        <v>45341.631418842589</v>
      </c>
      <c r="Q358" s="7">
        <f t="shared" si="5"/>
        <v>1</v>
      </c>
    </row>
    <row r="359" spans="1:17" x14ac:dyDescent="0.35">
      <c r="A359" t="s">
        <v>483</v>
      </c>
      <c r="B359" t="s">
        <v>23</v>
      </c>
      <c r="C359" t="s">
        <v>44</v>
      </c>
      <c r="D359" t="s">
        <v>76</v>
      </c>
      <c r="E359" t="s">
        <v>57</v>
      </c>
      <c r="F359" t="s">
        <v>30</v>
      </c>
      <c r="G359" t="s">
        <v>28</v>
      </c>
      <c r="H359">
        <v>6</v>
      </c>
      <c r="J359" s="2">
        <v>45394.166666666664</v>
      </c>
      <c r="K359" s="2">
        <v>45405.6741056713</v>
      </c>
      <c r="L359" s="2">
        <v>45266.840416666666</v>
      </c>
      <c r="M359" t="s">
        <v>1971</v>
      </c>
      <c r="N359" t="s">
        <v>1970</v>
      </c>
      <c r="O359" s="2">
        <v>45343.673130115742</v>
      </c>
      <c r="P359" s="2">
        <v>45348.596792268516</v>
      </c>
      <c r="Q359" s="7">
        <f t="shared" si="5"/>
        <v>4</v>
      </c>
    </row>
    <row r="360" spans="1:17" x14ac:dyDescent="0.35">
      <c r="A360" t="s">
        <v>483</v>
      </c>
      <c r="B360" t="s">
        <v>23</v>
      </c>
      <c r="C360" t="s">
        <v>44</v>
      </c>
      <c r="D360" t="s">
        <v>76</v>
      </c>
      <c r="E360" t="s">
        <v>57</v>
      </c>
      <c r="F360" t="s">
        <v>30</v>
      </c>
      <c r="G360" t="s">
        <v>28</v>
      </c>
      <c r="H360">
        <v>6</v>
      </c>
      <c r="J360" s="2">
        <v>45394.166666666664</v>
      </c>
      <c r="K360" s="2">
        <v>45405.6741056713</v>
      </c>
      <c r="L360" s="2">
        <v>45266.840416666666</v>
      </c>
      <c r="M360" t="s">
        <v>1988</v>
      </c>
      <c r="N360" t="s">
        <v>1970</v>
      </c>
      <c r="O360" s="2">
        <v>45376.533603275464</v>
      </c>
      <c r="P360" s="2">
        <v>45391.514897581015</v>
      </c>
      <c r="Q360" s="7">
        <f t="shared" si="5"/>
        <v>12</v>
      </c>
    </row>
    <row r="361" spans="1:17" x14ac:dyDescent="0.35">
      <c r="A361" t="s">
        <v>1614</v>
      </c>
      <c r="B361" t="s">
        <v>23</v>
      </c>
      <c r="C361" t="s">
        <v>44</v>
      </c>
      <c r="D361" t="s">
        <v>130</v>
      </c>
      <c r="E361" t="s">
        <v>38</v>
      </c>
      <c r="F361" t="s">
        <v>30</v>
      </c>
      <c r="G361" t="s">
        <v>1441</v>
      </c>
      <c r="J361" s="2">
        <v>45519.166666666664</v>
      </c>
      <c r="K361" s="2">
        <v>45566.061434386575</v>
      </c>
      <c r="L361" s="2">
        <v>45267.136886574073</v>
      </c>
      <c r="M361" t="s">
        <v>1977</v>
      </c>
      <c r="N361" t="s">
        <v>1995</v>
      </c>
      <c r="O361" s="2">
        <v>45282.082941400462</v>
      </c>
      <c r="P361" s="2">
        <v>45441.08565645833</v>
      </c>
      <c r="Q361" s="7">
        <f t="shared" si="5"/>
        <v>114</v>
      </c>
    </row>
    <row r="362" spans="1:17" x14ac:dyDescent="0.35">
      <c r="A362" t="s">
        <v>201</v>
      </c>
      <c r="B362" t="s">
        <v>23</v>
      </c>
      <c r="C362" t="s">
        <v>44</v>
      </c>
      <c r="D362" t="s">
        <v>54</v>
      </c>
      <c r="E362" t="s">
        <v>38</v>
      </c>
      <c r="F362" t="s">
        <v>30</v>
      </c>
      <c r="G362" t="s">
        <v>28</v>
      </c>
      <c r="H362">
        <v>1</v>
      </c>
      <c r="J362" s="2">
        <v>45359.208333333336</v>
      </c>
      <c r="K362" s="2">
        <v>45317.669593935185</v>
      </c>
      <c r="L362" s="2">
        <v>45268.557523148149</v>
      </c>
      <c r="M362" t="s">
        <v>1969</v>
      </c>
      <c r="N362" t="s">
        <v>1995</v>
      </c>
      <c r="O362" s="2">
        <v>45275.735177442133</v>
      </c>
      <c r="P362" s="2">
        <v>45293.864906909723</v>
      </c>
      <c r="Q362" s="7">
        <f t="shared" si="5"/>
        <v>13</v>
      </c>
    </row>
    <row r="363" spans="1:17" x14ac:dyDescent="0.35">
      <c r="A363" t="s">
        <v>199</v>
      </c>
      <c r="B363" t="s">
        <v>23</v>
      </c>
      <c r="C363" t="s">
        <v>44</v>
      </c>
      <c r="D363" t="s">
        <v>76</v>
      </c>
      <c r="E363" t="s">
        <v>38</v>
      </c>
      <c r="F363" t="s">
        <v>30</v>
      </c>
      <c r="G363" t="s">
        <v>28</v>
      </c>
      <c r="H363">
        <v>1</v>
      </c>
      <c r="J363" s="2">
        <v>45344.208333333336</v>
      </c>
      <c r="K363" s="2">
        <v>45331.79544671296</v>
      </c>
      <c r="L363" s="2">
        <v>45271.985520833332</v>
      </c>
      <c r="M363" t="s">
        <v>1971</v>
      </c>
      <c r="N363" t="s">
        <v>1970</v>
      </c>
      <c r="O363" s="2">
        <v>45281.737986087966</v>
      </c>
      <c r="P363" s="2">
        <v>45300.572434050926</v>
      </c>
      <c r="Q363" s="7">
        <f t="shared" si="5"/>
        <v>14</v>
      </c>
    </row>
    <row r="364" spans="1:17" x14ac:dyDescent="0.35">
      <c r="A364" t="s">
        <v>1751</v>
      </c>
      <c r="B364" t="s">
        <v>23</v>
      </c>
      <c r="C364" t="s">
        <v>44</v>
      </c>
      <c r="D364" t="s">
        <v>43</v>
      </c>
      <c r="E364" t="s">
        <v>48</v>
      </c>
      <c r="F364" t="s">
        <v>30</v>
      </c>
      <c r="G364" t="s">
        <v>1719</v>
      </c>
      <c r="J364" s="2"/>
      <c r="K364" s="2">
        <v>45322.852331562499</v>
      </c>
      <c r="L364" s="2">
        <v>45272.538807870369</v>
      </c>
      <c r="M364" t="s">
        <v>1971</v>
      </c>
      <c r="N364" t="s">
        <v>1970</v>
      </c>
      <c r="O364" s="2">
        <v>45274.666387777776</v>
      </c>
      <c r="P364" s="2">
        <v>45278.719208020833</v>
      </c>
      <c r="Q364" s="7">
        <f t="shared" si="5"/>
        <v>4.0528202430577949</v>
      </c>
    </row>
    <row r="365" spans="1:17" x14ac:dyDescent="0.35">
      <c r="A365" t="s">
        <v>1751</v>
      </c>
      <c r="B365" t="s">
        <v>23</v>
      </c>
      <c r="C365" t="s">
        <v>44</v>
      </c>
      <c r="D365" t="s">
        <v>43</v>
      </c>
      <c r="E365" t="s">
        <v>48</v>
      </c>
      <c r="F365" t="s">
        <v>30</v>
      </c>
      <c r="G365" t="s">
        <v>1719</v>
      </c>
      <c r="J365" s="2"/>
      <c r="K365" s="2">
        <v>45322.852331562499</v>
      </c>
      <c r="L365" s="2">
        <v>45272.538807870369</v>
      </c>
      <c r="M365" t="s">
        <v>1989</v>
      </c>
      <c r="N365" t="s">
        <v>1974</v>
      </c>
      <c r="O365" s="2">
        <v>45316.525799374998</v>
      </c>
      <c r="P365" s="2">
        <v>45320.694666747688</v>
      </c>
      <c r="Q365" s="7">
        <f t="shared" si="5"/>
        <v>4.1688673726894194</v>
      </c>
    </row>
    <row r="366" spans="1:17" x14ac:dyDescent="0.35">
      <c r="A366" t="s">
        <v>1450</v>
      </c>
      <c r="B366" t="s">
        <v>23</v>
      </c>
      <c r="C366" t="s">
        <v>44</v>
      </c>
      <c r="D366" t="s">
        <v>409</v>
      </c>
      <c r="E366" t="s">
        <v>32</v>
      </c>
      <c r="F366" t="s">
        <v>30</v>
      </c>
      <c r="G366" t="s">
        <v>1441</v>
      </c>
      <c r="H366">
        <v>1</v>
      </c>
      <c r="J366" s="2">
        <v>45422.166666666664</v>
      </c>
      <c r="K366" s="2">
        <v>45504.761479756948</v>
      </c>
      <c r="L366" s="2">
        <v>45274.394270833334</v>
      </c>
      <c r="M366" t="s">
        <v>1969</v>
      </c>
      <c r="N366" t="s">
        <v>1970</v>
      </c>
      <c r="O366" s="2">
        <v>45325.231332858799</v>
      </c>
      <c r="P366" s="2">
        <v>45335.566882893516</v>
      </c>
      <c r="Q366" s="7">
        <f t="shared" si="5"/>
        <v>7</v>
      </c>
    </row>
    <row r="367" spans="1:17" x14ac:dyDescent="0.35">
      <c r="A367" t="s">
        <v>655</v>
      </c>
      <c r="B367" t="s">
        <v>23</v>
      </c>
      <c r="C367" t="s">
        <v>44</v>
      </c>
      <c r="D367" t="s">
        <v>244</v>
      </c>
      <c r="E367" t="s">
        <v>38</v>
      </c>
      <c r="F367" t="s">
        <v>30</v>
      </c>
      <c r="G367" t="s">
        <v>28</v>
      </c>
      <c r="H367">
        <v>11</v>
      </c>
      <c r="I367" t="s">
        <v>81</v>
      </c>
      <c r="J367" s="2">
        <v>45387.166666666664</v>
      </c>
      <c r="K367" s="2">
        <v>45594.017148310188</v>
      </c>
      <c r="L367" s="2">
        <v>45276.03466435185</v>
      </c>
      <c r="M367" t="s">
        <v>1981</v>
      </c>
      <c r="N367" t="s">
        <v>1970</v>
      </c>
      <c r="O367" s="2">
        <v>45453.409940590274</v>
      </c>
      <c r="P367" s="2">
        <v>45465.064416504632</v>
      </c>
      <c r="Q367" s="7">
        <f t="shared" si="5"/>
        <v>10</v>
      </c>
    </row>
    <row r="368" spans="1:17" x14ac:dyDescent="0.35">
      <c r="A368" t="s">
        <v>655</v>
      </c>
      <c r="B368" t="s">
        <v>23</v>
      </c>
      <c r="C368" t="s">
        <v>44</v>
      </c>
      <c r="D368" t="s">
        <v>244</v>
      </c>
      <c r="E368" t="s">
        <v>38</v>
      </c>
      <c r="F368" t="s">
        <v>30</v>
      </c>
      <c r="G368" t="s">
        <v>28</v>
      </c>
      <c r="H368">
        <v>11</v>
      </c>
      <c r="I368" t="s">
        <v>81</v>
      </c>
      <c r="J368" s="2">
        <v>45387.166666666664</v>
      </c>
      <c r="K368" s="2">
        <v>45594.017148310188</v>
      </c>
      <c r="L368" s="2">
        <v>45276.03466435185</v>
      </c>
      <c r="M368" t="s">
        <v>1981</v>
      </c>
      <c r="N368" t="s">
        <v>1970</v>
      </c>
      <c r="O368" s="2">
        <v>45467.242779664353</v>
      </c>
      <c r="P368" s="2">
        <v>45470.005635208334</v>
      </c>
      <c r="Q368" s="7">
        <f t="shared" si="5"/>
        <v>4</v>
      </c>
    </row>
    <row r="369" spans="1:17" x14ac:dyDescent="0.35">
      <c r="A369" t="s">
        <v>655</v>
      </c>
      <c r="B369" t="s">
        <v>23</v>
      </c>
      <c r="C369" t="s">
        <v>44</v>
      </c>
      <c r="D369" t="s">
        <v>244</v>
      </c>
      <c r="E369" t="s">
        <v>38</v>
      </c>
      <c r="F369" t="s">
        <v>30</v>
      </c>
      <c r="G369" t="s">
        <v>28</v>
      </c>
      <c r="H369">
        <v>11</v>
      </c>
      <c r="I369" t="s">
        <v>81</v>
      </c>
      <c r="J369" s="2">
        <v>45387.166666666664</v>
      </c>
      <c r="K369" s="2">
        <v>45594.017148310188</v>
      </c>
      <c r="L369" s="2">
        <v>45276.03466435185</v>
      </c>
      <c r="M369" t="s">
        <v>1982</v>
      </c>
      <c r="N369" t="s">
        <v>1970</v>
      </c>
      <c r="O369" s="2">
        <v>45484.256051481483</v>
      </c>
      <c r="P369" s="2">
        <v>45529.987429108798</v>
      </c>
      <c r="Q369" s="7">
        <f t="shared" si="5"/>
        <v>32</v>
      </c>
    </row>
    <row r="370" spans="1:17" x14ac:dyDescent="0.35">
      <c r="A370" t="s">
        <v>655</v>
      </c>
      <c r="B370" t="s">
        <v>23</v>
      </c>
      <c r="C370" t="s">
        <v>44</v>
      </c>
      <c r="D370" t="s">
        <v>244</v>
      </c>
      <c r="E370" t="s">
        <v>38</v>
      </c>
      <c r="F370" t="s">
        <v>30</v>
      </c>
      <c r="G370" t="s">
        <v>28</v>
      </c>
      <c r="H370">
        <v>11</v>
      </c>
      <c r="I370" t="s">
        <v>81</v>
      </c>
      <c r="J370" s="2">
        <v>45387.166666666664</v>
      </c>
      <c r="K370" s="2">
        <v>45594.017148310188</v>
      </c>
      <c r="L370" s="2">
        <v>45276.03466435185</v>
      </c>
      <c r="M370" t="s">
        <v>1982</v>
      </c>
      <c r="N370" t="s">
        <v>1970</v>
      </c>
      <c r="O370" s="2">
        <v>45530.205310543985</v>
      </c>
      <c r="P370" s="2">
        <v>45560.346125868055</v>
      </c>
      <c r="Q370" s="7">
        <f t="shared" si="5"/>
        <v>23</v>
      </c>
    </row>
    <row r="371" spans="1:17" x14ac:dyDescent="0.35">
      <c r="A371" t="s">
        <v>655</v>
      </c>
      <c r="B371" t="s">
        <v>23</v>
      </c>
      <c r="C371" t="s">
        <v>44</v>
      </c>
      <c r="D371" t="s">
        <v>244</v>
      </c>
      <c r="E371" t="s">
        <v>38</v>
      </c>
      <c r="F371" t="s">
        <v>30</v>
      </c>
      <c r="G371" t="s">
        <v>28</v>
      </c>
      <c r="H371">
        <v>11</v>
      </c>
      <c r="I371" t="s">
        <v>81</v>
      </c>
      <c r="J371" s="2">
        <v>45387.166666666664</v>
      </c>
      <c r="K371" s="2">
        <v>45594.017148310188</v>
      </c>
      <c r="L371" s="2">
        <v>45276.03466435185</v>
      </c>
      <c r="M371" t="s">
        <v>1980</v>
      </c>
      <c r="N371" t="s">
        <v>1970</v>
      </c>
      <c r="O371" s="2">
        <v>45565.583628206019</v>
      </c>
      <c r="P371" s="2">
        <v>45569.737509340281</v>
      </c>
      <c r="Q371" s="7">
        <f t="shared" si="5"/>
        <v>5</v>
      </c>
    </row>
    <row r="372" spans="1:17" x14ac:dyDescent="0.35">
      <c r="A372" t="s">
        <v>1715</v>
      </c>
      <c r="B372" t="s">
        <v>23</v>
      </c>
      <c r="C372" t="s">
        <v>44</v>
      </c>
      <c r="D372" t="s">
        <v>113</v>
      </c>
      <c r="E372" t="s">
        <v>38</v>
      </c>
      <c r="F372" t="s">
        <v>30</v>
      </c>
      <c r="G372" t="s">
        <v>1716</v>
      </c>
      <c r="H372">
        <v>6</v>
      </c>
      <c r="J372" s="2">
        <v>45427.166666666664</v>
      </c>
      <c r="K372" s="2">
        <v>45499.621310671297</v>
      </c>
      <c r="L372" s="2">
        <v>45278.709641203706</v>
      </c>
      <c r="M372" t="s">
        <v>1971</v>
      </c>
      <c r="N372" t="s">
        <v>1970</v>
      </c>
      <c r="O372" s="2">
        <v>45320.778299513891</v>
      </c>
      <c r="P372" s="2">
        <v>45343.69780603009</v>
      </c>
      <c r="Q372" s="7">
        <f t="shared" si="5"/>
        <v>18</v>
      </c>
    </row>
    <row r="373" spans="1:17" x14ac:dyDescent="0.35">
      <c r="A373" t="s">
        <v>1715</v>
      </c>
      <c r="B373" t="s">
        <v>23</v>
      </c>
      <c r="C373" t="s">
        <v>44</v>
      </c>
      <c r="D373" t="s">
        <v>113</v>
      </c>
      <c r="E373" t="s">
        <v>38</v>
      </c>
      <c r="F373" t="s">
        <v>30</v>
      </c>
      <c r="G373" t="s">
        <v>1716</v>
      </c>
      <c r="H373">
        <v>6</v>
      </c>
      <c r="J373" s="2">
        <v>45427.166666666664</v>
      </c>
      <c r="K373" s="2">
        <v>45499.621310671297</v>
      </c>
      <c r="L373" s="2">
        <v>45278.709641203706</v>
      </c>
      <c r="M373" t="s">
        <v>1980</v>
      </c>
      <c r="N373" t="s">
        <v>1970</v>
      </c>
      <c r="O373" s="2">
        <v>45385.779549664352</v>
      </c>
      <c r="P373" s="2">
        <v>45418.678264340277</v>
      </c>
      <c r="Q373" s="7">
        <f t="shared" si="5"/>
        <v>24</v>
      </c>
    </row>
    <row r="374" spans="1:17" x14ac:dyDescent="0.35">
      <c r="A374" t="s">
        <v>1715</v>
      </c>
      <c r="B374" t="s">
        <v>23</v>
      </c>
      <c r="C374" t="s">
        <v>44</v>
      </c>
      <c r="D374" t="s">
        <v>113</v>
      </c>
      <c r="E374" t="s">
        <v>38</v>
      </c>
      <c r="F374" t="s">
        <v>30</v>
      </c>
      <c r="G374" t="s">
        <v>1716</v>
      </c>
      <c r="H374">
        <v>6</v>
      </c>
      <c r="J374" s="2">
        <v>45427.166666666664</v>
      </c>
      <c r="K374" s="2">
        <v>45499.621310671297</v>
      </c>
      <c r="L374" s="2">
        <v>45278.709641203706</v>
      </c>
      <c r="M374" t="s">
        <v>1972</v>
      </c>
      <c r="N374" t="s">
        <v>1970</v>
      </c>
      <c r="O374" s="2">
        <v>45389.278991238425</v>
      </c>
      <c r="P374" s="2"/>
      <c r="Q374" s="7" t="str">
        <f t="shared" si="5"/>
        <v/>
      </c>
    </row>
    <row r="375" spans="1:17" x14ac:dyDescent="0.35">
      <c r="A375" t="s">
        <v>1683</v>
      </c>
      <c r="B375" t="s">
        <v>23</v>
      </c>
      <c r="C375" t="s">
        <v>44</v>
      </c>
      <c r="D375" t="s">
        <v>130</v>
      </c>
      <c r="E375" t="s">
        <v>38</v>
      </c>
      <c r="F375" t="s">
        <v>30</v>
      </c>
      <c r="G375" t="s">
        <v>1633</v>
      </c>
      <c r="H375">
        <v>11</v>
      </c>
      <c r="J375" s="2">
        <v>45513.166666666664</v>
      </c>
      <c r="K375" s="2">
        <v>45537.0761203125</v>
      </c>
      <c r="L375" s="2">
        <v>45281.664247685185</v>
      </c>
      <c r="M375" t="s">
        <v>1969</v>
      </c>
      <c r="N375" t="s">
        <v>1995</v>
      </c>
      <c r="O375" s="2">
        <v>45315.844404849537</v>
      </c>
      <c r="P375" s="2">
        <v>45345.201196041664</v>
      </c>
      <c r="Q375" s="7">
        <f t="shared" si="5"/>
        <v>23</v>
      </c>
    </row>
    <row r="376" spans="1:17" x14ac:dyDescent="0.35">
      <c r="A376" t="s">
        <v>1683</v>
      </c>
      <c r="B376" t="s">
        <v>23</v>
      </c>
      <c r="C376" t="s">
        <v>44</v>
      </c>
      <c r="D376" t="s">
        <v>130</v>
      </c>
      <c r="E376" t="s">
        <v>38</v>
      </c>
      <c r="F376" t="s">
        <v>30</v>
      </c>
      <c r="G376" t="s">
        <v>1633</v>
      </c>
      <c r="H376">
        <v>11</v>
      </c>
      <c r="J376" s="2">
        <v>45513.166666666664</v>
      </c>
      <c r="K376" s="2">
        <v>45537.0761203125</v>
      </c>
      <c r="L376" s="2">
        <v>45281.664247685185</v>
      </c>
      <c r="M376" t="s">
        <v>1975</v>
      </c>
      <c r="N376" t="s">
        <v>1970</v>
      </c>
      <c r="O376" s="2">
        <v>45435.138650312503</v>
      </c>
      <c r="P376" s="2">
        <v>45463.15908675926</v>
      </c>
      <c r="Q376" s="7">
        <f t="shared" si="5"/>
        <v>21</v>
      </c>
    </row>
    <row r="377" spans="1:17" x14ac:dyDescent="0.35">
      <c r="A377" t="s">
        <v>1683</v>
      </c>
      <c r="B377" t="s">
        <v>23</v>
      </c>
      <c r="C377" t="s">
        <v>44</v>
      </c>
      <c r="D377" t="s">
        <v>130</v>
      </c>
      <c r="E377" t="s">
        <v>38</v>
      </c>
      <c r="F377" t="s">
        <v>30</v>
      </c>
      <c r="G377" t="s">
        <v>1633</v>
      </c>
      <c r="H377">
        <v>11</v>
      </c>
      <c r="J377" s="2">
        <v>45513.166666666664</v>
      </c>
      <c r="K377" s="2">
        <v>45537.0761203125</v>
      </c>
      <c r="L377" s="2">
        <v>45281.664247685185</v>
      </c>
      <c r="M377" t="s">
        <v>1973</v>
      </c>
      <c r="N377" t="s">
        <v>1976</v>
      </c>
      <c r="O377" s="2">
        <v>45447.79050372685</v>
      </c>
      <c r="P377" s="2">
        <v>45456.531062534719</v>
      </c>
      <c r="Q377" s="7">
        <f t="shared" si="5"/>
        <v>8</v>
      </c>
    </row>
    <row r="378" spans="1:17" x14ac:dyDescent="0.35">
      <c r="A378" t="s">
        <v>564</v>
      </c>
      <c r="B378" t="s">
        <v>23</v>
      </c>
      <c r="C378" t="s">
        <v>44</v>
      </c>
      <c r="D378" t="s">
        <v>43</v>
      </c>
      <c r="E378" t="s">
        <v>38</v>
      </c>
      <c r="F378" t="s">
        <v>30</v>
      </c>
      <c r="G378" t="s">
        <v>28</v>
      </c>
      <c r="H378">
        <v>9</v>
      </c>
      <c r="J378" s="2">
        <v>45359.208333333336</v>
      </c>
      <c r="K378" s="2">
        <v>45511.700802083331</v>
      </c>
      <c r="L378" s="2">
        <v>45294.749780092592</v>
      </c>
      <c r="M378" t="s">
        <v>1980</v>
      </c>
      <c r="N378" t="s">
        <v>1987</v>
      </c>
      <c r="O378" s="2">
        <v>45477.064649085645</v>
      </c>
      <c r="P378" s="2">
        <v>45483.888399583331</v>
      </c>
      <c r="Q378" s="7">
        <f t="shared" si="5"/>
        <v>5</v>
      </c>
    </row>
    <row r="379" spans="1:17" x14ac:dyDescent="0.35">
      <c r="A379" t="s">
        <v>835</v>
      </c>
      <c r="B379" t="s">
        <v>23</v>
      </c>
      <c r="C379" t="s">
        <v>44</v>
      </c>
      <c r="D379" t="s">
        <v>54</v>
      </c>
      <c r="E379" t="s">
        <v>38</v>
      </c>
      <c r="F379" t="s">
        <v>30</v>
      </c>
      <c r="G379" t="s">
        <v>28</v>
      </c>
      <c r="H379">
        <v>16</v>
      </c>
      <c r="J379" s="2">
        <v>45761.166666666664</v>
      </c>
      <c r="K379" s="2">
        <v>45841.062667824073</v>
      </c>
      <c r="L379" s="2">
        <v>45282.372673611113</v>
      </c>
      <c r="M379" t="s">
        <v>1977</v>
      </c>
      <c r="N379" t="s">
        <v>1995</v>
      </c>
      <c r="O379" s="2">
        <v>45304.77811752315</v>
      </c>
      <c r="P379" s="2">
        <v>45525.352392638888</v>
      </c>
      <c r="Q379" s="7">
        <f t="shared" si="5"/>
        <v>158</v>
      </c>
    </row>
    <row r="380" spans="1:17" x14ac:dyDescent="0.35">
      <c r="A380" t="s">
        <v>835</v>
      </c>
      <c r="B380" t="s">
        <v>23</v>
      </c>
      <c r="C380" t="s">
        <v>44</v>
      </c>
      <c r="D380" t="s">
        <v>54</v>
      </c>
      <c r="E380" t="s">
        <v>38</v>
      </c>
      <c r="F380" t="s">
        <v>30</v>
      </c>
      <c r="G380" t="s">
        <v>28</v>
      </c>
      <c r="H380">
        <v>16</v>
      </c>
      <c r="J380" s="2">
        <v>45761.166666666664</v>
      </c>
      <c r="K380" s="2">
        <v>45841.062667824073</v>
      </c>
      <c r="L380" s="2">
        <v>45282.372673611113</v>
      </c>
      <c r="M380" t="s">
        <v>1979</v>
      </c>
      <c r="N380" t="s">
        <v>1970</v>
      </c>
      <c r="O380" s="2">
        <v>45456.085641516205</v>
      </c>
      <c r="P380" s="2">
        <v>45476.227034837961</v>
      </c>
      <c r="Q380" s="7">
        <f t="shared" si="5"/>
        <v>15</v>
      </c>
    </row>
    <row r="381" spans="1:17" x14ac:dyDescent="0.35">
      <c r="A381" t="s">
        <v>835</v>
      </c>
      <c r="B381" t="s">
        <v>23</v>
      </c>
      <c r="C381" t="s">
        <v>44</v>
      </c>
      <c r="D381" t="s">
        <v>54</v>
      </c>
      <c r="E381" t="s">
        <v>38</v>
      </c>
      <c r="F381" t="s">
        <v>30</v>
      </c>
      <c r="G381" t="s">
        <v>28</v>
      </c>
      <c r="H381">
        <v>16</v>
      </c>
      <c r="J381" s="2">
        <v>45761.166666666664</v>
      </c>
      <c r="K381" s="2">
        <v>45841.062667824073</v>
      </c>
      <c r="L381" s="2">
        <v>45282.372673611113</v>
      </c>
      <c r="M381" t="s">
        <v>1982</v>
      </c>
      <c r="N381" t="s">
        <v>1970</v>
      </c>
      <c r="O381" s="2">
        <v>45510.513495706022</v>
      </c>
      <c r="P381" s="2">
        <v>45525.351437662037</v>
      </c>
      <c r="Q381" s="7">
        <f t="shared" si="5"/>
        <v>12</v>
      </c>
    </row>
    <row r="382" spans="1:17" x14ac:dyDescent="0.35">
      <c r="A382" t="s">
        <v>835</v>
      </c>
      <c r="B382" t="s">
        <v>23</v>
      </c>
      <c r="C382" t="s">
        <v>44</v>
      </c>
      <c r="D382" t="s">
        <v>54</v>
      </c>
      <c r="E382" t="s">
        <v>38</v>
      </c>
      <c r="F382" t="s">
        <v>30</v>
      </c>
      <c r="G382" t="s">
        <v>28</v>
      </c>
      <c r="H382">
        <v>16</v>
      </c>
      <c r="J382" s="2">
        <v>45761.166666666664</v>
      </c>
      <c r="K382" s="2">
        <v>45841.062667824073</v>
      </c>
      <c r="L382" s="2">
        <v>45282.372673611113</v>
      </c>
      <c r="M382" t="s">
        <v>1975</v>
      </c>
      <c r="N382" t="s">
        <v>1970</v>
      </c>
      <c r="O382" s="2">
        <v>45600.181841851852</v>
      </c>
      <c r="P382" s="2">
        <v>45684.073595694441</v>
      </c>
      <c r="Q382" s="7">
        <f t="shared" si="5"/>
        <v>61</v>
      </c>
    </row>
    <row r="383" spans="1:17" x14ac:dyDescent="0.35">
      <c r="A383" t="s">
        <v>485</v>
      </c>
      <c r="B383" t="s">
        <v>23</v>
      </c>
      <c r="C383" t="s">
        <v>44</v>
      </c>
      <c r="D383" t="s">
        <v>113</v>
      </c>
      <c r="E383" t="s">
        <v>38</v>
      </c>
      <c r="F383" t="s">
        <v>30</v>
      </c>
      <c r="G383" t="s">
        <v>28</v>
      </c>
      <c r="H383">
        <v>6</v>
      </c>
      <c r="J383" s="2">
        <v>45387.166666666664</v>
      </c>
      <c r="K383" s="2">
        <v>45351.773753877314</v>
      </c>
      <c r="L383" s="2">
        <v>45286.727673611109</v>
      </c>
      <c r="M383" t="s">
        <v>1971</v>
      </c>
      <c r="N383" t="s">
        <v>1970</v>
      </c>
      <c r="O383" s="2">
        <v>45307.641804571758</v>
      </c>
      <c r="P383" s="2">
        <v>45320.552970277779</v>
      </c>
      <c r="Q383" s="7">
        <f t="shared" si="5"/>
        <v>10</v>
      </c>
    </row>
    <row r="384" spans="1:17" x14ac:dyDescent="0.35">
      <c r="A384" t="s">
        <v>485</v>
      </c>
      <c r="B384" t="s">
        <v>23</v>
      </c>
      <c r="C384" t="s">
        <v>44</v>
      </c>
      <c r="D384" t="s">
        <v>113</v>
      </c>
      <c r="E384" t="s">
        <v>38</v>
      </c>
      <c r="F384" t="s">
        <v>30</v>
      </c>
      <c r="G384" t="s">
        <v>28</v>
      </c>
      <c r="H384">
        <v>6</v>
      </c>
      <c r="J384" s="2">
        <v>45387.166666666664</v>
      </c>
      <c r="K384" s="2">
        <v>45351.773753877314</v>
      </c>
      <c r="L384" s="2">
        <v>45286.727673611109</v>
      </c>
      <c r="M384" t="s">
        <v>1971</v>
      </c>
      <c r="N384" t="s">
        <v>1970</v>
      </c>
      <c r="O384" s="2">
        <v>45327.761684837962</v>
      </c>
      <c r="P384" s="2">
        <v>45328.734614594905</v>
      </c>
      <c r="Q384" s="7">
        <f t="shared" si="5"/>
        <v>2</v>
      </c>
    </row>
    <row r="385" spans="1:17" x14ac:dyDescent="0.35">
      <c r="A385" t="s">
        <v>648</v>
      </c>
      <c r="B385" t="s">
        <v>23</v>
      </c>
      <c r="C385" t="s">
        <v>44</v>
      </c>
      <c r="D385" t="s">
        <v>51</v>
      </c>
      <c r="E385" t="s">
        <v>48</v>
      </c>
      <c r="F385" t="s">
        <v>30</v>
      </c>
      <c r="G385" t="s">
        <v>28</v>
      </c>
      <c r="H385">
        <v>11</v>
      </c>
      <c r="J385" s="2">
        <v>45338.208333333336</v>
      </c>
      <c r="K385" s="2">
        <v>45366.85916010417</v>
      </c>
      <c r="L385" s="2">
        <v>45295.903055555558</v>
      </c>
      <c r="M385" t="s">
        <v>1971</v>
      </c>
      <c r="N385" t="s">
        <v>1976</v>
      </c>
      <c r="O385" s="2">
        <v>45306.759348136577</v>
      </c>
      <c r="P385" s="2">
        <v>45350.637500914352</v>
      </c>
      <c r="Q385" s="7">
        <f t="shared" si="5"/>
        <v>43.87815277777554</v>
      </c>
    </row>
    <row r="386" spans="1:17" x14ac:dyDescent="0.35">
      <c r="A386" t="s">
        <v>648</v>
      </c>
      <c r="B386" t="s">
        <v>23</v>
      </c>
      <c r="C386" t="s">
        <v>44</v>
      </c>
      <c r="D386" t="s">
        <v>51</v>
      </c>
      <c r="E386" t="s">
        <v>48</v>
      </c>
      <c r="F386" t="s">
        <v>30</v>
      </c>
      <c r="G386" t="s">
        <v>28</v>
      </c>
      <c r="H386">
        <v>11</v>
      </c>
      <c r="J386" s="2">
        <v>45338.208333333336</v>
      </c>
      <c r="K386" s="2">
        <v>45366.85916010417</v>
      </c>
      <c r="L386" s="2">
        <v>45295.903055555558</v>
      </c>
      <c r="M386" t="s">
        <v>1980</v>
      </c>
      <c r="N386" t="s">
        <v>1970</v>
      </c>
      <c r="O386" s="2">
        <v>45308.643759432867</v>
      </c>
      <c r="P386" s="2">
        <v>45350.637612442129</v>
      </c>
      <c r="Q386" s="7">
        <f t="shared" si="5"/>
        <v>41.993853009262239</v>
      </c>
    </row>
    <row r="387" spans="1:17" x14ac:dyDescent="0.35">
      <c r="A387" t="s">
        <v>648</v>
      </c>
      <c r="B387" t="s">
        <v>23</v>
      </c>
      <c r="C387" t="s">
        <v>44</v>
      </c>
      <c r="D387" t="s">
        <v>51</v>
      </c>
      <c r="E387" t="s">
        <v>48</v>
      </c>
      <c r="F387" t="s">
        <v>30</v>
      </c>
      <c r="G387" t="s">
        <v>28</v>
      </c>
      <c r="H387">
        <v>11</v>
      </c>
      <c r="J387" s="2">
        <v>45338.208333333336</v>
      </c>
      <c r="K387" s="2">
        <v>45366.85916010417</v>
      </c>
      <c r="L387" s="2">
        <v>45295.903055555558</v>
      </c>
      <c r="M387" t="s">
        <v>1980</v>
      </c>
      <c r="N387" t="s">
        <v>1970</v>
      </c>
      <c r="O387" s="2">
        <v>45351.899951851854</v>
      </c>
      <c r="P387" s="2">
        <v>45355.745211018519</v>
      </c>
      <c r="Q387" s="7">
        <f t="shared" ref="Q387:Q450" si="6">IF(OR(O387="", P387=""), "", IF(OR(E387="PW1000G", E387="PW800"), P387 - O387, NETWORKDAYS(O387, P387)))</f>
        <v>3.8452591666646185</v>
      </c>
    </row>
    <row r="388" spans="1:17" x14ac:dyDescent="0.35">
      <c r="A388" t="s">
        <v>1145</v>
      </c>
      <c r="B388" t="s">
        <v>23</v>
      </c>
      <c r="C388" t="s">
        <v>44</v>
      </c>
      <c r="D388" t="s">
        <v>409</v>
      </c>
      <c r="E388" t="s">
        <v>48</v>
      </c>
      <c r="F388" t="s">
        <v>30</v>
      </c>
      <c r="G388" t="s">
        <v>28</v>
      </c>
      <c r="I388" t="s">
        <v>33</v>
      </c>
      <c r="J388" s="2">
        <v>45737.166666666664</v>
      </c>
      <c r="K388" s="2">
        <v>45720.735099710648</v>
      </c>
      <c r="L388" s="2">
        <v>45295.876226851855</v>
      </c>
      <c r="M388" t="s">
        <v>1979</v>
      </c>
      <c r="N388" t="s">
        <v>1983</v>
      </c>
      <c r="O388" s="2">
        <v>45541.624215949072</v>
      </c>
      <c r="P388" s="2">
        <v>45678.815847997685</v>
      </c>
      <c r="Q388" s="7">
        <f t="shared" si="6"/>
        <v>137.19163204861252</v>
      </c>
    </row>
    <row r="389" spans="1:17" x14ac:dyDescent="0.35">
      <c r="A389" t="s">
        <v>210</v>
      </c>
      <c r="B389" t="s">
        <v>23</v>
      </c>
      <c r="C389" t="s">
        <v>44</v>
      </c>
      <c r="D389" t="s">
        <v>113</v>
      </c>
      <c r="E389" t="s">
        <v>48</v>
      </c>
      <c r="F389" t="s">
        <v>30</v>
      </c>
      <c r="G389" t="s">
        <v>28</v>
      </c>
      <c r="H389">
        <v>1</v>
      </c>
      <c r="J389" s="2">
        <v>45408.166666666664</v>
      </c>
      <c r="K389" s="2">
        <v>45433.547714259257</v>
      </c>
      <c r="L389" s="2">
        <v>45295.897986111115</v>
      </c>
      <c r="M389" t="s">
        <v>1969</v>
      </c>
      <c r="N389" t="s">
        <v>1970</v>
      </c>
      <c r="O389" s="2">
        <v>45321.66585096065</v>
      </c>
      <c r="P389" s="2">
        <v>45351.791596122683</v>
      </c>
      <c r="Q389" s="7">
        <f t="shared" si="6"/>
        <v>30.125745162033127</v>
      </c>
    </row>
    <row r="390" spans="1:17" x14ac:dyDescent="0.35">
      <c r="A390" t="s">
        <v>210</v>
      </c>
      <c r="B390" t="s">
        <v>23</v>
      </c>
      <c r="C390" t="s">
        <v>44</v>
      </c>
      <c r="D390" t="s">
        <v>113</v>
      </c>
      <c r="E390" t="s">
        <v>48</v>
      </c>
      <c r="F390" t="s">
        <v>30</v>
      </c>
      <c r="G390" t="s">
        <v>28</v>
      </c>
      <c r="H390">
        <v>1</v>
      </c>
      <c r="J390" s="2">
        <v>45408.166666666664</v>
      </c>
      <c r="K390" s="2">
        <v>45433.547714259257</v>
      </c>
      <c r="L390" s="2">
        <v>45295.897986111115</v>
      </c>
      <c r="M390" t="s">
        <v>1969</v>
      </c>
      <c r="N390" t="s">
        <v>1978</v>
      </c>
      <c r="O390" s="2">
        <v>45351.791772418983</v>
      </c>
      <c r="P390" s="2">
        <v>45383.623644502317</v>
      </c>
      <c r="Q390" s="7">
        <f t="shared" si="6"/>
        <v>31.831872083334019</v>
      </c>
    </row>
    <row r="391" spans="1:17" x14ac:dyDescent="0.35">
      <c r="A391" t="s">
        <v>210</v>
      </c>
      <c r="B391" t="s">
        <v>23</v>
      </c>
      <c r="C391" t="s">
        <v>44</v>
      </c>
      <c r="D391" t="s">
        <v>113</v>
      </c>
      <c r="E391" t="s">
        <v>48</v>
      </c>
      <c r="F391" t="s">
        <v>30</v>
      </c>
      <c r="G391" t="s">
        <v>28</v>
      </c>
      <c r="H391">
        <v>1</v>
      </c>
      <c r="J391" s="2">
        <v>45408.166666666664</v>
      </c>
      <c r="K391" s="2">
        <v>45433.547714259257</v>
      </c>
      <c r="L391" s="2">
        <v>45295.897986111115</v>
      </c>
      <c r="M391" t="s">
        <v>1969</v>
      </c>
      <c r="N391" t="s">
        <v>1970</v>
      </c>
      <c r="O391" s="2">
        <v>45383.623770312501</v>
      </c>
      <c r="P391" s="2">
        <v>45383.734783993059</v>
      </c>
      <c r="Q391" s="7">
        <f t="shared" si="6"/>
        <v>0.11101368055824423</v>
      </c>
    </row>
    <row r="392" spans="1:17" x14ac:dyDescent="0.35">
      <c r="A392" t="s">
        <v>210</v>
      </c>
      <c r="B392" t="s">
        <v>23</v>
      </c>
      <c r="C392" t="s">
        <v>44</v>
      </c>
      <c r="D392" t="s">
        <v>113</v>
      </c>
      <c r="E392" t="s">
        <v>48</v>
      </c>
      <c r="F392" t="s">
        <v>30</v>
      </c>
      <c r="G392" t="s">
        <v>28</v>
      </c>
      <c r="H392">
        <v>1</v>
      </c>
      <c r="J392" s="2">
        <v>45408.166666666664</v>
      </c>
      <c r="K392" s="2">
        <v>45433.547714259257</v>
      </c>
      <c r="L392" s="2">
        <v>45295.897986111115</v>
      </c>
      <c r="M392" t="s">
        <v>1971</v>
      </c>
      <c r="N392" t="s">
        <v>1970</v>
      </c>
      <c r="O392" s="2">
        <v>45383.735494085646</v>
      </c>
      <c r="P392" s="2">
        <v>45404.66895417824</v>
      </c>
      <c r="Q392" s="7">
        <f t="shared" si="6"/>
        <v>20.933460092594032</v>
      </c>
    </row>
    <row r="393" spans="1:17" x14ac:dyDescent="0.35">
      <c r="A393" t="s">
        <v>210</v>
      </c>
      <c r="B393" t="s">
        <v>23</v>
      </c>
      <c r="C393" t="s">
        <v>44</v>
      </c>
      <c r="D393" t="s">
        <v>113</v>
      </c>
      <c r="E393" t="s">
        <v>48</v>
      </c>
      <c r="F393" t="s">
        <v>30</v>
      </c>
      <c r="G393" t="s">
        <v>28</v>
      </c>
      <c r="H393">
        <v>1</v>
      </c>
      <c r="J393" s="2">
        <v>45408.166666666664</v>
      </c>
      <c r="K393" s="2">
        <v>45433.547714259257</v>
      </c>
      <c r="L393" s="2">
        <v>45295.897986111115</v>
      </c>
      <c r="M393" t="s">
        <v>1980</v>
      </c>
      <c r="N393" t="s">
        <v>1970</v>
      </c>
      <c r="O393" s="2">
        <v>45384.669516354166</v>
      </c>
      <c r="P393" s="2">
        <v>45404.706661828706</v>
      </c>
      <c r="Q393" s="7">
        <f t="shared" si="6"/>
        <v>20.037145474540011</v>
      </c>
    </row>
    <row r="394" spans="1:17" x14ac:dyDescent="0.35">
      <c r="A394" t="s">
        <v>1549</v>
      </c>
      <c r="B394" t="s">
        <v>23</v>
      </c>
      <c r="C394" t="s">
        <v>44</v>
      </c>
      <c r="D394" t="s">
        <v>113</v>
      </c>
      <c r="E394" t="s">
        <v>38</v>
      </c>
      <c r="F394" t="s">
        <v>30</v>
      </c>
      <c r="G394" t="s">
        <v>1441</v>
      </c>
      <c r="H394">
        <v>8</v>
      </c>
      <c r="J394" s="2">
        <v>45398.166666666664</v>
      </c>
      <c r="K394" s="2">
        <v>45427.815180185185</v>
      </c>
      <c r="L394" s="2">
        <v>45296.803182870368</v>
      </c>
      <c r="M394" t="s">
        <v>1969</v>
      </c>
      <c r="N394" t="s">
        <v>1970</v>
      </c>
      <c r="O394" s="2">
        <v>45306.673744756947</v>
      </c>
      <c r="P394" s="2">
        <v>45313.541244699074</v>
      </c>
      <c r="Q394" s="7">
        <f t="shared" si="6"/>
        <v>6</v>
      </c>
    </row>
    <row r="395" spans="1:17" x14ac:dyDescent="0.35">
      <c r="A395" t="s">
        <v>1077</v>
      </c>
      <c r="B395" t="s">
        <v>23</v>
      </c>
      <c r="C395" t="s">
        <v>44</v>
      </c>
      <c r="D395" t="s">
        <v>135</v>
      </c>
      <c r="E395" t="s">
        <v>32</v>
      </c>
      <c r="F395" t="s">
        <v>30</v>
      </c>
      <c r="G395" t="s">
        <v>28</v>
      </c>
      <c r="J395" s="2">
        <v>45345.208333333336</v>
      </c>
      <c r="K395" s="2">
        <v>45329.822951504633</v>
      </c>
      <c r="L395" s="2">
        <v>45300.42591435185</v>
      </c>
      <c r="M395" t="s">
        <v>1971</v>
      </c>
      <c r="N395" t="s">
        <v>1970</v>
      </c>
      <c r="O395" s="2">
        <v>45313.782223622686</v>
      </c>
      <c r="P395" s="2">
        <v>45314.617758564818</v>
      </c>
      <c r="Q395" s="7">
        <f t="shared" si="6"/>
        <v>2</v>
      </c>
    </row>
    <row r="396" spans="1:17" x14ac:dyDescent="0.35">
      <c r="A396" t="s">
        <v>1077</v>
      </c>
      <c r="B396" t="s">
        <v>23</v>
      </c>
      <c r="C396" t="s">
        <v>44</v>
      </c>
      <c r="D396" t="s">
        <v>135</v>
      </c>
      <c r="E396" t="s">
        <v>32</v>
      </c>
      <c r="F396" t="s">
        <v>30</v>
      </c>
      <c r="G396" t="s">
        <v>28</v>
      </c>
      <c r="J396" s="2">
        <v>45345.208333333336</v>
      </c>
      <c r="K396" s="2">
        <v>45329.822951504633</v>
      </c>
      <c r="L396" s="2">
        <v>45300.42591435185</v>
      </c>
      <c r="M396" t="s">
        <v>1972</v>
      </c>
      <c r="N396" t="s">
        <v>1970</v>
      </c>
      <c r="O396" s="2">
        <v>45316.764006793979</v>
      </c>
      <c r="P396" s="2">
        <v>45321.763698333336</v>
      </c>
      <c r="Q396" s="7">
        <f t="shared" si="6"/>
        <v>4</v>
      </c>
    </row>
    <row r="397" spans="1:17" x14ac:dyDescent="0.35">
      <c r="A397" t="s">
        <v>393</v>
      </c>
      <c r="B397" t="s">
        <v>23</v>
      </c>
      <c r="C397" t="s">
        <v>44</v>
      </c>
      <c r="D397" t="s">
        <v>76</v>
      </c>
      <c r="E397" t="s">
        <v>48</v>
      </c>
      <c r="F397" t="s">
        <v>30</v>
      </c>
      <c r="G397" t="s">
        <v>28</v>
      </c>
      <c r="H397">
        <v>4</v>
      </c>
      <c r="J397" s="2">
        <v>45418.166666666664</v>
      </c>
      <c r="K397" s="2">
        <v>45474.559534178239</v>
      </c>
      <c r="L397" s="2">
        <v>45302.682164351849</v>
      </c>
      <c r="M397" t="s">
        <v>1969</v>
      </c>
      <c r="N397" t="s">
        <v>1970</v>
      </c>
      <c r="O397" s="2">
        <v>45330.626726898146</v>
      </c>
      <c r="P397" s="2">
        <v>45335.57454454861</v>
      </c>
      <c r="Q397" s="7">
        <f t="shared" si="6"/>
        <v>4.9478176504635485</v>
      </c>
    </row>
    <row r="398" spans="1:17" x14ac:dyDescent="0.35">
      <c r="A398" t="s">
        <v>393</v>
      </c>
      <c r="B398" t="s">
        <v>23</v>
      </c>
      <c r="C398" t="s">
        <v>44</v>
      </c>
      <c r="D398" t="s">
        <v>76</v>
      </c>
      <c r="E398" t="s">
        <v>48</v>
      </c>
      <c r="F398" t="s">
        <v>30</v>
      </c>
      <c r="G398" t="s">
        <v>28</v>
      </c>
      <c r="H398">
        <v>4</v>
      </c>
      <c r="J398" s="2">
        <v>45418.166666666664</v>
      </c>
      <c r="K398" s="2">
        <v>45474.559534178239</v>
      </c>
      <c r="L398" s="2">
        <v>45302.682164351849</v>
      </c>
      <c r="M398" t="s">
        <v>1980</v>
      </c>
      <c r="N398" t="s">
        <v>1974</v>
      </c>
      <c r="O398" s="2">
        <v>45371.685028402775</v>
      </c>
      <c r="P398" s="2">
        <v>45386.836101273148</v>
      </c>
      <c r="Q398" s="7">
        <f t="shared" si="6"/>
        <v>15.151072870372445</v>
      </c>
    </row>
    <row r="399" spans="1:17" x14ac:dyDescent="0.35">
      <c r="A399" t="s">
        <v>393</v>
      </c>
      <c r="B399" t="s">
        <v>23</v>
      </c>
      <c r="C399" t="s">
        <v>44</v>
      </c>
      <c r="D399" t="s">
        <v>76</v>
      </c>
      <c r="E399" t="s">
        <v>48</v>
      </c>
      <c r="F399" t="s">
        <v>30</v>
      </c>
      <c r="G399" t="s">
        <v>28</v>
      </c>
      <c r="H399">
        <v>4</v>
      </c>
      <c r="J399" s="2">
        <v>45418.166666666664</v>
      </c>
      <c r="K399" s="2">
        <v>45474.559534178239</v>
      </c>
      <c r="L399" s="2">
        <v>45302.682164351849</v>
      </c>
      <c r="M399" t="s">
        <v>1989</v>
      </c>
      <c r="N399" t="s">
        <v>1990</v>
      </c>
      <c r="O399" s="2">
        <v>45464.794194895832</v>
      </c>
      <c r="P399" s="2">
        <v>45471.756907893519</v>
      </c>
      <c r="Q399" s="7">
        <f t="shared" si="6"/>
        <v>6.9627129976870492</v>
      </c>
    </row>
    <row r="400" spans="1:17" x14ac:dyDescent="0.35">
      <c r="A400" t="s">
        <v>213</v>
      </c>
      <c r="B400" t="s">
        <v>23</v>
      </c>
      <c r="C400" t="s">
        <v>44</v>
      </c>
      <c r="D400" t="s">
        <v>113</v>
      </c>
      <c r="E400" t="s">
        <v>38</v>
      </c>
      <c r="F400" t="s">
        <v>30</v>
      </c>
      <c r="G400" t="s">
        <v>28</v>
      </c>
      <c r="H400">
        <v>1</v>
      </c>
      <c r="J400" s="2">
        <v>45457.166666666664</v>
      </c>
      <c r="K400" s="2">
        <v>45498.800291145832</v>
      </c>
      <c r="L400" s="2">
        <v>45313.874236111114</v>
      </c>
      <c r="M400" t="s">
        <v>1969</v>
      </c>
      <c r="N400" t="s">
        <v>1970</v>
      </c>
      <c r="O400" s="2">
        <v>45334.74040383102</v>
      </c>
      <c r="P400" s="2">
        <v>45338.67613010417</v>
      </c>
      <c r="Q400" s="7">
        <f t="shared" si="6"/>
        <v>5</v>
      </c>
    </row>
    <row r="401" spans="1:17" x14ac:dyDescent="0.35">
      <c r="A401" t="s">
        <v>213</v>
      </c>
      <c r="B401" t="s">
        <v>23</v>
      </c>
      <c r="C401" t="s">
        <v>44</v>
      </c>
      <c r="D401" t="s">
        <v>113</v>
      </c>
      <c r="E401" t="s">
        <v>38</v>
      </c>
      <c r="F401" t="s">
        <v>30</v>
      </c>
      <c r="G401" t="s">
        <v>28</v>
      </c>
      <c r="H401">
        <v>1</v>
      </c>
      <c r="J401" s="2">
        <v>45457.166666666664</v>
      </c>
      <c r="K401" s="2">
        <v>45498.800291145832</v>
      </c>
      <c r="L401" s="2">
        <v>45313.874236111114</v>
      </c>
      <c r="M401" t="s">
        <v>1980</v>
      </c>
      <c r="N401" t="s">
        <v>1970</v>
      </c>
      <c r="O401" s="2">
        <v>45356.921400856481</v>
      </c>
      <c r="P401" s="2">
        <v>45422.73802290509</v>
      </c>
      <c r="Q401" s="7">
        <f t="shared" si="6"/>
        <v>49</v>
      </c>
    </row>
    <row r="402" spans="1:17" x14ac:dyDescent="0.35">
      <c r="A402" t="s">
        <v>213</v>
      </c>
      <c r="B402" t="s">
        <v>23</v>
      </c>
      <c r="C402" t="s">
        <v>44</v>
      </c>
      <c r="D402" t="s">
        <v>113</v>
      </c>
      <c r="E402" t="s">
        <v>38</v>
      </c>
      <c r="F402" t="s">
        <v>30</v>
      </c>
      <c r="G402" t="s">
        <v>28</v>
      </c>
      <c r="H402">
        <v>1</v>
      </c>
      <c r="J402" s="2">
        <v>45457.166666666664</v>
      </c>
      <c r="K402" s="2">
        <v>45498.800291145832</v>
      </c>
      <c r="L402" s="2">
        <v>45313.874236111114</v>
      </c>
      <c r="M402" t="s">
        <v>1973</v>
      </c>
      <c r="N402" t="s">
        <v>1970</v>
      </c>
      <c r="O402" s="2">
        <v>45461.732856249997</v>
      </c>
      <c r="P402" s="2">
        <v>45463.668917673611</v>
      </c>
      <c r="Q402" s="7">
        <f t="shared" si="6"/>
        <v>3</v>
      </c>
    </row>
    <row r="403" spans="1:17" x14ac:dyDescent="0.35">
      <c r="A403" t="s">
        <v>449</v>
      </c>
      <c r="B403" t="s">
        <v>23</v>
      </c>
      <c r="C403" t="s">
        <v>44</v>
      </c>
      <c r="D403" t="s">
        <v>54</v>
      </c>
      <c r="E403" t="s">
        <v>38</v>
      </c>
      <c r="F403" t="s">
        <v>30</v>
      </c>
      <c r="G403" t="s">
        <v>28</v>
      </c>
      <c r="H403">
        <v>5</v>
      </c>
      <c r="J403" s="2">
        <v>45512.166666666664</v>
      </c>
      <c r="K403" s="2">
        <v>45464.826761886572</v>
      </c>
      <c r="L403" s="2">
        <v>45314.4059375</v>
      </c>
      <c r="M403" t="s">
        <v>1969</v>
      </c>
      <c r="N403" t="s">
        <v>1995</v>
      </c>
      <c r="O403" s="2">
        <v>45364.579489583331</v>
      </c>
      <c r="P403" s="2">
        <v>45401.319326307872</v>
      </c>
      <c r="Q403" s="7">
        <f t="shared" si="6"/>
        <v>28</v>
      </c>
    </row>
    <row r="404" spans="1:17" x14ac:dyDescent="0.35">
      <c r="A404" t="s">
        <v>743</v>
      </c>
      <c r="B404" t="s">
        <v>23</v>
      </c>
      <c r="C404" t="s">
        <v>44</v>
      </c>
      <c r="D404" t="s">
        <v>135</v>
      </c>
      <c r="E404" t="s">
        <v>32</v>
      </c>
      <c r="F404" t="s">
        <v>30</v>
      </c>
      <c r="G404" t="s">
        <v>28</v>
      </c>
      <c r="H404">
        <v>13</v>
      </c>
      <c r="J404" s="2">
        <v>45716.208333333336</v>
      </c>
      <c r="K404" s="2">
        <v>45750.599870138889</v>
      </c>
      <c r="L404" s="2">
        <v>45314.621516203704</v>
      </c>
      <c r="M404" t="s">
        <v>1969</v>
      </c>
      <c r="N404" t="s">
        <v>1970</v>
      </c>
      <c r="O404" s="2">
        <v>45316.769139189812</v>
      </c>
      <c r="P404" s="2">
        <v>45321.692724062501</v>
      </c>
      <c r="Q404" s="7">
        <f t="shared" si="6"/>
        <v>4</v>
      </c>
    </row>
    <row r="405" spans="1:17" x14ac:dyDescent="0.35">
      <c r="A405" t="s">
        <v>584</v>
      </c>
      <c r="B405" t="s">
        <v>23</v>
      </c>
      <c r="C405" t="s">
        <v>44</v>
      </c>
      <c r="D405" t="s">
        <v>54</v>
      </c>
      <c r="E405" t="s">
        <v>57</v>
      </c>
      <c r="F405" t="s">
        <v>30</v>
      </c>
      <c r="G405" t="s">
        <v>28</v>
      </c>
      <c r="H405">
        <v>10</v>
      </c>
      <c r="J405" s="2">
        <v>45567.166666666664</v>
      </c>
      <c r="K405" s="2">
        <v>45666.715170474534</v>
      </c>
      <c r="L405" s="2">
        <v>45314.696261574078</v>
      </c>
      <c r="M405" t="s">
        <v>1969</v>
      </c>
      <c r="N405" t="s">
        <v>1970</v>
      </c>
      <c r="O405" s="2">
        <v>45350.140814351849</v>
      </c>
      <c r="P405" s="2">
        <v>45357.134700694442</v>
      </c>
      <c r="Q405" s="7">
        <f t="shared" si="6"/>
        <v>6</v>
      </c>
    </row>
    <row r="406" spans="1:17" x14ac:dyDescent="0.35">
      <c r="A406" t="s">
        <v>1456</v>
      </c>
      <c r="B406" t="s">
        <v>23</v>
      </c>
      <c r="C406" t="s">
        <v>44</v>
      </c>
      <c r="D406" t="s">
        <v>43</v>
      </c>
      <c r="E406" t="s">
        <v>48</v>
      </c>
      <c r="F406" t="s">
        <v>30</v>
      </c>
      <c r="G406" t="s">
        <v>1441</v>
      </c>
      <c r="H406">
        <v>1</v>
      </c>
      <c r="J406" s="2">
        <v>45345.208333333336</v>
      </c>
      <c r="K406" s="2">
        <v>45412.715593483794</v>
      </c>
      <c r="L406" s="2">
        <v>45316.814143518517</v>
      </c>
      <c r="M406" t="s">
        <v>1980</v>
      </c>
      <c r="N406" t="s">
        <v>1976</v>
      </c>
      <c r="O406" s="2">
        <v>45344.578848032404</v>
      </c>
      <c r="P406" s="2">
        <v>45356.801799664354</v>
      </c>
      <c r="Q406" s="7">
        <f t="shared" si="6"/>
        <v>12.2229516319494</v>
      </c>
    </row>
    <row r="407" spans="1:17" x14ac:dyDescent="0.35">
      <c r="A407" t="s">
        <v>487</v>
      </c>
      <c r="B407" t="s">
        <v>23</v>
      </c>
      <c r="C407" t="s">
        <v>44</v>
      </c>
      <c r="D407" t="s">
        <v>76</v>
      </c>
      <c r="E407" t="s">
        <v>38</v>
      </c>
      <c r="F407" t="s">
        <v>30</v>
      </c>
      <c r="G407" t="s">
        <v>28</v>
      </c>
      <c r="H407">
        <v>6</v>
      </c>
      <c r="J407" s="2">
        <v>45399.166666666664</v>
      </c>
      <c r="K407" s="2">
        <v>45401.868674027777</v>
      </c>
      <c r="L407" s="2">
        <v>45317.905972222223</v>
      </c>
      <c r="M407" t="s">
        <v>1971</v>
      </c>
      <c r="N407" t="s">
        <v>1970</v>
      </c>
      <c r="O407" s="2">
        <v>45323.877356331017</v>
      </c>
      <c r="P407" s="2">
        <v>45328.832724178239</v>
      </c>
      <c r="Q407" s="7">
        <f t="shared" si="6"/>
        <v>4</v>
      </c>
    </row>
    <row r="408" spans="1:17" x14ac:dyDescent="0.35">
      <c r="A408" t="s">
        <v>906</v>
      </c>
      <c r="B408" t="s">
        <v>23</v>
      </c>
      <c r="C408" t="s">
        <v>44</v>
      </c>
      <c r="D408" t="s">
        <v>76</v>
      </c>
      <c r="E408" t="s">
        <v>38</v>
      </c>
      <c r="F408" t="s">
        <v>30</v>
      </c>
      <c r="G408" t="s">
        <v>28</v>
      </c>
      <c r="H408">
        <v>19</v>
      </c>
      <c r="J408" s="2">
        <v>45623.208333333336</v>
      </c>
      <c r="K408" s="2">
        <v>45608.680353113428</v>
      </c>
      <c r="L408" s="2">
        <v>45322.588946759257</v>
      </c>
      <c r="M408" t="s">
        <v>1969</v>
      </c>
      <c r="N408" t="s">
        <v>1970</v>
      </c>
      <c r="O408" s="2">
        <v>45330.824427060186</v>
      </c>
      <c r="P408" s="2">
        <v>45335.694134675927</v>
      </c>
      <c r="Q408" s="7">
        <f t="shared" si="6"/>
        <v>4</v>
      </c>
    </row>
    <row r="409" spans="1:17" x14ac:dyDescent="0.35">
      <c r="A409" t="s">
        <v>906</v>
      </c>
      <c r="B409" t="s">
        <v>23</v>
      </c>
      <c r="C409" t="s">
        <v>44</v>
      </c>
      <c r="D409" t="s">
        <v>76</v>
      </c>
      <c r="E409" t="s">
        <v>38</v>
      </c>
      <c r="F409" t="s">
        <v>30</v>
      </c>
      <c r="G409" t="s">
        <v>28</v>
      </c>
      <c r="H409">
        <v>19</v>
      </c>
      <c r="J409" s="2">
        <v>45623.208333333336</v>
      </c>
      <c r="K409" s="2">
        <v>45608.680353113428</v>
      </c>
      <c r="L409" s="2">
        <v>45322.588946759257</v>
      </c>
      <c r="M409" t="s">
        <v>1977</v>
      </c>
      <c r="N409" t="s">
        <v>1974</v>
      </c>
      <c r="O409" s="2">
        <v>45351.765825717594</v>
      </c>
      <c r="P409" s="2">
        <v>45457.546917013889</v>
      </c>
      <c r="Q409" s="7">
        <f t="shared" si="6"/>
        <v>77</v>
      </c>
    </row>
    <row r="410" spans="1:17" x14ac:dyDescent="0.35">
      <c r="A410" t="s">
        <v>906</v>
      </c>
      <c r="B410" t="s">
        <v>23</v>
      </c>
      <c r="C410" t="s">
        <v>44</v>
      </c>
      <c r="D410" t="s">
        <v>76</v>
      </c>
      <c r="E410" t="s">
        <v>38</v>
      </c>
      <c r="F410" t="s">
        <v>30</v>
      </c>
      <c r="G410" t="s">
        <v>28</v>
      </c>
      <c r="H410">
        <v>19</v>
      </c>
      <c r="J410" s="2">
        <v>45623.208333333336</v>
      </c>
      <c r="K410" s="2">
        <v>45608.680353113428</v>
      </c>
      <c r="L410" s="2">
        <v>45322.588946759257</v>
      </c>
      <c r="M410" t="s">
        <v>1977</v>
      </c>
      <c r="N410" t="s">
        <v>1974</v>
      </c>
      <c r="O410" s="2">
        <v>45413.855984861111</v>
      </c>
      <c r="P410" s="2">
        <v>45457.548433194446</v>
      </c>
      <c r="Q410" s="7">
        <f t="shared" si="6"/>
        <v>33</v>
      </c>
    </row>
    <row r="411" spans="1:17" x14ac:dyDescent="0.35">
      <c r="A411" t="s">
        <v>906</v>
      </c>
      <c r="B411" t="s">
        <v>23</v>
      </c>
      <c r="C411" t="s">
        <v>44</v>
      </c>
      <c r="D411" t="s">
        <v>76</v>
      </c>
      <c r="E411" t="s">
        <v>38</v>
      </c>
      <c r="F411" t="s">
        <v>30</v>
      </c>
      <c r="G411" t="s">
        <v>28</v>
      </c>
      <c r="H411">
        <v>19</v>
      </c>
      <c r="J411" s="2">
        <v>45623.208333333336</v>
      </c>
      <c r="K411" s="2">
        <v>45608.680353113428</v>
      </c>
      <c r="L411" s="2">
        <v>45322.588946759257</v>
      </c>
      <c r="M411" t="s">
        <v>1977</v>
      </c>
      <c r="N411" t="s">
        <v>1970</v>
      </c>
      <c r="O411" s="2">
        <v>45464.644578761574</v>
      </c>
      <c r="P411" s="2">
        <v>45464.744900509257</v>
      </c>
      <c r="Q411" s="7">
        <f t="shared" si="6"/>
        <v>1</v>
      </c>
    </row>
    <row r="412" spans="1:17" x14ac:dyDescent="0.35">
      <c r="A412" t="s">
        <v>1084</v>
      </c>
      <c r="B412" t="s">
        <v>23</v>
      </c>
      <c r="C412" t="s">
        <v>44</v>
      </c>
      <c r="D412" t="s">
        <v>43</v>
      </c>
      <c r="E412" t="s">
        <v>48</v>
      </c>
      <c r="F412" t="s">
        <v>30</v>
      </c>
      <c r="G412" t="s">
        <v>28</v>
      </c>
      <c r="J412" s="2">
        <v>45378.166666666664</v>
      </c>
      <c r="K412" s="2">
        <v>45378.885276331021</v>
      </c>
      <c r="L412" s="2">
        <v>45322.874039351853</v>
      </c>
      <c r="M412" t="s">
        <v>1980</v>
      </c>
      <c r="N412" t="s">
        <v>1976</v>
      </c>
      <c r="O412" s="2">
        <v>45331.891402754627</v>
      </c>
      <c r="P412" s="2">
        <v>45359.614415370372</v>
      </c>
      <c r="Q412" s="7">
        <f t="shared" si="6"/>
        <v>27.723012615744665</v>
      </c>
    </row>
    <row r="413" spans="1:17" x14ac:dyDescent="0.35">
      <c r="A413" t="s">
        <v>1082</v>
      </c>
      <c r="B413" t="s">
        <v>23</v>
      </c>
      <c r="C413" t="s">
        <v>44</v>
      </c>
      <c r="D413" t="s">
        <v>76</v>
      </c>
      <c r="E413" t="s">
        <v>38</v>
      </c>
      <c r="F413" t="s">
        <v>30</v>
      </c>
      <c r="G413" t="s">
        <v>28</v>
      </c>
      <c r="J413" s="2">
        <v>45574.166666666664</v>
      </c>
      <c r="K413" s="2">
        <v>45587.685273391202</v>
      </c>
      <c r="L413" s="2">
        <v>45323.690798611111</v>
      </c>
      <c r="M413" t="s">
        <v>1980</v>
      </c>
      <c r="N413" t="s">
        <v>1970</v>
      </c>
      <c r="O413" s="2">
        <v>45336.801274212965</v>
      </c>
      <c r="P413" s="2">
        <v>45352.804527129629</v>
      </c>
      <c r="Q413" s="7">
        <f t="shared" si="6"/>
        <v>13</v>
      </c>
    </row>
    <row r="414" spans="1:17" x14ac:dyDescent="0.35">
      <c r="A414" t="s">
        <v>1121</v>
      </c>
      <c r="B414" t="s">
        <v>23</v>
      </c>
      <c r="C414" t="s">
        <v>44</v>
      </c>
      <c r="D414" t="s">
        <v>135</v>
      </c>
      <c r="E414" t="s">
        <v>32</v>
      </c>
      <c r="F414" t="s">
        <v>30</v>
      </c>
      <c r="G414" t="s">
        <v>28</v>
      </c>
      <c r="I414" t="s">
        <v>33</v>
      </c>
      <c r="J414" s="2">
        <v>45548.166666666664</v>
      </c>
      <c r="K414" s="2">
        <v>45503.066035069445</v>
      </c>
      <c r="L414" s="2">
        <v>45324.762939814813</v>
      </c>
      <c r="M414" t="s">
        <v>1979</v>
      </c>
      <c r="N414" t="s">
        <v>1984</v>
      </c>
      <c r="O414" s="2">
        <v>45421.487741874997</v>
      </c>
      <c r="P414" s="2">
        <v>45488.624013738423</v>
      </c>
      <c r="Q414" s="7">
        <f t="shared" si="6"/>
        <v>48</v>
      </c>
    </row>
    <row r="415" spans="1:17" x14ac:dyDescent="0.35">
      <c r="A415" t="s">
        <v>1784</v>
      </c>
      <c r="B415" t="s">
        <v>23</v>
      </c>
      <c r="C415" t="s">
        <v>44</v>
      </c>
      <c r="D415" t="s">
        <v>43</v>
      </c>
      <c r="E415" t="s">
        <v>48</v>
      </c>
      <c r="F415" t="s">
        <v>30</v>
      </c>
      <c r="G415" t="s">
        <v>1719</v>
      </c>
      <c r="J415" s="2"/>
      <c r="K415" s="2">
        <v>45630.902286342593</v>
      </c>
      <c r="L415" s="2">
        <v>45327.85565972222</v>
      </c>
      <c r="M415" t="s">
        <v>1980</v>
      </c>
      <c r="N415" t="s">
        <v>1987</v>
      </c>
      <c r="O415" s="2">
        <v>45411.65641596065</v>
      </c>
      <c r="P415" s="2">
        <v>45607.637166145832</v>
      </c>
      <c r="Q415" s="7">
        <f t="shared" si="6"/>
        <v>195.98075018518284</v>
      </c>
    </row>
    <row r="416" spans="1:17" x14ac:dyDescent="0.35">
      <c r="A416" t="s">
        <v>1530</v>
      </c>
      <c r="B416" t="s">
        <v>23</v>
      </c>
      <c r="C416" t="s">
        <v>44</v>
      </c>
      <c r="D416" t="s">
        <v>76</v>
      </c>
      <c r="E416" t="s">
        <v>38</v>
      </c>
      <c r="F416" t="s">
        <v>30</v>
      </c>
      <c r="G416" t="s">
        <v>1441</v>
      </c>
      <c r="H416">
        <v>6</v>
      </c>
      <c r="J416" s="2">
        <v>45394.166666666664</v>
      </c>
      <c r="K416" s="2">
        <v>45415.629134467592</v>
      </c>
      <c r="L416" s="2">
        <v>45330.847060185188</v>
      </c>
      <c r="M416" t="s">
        <v>1969</v>
      </c>
      <c r="N416" t="s">
        <v>1970</v>
      </c>
      <c r="O416" s="2">
        <v>45331.719281192127</v>
      </c>
      <c r="P416" s="2">
        <v>45344.588285578706</v>
      </c>
      <c r="Q416" s="7">
        <f t="shared" si="6"/>
        <v>10</v>
      </c>
    </row>
    <row r="417" spans="1:17" x14ac:dyDescent="0.35">
      <c r="A417" t="s">
        <v>1530</v>
      </c>
      <c r="B417" t="s">
        <v>23</v>
      </c>
      <c r="C417" t="s">
        <v>44</v>
      </c>
      <c r="D417" t="s">
        <v>76</v>
      </c>
      <c r="E417" t="s">
        <v>38</v>
      </c>
      <c r="F417" t="s">
        <v>30</v>
      </c>
      <c r="G417" t="s">
        <v>1441</v>
      </c>
      <c r="H417">
        <v>6</v>
      </c>
      <c r="J417" s="2">
        <v>45394.166666666664</v>
      </c>
      <c r="K417" s="2">
        <v>45415.629134467592</v>
      </c>
      <c r="L417" s="2">
        <v>45330.847060185188</v>
      </c>
      <c r="M417" t="s">
        <v>1980</v>
      </c>
      <c r="N417" t="s">
        <v>1970</v>
      </c>
      <c r="O417" s="2">
        <v>45350.884558831021</v>
      </c>
      <c r="P417" s="2">
        <v>45351.791880798613</v>
      </c>
      <c r="Q417" s="7">
        <f t="shared" si="6"/>
        <v>2</v>
      </c>
    </row>
    <row r="418" spans="1:17" x14ac:dyDescent="0.35">
      <c r="A418" t="s">
        <v>218</v>
      </c>
      <c r="B418" t="s">
        <v>23</v>
      </c>
      <c r="C418" t="s">
        <v>44</v>
      </c>
      <c r="D418" t="s">
        <v>54</v>
      </c>
      <c r="E418" t="s">
        <v>38</v>
      </c>
      <c r="F418" t="s">
        <v>30</v>
      </c>
      <c r="G418" t="s">
        <v>28</v>
      </c>
      <c r="H418">
        <v>1</v>
      </c>
      <c r="J418" s="2">
        <v>45393.166666666664</v>
      </c>
      <c r="K418" s="2">
        <v>45406.55794053241</v>
      </c>
      <c r="L418" s="2">
        <v>45331.757997685185</v>
      </c>
      <c r="M418" t="s">
        <v>1988</v>
      </c>
      <c r="N418" t="s">
        <v>1976</v>
      </c>
      <c r="O418" s="2">
        <v>45383.564356469906</v>
      </c>
      <c r="P418" s="2">
        <v>45390.73865608796</v>
      </c>
      <c r="Q418" s="7">
        <f t="shared" si="6"/>
        <v>6</v>
      </c>
    </row>
    <row r="419" spans="1:17" x14ac:dyDescent="0.35">
      <c r="A419" t="s">
        <v>1092</v>
      </c>
      <c r="B419" t="s">
        <v>23</v>
      </c>
      <c r="C419" t="s">
        <v>44</v>
      </c>
      <c r="D419" t="s">
        <v>51</v>
      </c>
      <c r="E419" t="s">
        <v>174</v>
      </c>
      <c r="F419" t="s">
        <v>30</v>
      </c>
      <c r="G419" t="s">
        <v>28</v>
      </c>
      <c r="I419" t="s">
        <v>33</v>
      </c>
      <c r="J419" s="2">
        <v>45399.166666666664</v>
      </c>
      <c r="K419" s="2">
        <v>45628.655859918981</v>
      </c>
      <c r="L419" s="2">
        <v>45334.632395833331</v>
      </c>
      <c r="M419" t="s">
        <v>1971</v>
      </c>
      <c r="N419" t="s">
        <v>1970</v>
      </c>
      <c r="O419" s="2">
        <v>45342.594142754628</v>
      </c>
      <c r="P419" s="2">
        <v>45359.759730347221</v>
      </c>
      <c r="Q419" s="7">
        <f t="shared" si="6"/>
        <v>14</v>
      </c>
    </row>
    <row r="420" spans="1:17" x14ac:dyDescent="0.35">
      <c r="A420" t="s">
        <v>1092</v>
      </c>
      <c r="B420" t="s">
        <v>23</v>
      </c>
      <c r="C420" t="s">
        <v>44</v>
      </c>
      <c r="D420" t="s">
        <v>51</v>
      </c>
      <c r="E420" t="s">
        <v>174</v>
      </c>
      <c r="F420" t="s">
        <v>30</v>
      </c>
      <c r="G420" t="s">
        <v>28</v>
      </c>
      <c r="I420" t="s">
        <v>33</v>
      </c>
      <c r="J420" s="2">
        <v>45399.166666666664</v>
      </c>
      <c r="K420" s="2">
        <v>45628.655859918981</v>
      </c>
      <c r="L420" s="2">
        <v>45334.632395833331</v>
      </c>
      <c r="M420" t="s">
        <v>1975</v>
      </c>
      <c r="N420" t="s">
        <v>1974</v>
      </c>
      <c r="O420" s="2">
        <v>45359.759847442132</v>
      </c>
      <c r="P420" s="2">
        <v>45533.557043993053</v>
      </c>
      <c r="Q420" s="7">
        <f t="shared" si="6"/>
        <v>125</v>
      </c>
    </row>
    <row r="421" spans="1:17" x14ac:dyDescent="0.35">
      <c r="A421" t="s">
        <v>1092</v>
      </c>
      <c r="B421" t="s">
        <v>23</v>
      </c>
      <c r="C421" t="s">
        <v>44</v>
      </c>
      <c r="D421" t="s">
        <v>51</v>
      </c>
      <c r="E421" t="s">
        <v>174</v>
      </c>
      <c r="F421" t="s">
        <v>30</v>
      </c>
      <c r="G421" t="s">
        <v>28</v>
      </c>
      <c r="I421" t="s">
        <v>33</v>
      </c>
      <c r="J421" s="2">
        <v>45399.166666666664</v>
      </c>
      <c r="K421" s="2">
        <v>45628.655859918981</v>
      </c>
      <c r="L421" s="2">
        <v>45334.632395833331</v>
      </c>
      <c r="M421" t="s">
        <v>1975</v>
      </c>
      <c r="N421" t="s">
        <v>1970</v>
      </c>
      <c r="O421" s="2">
        <v>45533.557254293984</v>
      </c>
      <c r="P421" s="2">
        <v>45582.642928414352</v>
      </c>
      <c r="Q421" s="7">
        <f t="shared" si="6"/>
        <v>36</v>
      </c>
    </row>
    <row r="422" spans="1:17" x14ac:dyDescent="0.35">
      <c r="A422" t="s">
        <v>1112</v>
      </c>
      <c r="B422" t="s">
        <v>23</v>
      </c>
      <c r="C422" t="s">
        <v>44</v>
      </c>
      <c r="D422" t="s">
        <v>130</v>
      </c>
      <c r="E422" t="s">
        <v>38</v>
      </c>
      <c r="F422" t="s">
        <v>30</v>
      </c>
      <c r="G422" t="s">
        <v>28</v>
      </c>
      <c r="J422" s="2">
        <v>45694.208333333336</v>
      </c>
      <c r="K422" s="2">
        <v>45698.128430520832</v>
      </c>
      <c r="L422" s="2">
        <v>45366.06858796296</v>
      </c>
      <c r="M422" t="s">
        <v>1969</v>
      </c>
      <c r="N422" t="s">
        <v>1995</v>
      </c>
      <c r="O422" s="2">
        <v>45375.731505509262</v>
      </c>
      <c r="P422" s="2">
        <v>45400.66600099537</v>
      </c>
      <c r="Q422" s="7">
        <f t="shared" si="6"/>
        <v>19</v>
      </c>
    </row>
    <row r="423" spans="1:17" x14ac:dyDescent="0.35">
      <c r="A423" t="s">
        <v>1112</v>
      </c>
      <c r="B423" t="s">
        <v>23</v>
      </c>
      <c r="C423" t="s">
        <v>44</v>
      </c>
      <c r="D423" t="s">
        <v>130</v>
      </c>
      <c r="E423" t="s">
        <v>38</v>
      </c>
      <c r="F423" t="s">
        <v>30</v>
      </c>
      <c r="G423" t="s">
        <v>28</v>
      </c>
      <c r="J423" s="2">
        <v>45694.208333333336</v>
      </c>
      <c r="K423" s="2">
        <v>45698.128430520832</v>
      </c>
      <c r="L423" s="2">
        <v>45366.06858796296</v>
      </c>
      <c r="M423" t="s">
        <v>1977</v>
      </c>
      <c r="N423" t="s">
        <v>1970</v>
      </c>
      <c r="O423" s="2">
        <v>45406.536077604163</v>
      </c>
      <c r="P423" s="2">
        <v>45548.344665405093</v>
      </c>
      <c r="Q423" s="7">
        <f t="shared" si="6"/>
        <v>103</v>
      </c>
    </row>
    <row r="424" spans="1:17" x14ac:dyDescent="0.35">
      <c r="A424" t="s">
        <v>1112</v>
      </c>
      <c r="B424" t="s">
        <v>23</v>
      </c>
      <c r="C424" t="s">
        <v>44</v>
      </c>
      <c r="D424" t="s">
        <v>130</v>
      </c>
      <c r="E424" t="s">
        <v>38</v>
      </c>
      <c r="F424" t="s">
        <v>30</v>
      </c>
      <c r="G424" t="s">
        <v>28</v>
      </c>
      <c r="J424" s="2">
        <v>45694.208333333336</v>
      </c>
      <c r="K424" s="2">
        <v>45698.128430520832</v>
      </c>
      <c r="L424" s="2">
        <v>45366.06858796296</v>
      </c>
      <c r="M424" t="s">
        <v>1977</v>
      </c>
      <c r="N424" t="s">
        <v>1970</v>
      </c>
      <c r="O424" s="2">
        <v>45414.458548113427</v>
      </c>
      <c r="P424" s="2">
        <v>45548.344883287034</v>
      </c>
      <c r="Q424" s="7">
        <f t="shared" si="6"/>
        <v>97</v>
      </c>
    </row>
    <row r="425" spans="1:17" x14ac:dyDescent="0.35">
      <c r="A425" t="s">
        <v>1112</v>
      </c>
      <c r="B425" t="s">
        <v>23</v>
      </c>
      <c r="C425" t="s">
        <v>44</v>
      </c>
      <c r="D425" t="s">
        <v>130</v>
      </c>
      <c r="E425" t="s">
        <v>38</v>
      </c>
      <c r="F425" t="s">
        <v>30</v>
      </c>
      <c r="G425" t="s">
        <v>28</v>
      </c>
      <c r="J425" s="2">
        <v>45694.208333333336</v>
      </c>
      <c r="K425" s="2">
        <v>45698.128430520832</v>
      </c>
      <c r="L425" s="2">
        <v>45366.06858796296</v>
      </c>
      <c r="M425" t="s">
        <v>1982</v>
      </c>
      <c r="N425" t="s">
        <v>1970</v>
      </c>
      <c r="O425" s="2">
        <v>45595.096840335646</v>
      </c>
      <c r="P425" s="2">
        <v>45600.324616712962</v>
      </c>
      <c r="Q425" s="7">
        <f t="shared" si="6"/>
        <v>4</v>
      </c>
    </row>
    <row r="426" spans="1:17" x14ac:dyDescent="0.35">
      <c r="A426" t="s">
        <v>1685</v>
      </c>
      <c r="B426" t="s">
        <v>23</v>
      </c>
      <c r="C426" t="s">
        <v>44</v>
      </c>
      <c r="D426" t="s">
        <v>43</v>
      </c>
      <c r="E426" t="s">
        <v>48</v>
      </c>
      <c r="F426" t="s">
        <v>30</v>
      </c>
      <c r="G426" t="s">
        <v>1633</v>
      </c>
      <c r="J426" s="2">
        <v>45426.166666666664</v>
      </c>
      <c r="K426" s="2">
        <v>45463.855800046294</v>
      </c>
      <c r="L426" s="2">
        <v>45338.483611111114</v>
      </c>
      <c r="M426" t="s">
        <v>1973</v>
      </c>
      <c r="N426" t="s">
        <v>1985</v>
      </c>
      <c r="O426" s="2">
        <v>45394.718748101855</v>
      </c>
      <c r="P426" s="2">
        <v>45443.859190856485</v>
      </c>
      <c r="Q426" s="7">
        <f t="shared" si="6"/>
        <v>49.140442754629476</v>
      </c>
    </row>
    <row r="427" spans="1:17" x14ac:dyDescent="0.35">
      <c r="A427" t="s">
        <v>489</v>
      </c>
      <c r="B427" t="s">
        <v>23</v>
      </c>
      <c r="C427" t="s">
        <v>44</v>
      </c>
      <c r="D427" t="s">
        <v>76</v>
      </c>
      <c r="E427" t="s">
        <v>38</v>
      </c>
      <c r="F427" t="s">
        <v>30</v>
      </c>
      <c r="G427" t="s">
        <v>28</v>
      </c>
      <c r="H427">
        <v>6</v>
      </c>
      <c r="J427" s="2">
        <v>45477.166666666664</v>
      </c>
      <c r="K427" s="2">
        <v>45436.740377835646</v>
      </c>
      <c r="L427" s="2">
        <v>45345.696215277778</v>
      </c>
      <c r="M427" t="s">
        <v>1971</v>
      </c>
      <c r="N427" t="s">
        <v>1970</v>
      </c>
      <c r="O427" s="2">
        <v>45362.647674861109</v>
      </c>
      <c r="P427" s="2">
        <v>45364.681165138885</v>
      </c>
      <c r="Q427" s="7">
        <f t="shared" si="6"/>
        <v>3</v>
      </c>
    </row>
    <row r="428" spans="1:17" x14ac:dyDescent="0.35">
      <c r="A428" t="s">
        <v>489</v>
      </c>
      <c r="B428" t="s">
        <v>23</v>
      </c>
      <c r="C428" t="s">
        <v>44</v>
      </c>
      <c r="D428" t="s">
        <v>76</v>
      </c>
      <c r="E428" t="s">
        <v>38</v>
      </c>
      <c r="F428" t="s">
        <v>30</v>
      </c>
      <c r="G428" t="s">
        <v>28</v>
      </c>
      <c r="H428">
        <v>6</v>
      </c>
      <c r="J428" s="2">
        <v>45477.166666666664</v>
      </c>
      <c r="K428" s="2">
        <v>45436.740377835646</v>
      </c>
      <c r="L428" s="2">
        <v>45345.696215277778</v>
      </c>
      <c r="M428" t="s">
        <v>1971</v>
      </c>
      <c r="N428" t="s">
        <v>1970</v>
      </c>
      <c r="O428" s="2">
        <v>45370.841637557867</v>
      </c>
      <c r="P428" s="2">
        <v>45386.633328310185</v>
      </c>
      <c r="Q428" s="7">
        <f t="shared" si="6"/>
        <v>13</v>
      </c>
    </row>
    <row r="429" spans="1:17" x14ac:dyDescent="0.35">
      <c r="A429" t="s">
        <v>489</v>
      </c>
      <c r="B429" t="s">
        <v>23</v>
      </c>
      <c r="C429" t="s">
        <v>44</v>
      </c>
      <c r="D429" t="s">
        <v>76</v>
      </c>
      <c r="E429" t="s">
        <v>38</v>
      </c>
      <c r="F429" t="s">
        <v>30</v>
      </c>
      <c r="G429" t="s">
        <v>28</v>
      </c>
      <c r="H429">
        <v>6</v>
      </c>
      <c r="J429" s="2">
        <v>45477.166666666664</v>
      </c>
      <c r="K429" s="2">
        <v>45436.740377835646</v>
      </c>
      <c r="L429" s="2">
        <v>45345.696215277778</v>
      </c>
      <c r="M429" t="s">
        <v>1980</v>
      </c>
      <c r="N429" t="s">
        <v>1970</v>
      </c>
      <c r="O429" s="2">
        <v>45371.589181689815</v>
      </c>
      <c r="P429" s="2">
        <v>45386.633667546295</v>
      </c>
      <c r="Q429" s="7">
        <f t="shared" si="6"/>
        <v>12</v>
      </c>
    </row>
    <row r="430" spans="1:17" x14ac:dyDescent="0.35">
      <c r="A430" t="s">
        <v>447</v>
      </c>
      <c r="B430" t="s">
        <v>23</v>
      </c>
      <c r="C430" t="s">
        <v>44</v>
      </c>
      <c r="D430" t="s">
        <v>76</v>
      </c>
      <c r="E430" t="s">
        <v>38</v>
      </c>
      <c r="F430" t="s">
        <v>30</v>
      </c>
      <c r="G430" t="s">
        <v>28</v>
      </c>
      <c r="H430">
        <v>5</v>
      </c>
      <c r="J430" s="2">
        <v>45408.166666666664</v>
      </c>
      <c r="K430" s="2">
        <v>45448.816248807867</v>
      </c>
      <c r="L430" s="2">
        <v>45348.665798611109</v>
      </c>
      <c r="M430" t="s">
        <v>1969</v>
      </c>
      <c r="N430" t="s">
        <v>1970</v>
      </c>
      <c r="O430" s="2">
        <v>45349.810879837962</v>
      </c>
      <c r="P430" s="2">
        <v>45351.736374918983</v>
      </c>
      <c r="Q430" s="7">
        <f t="shared" si="6"/>
        <v>3</v>
      </c>
    </row>
    <row r="431" spans="1:17" x14ac:dyDescent="0.35">
      <c r="A431" t="s">
        <v>447</v>
      </c>
      <c r="B431" t="s">
        <v>23</v>
      </c>
      <c r="C431" t="s">
        <v>44</v>
      </c>
      <c r="D431" t="s">
        <v>76</v>
      </c>
      <c r="E431" t="s">
        <v>38</v>
      </c>
      <c r="F431" t="s">
        <v>30</v>
      </c>
      <c r="G431" t="s">
        <v>28</v>
      </c>
      <c r="H431">
        <v>5</v>
      </c>
      <c r="J431" s="2">
        <v>45408.166666666664</v>
      </c>
      <c r="K431" s="2">
        <v>45448.816248807867</v>
      </c>
      <c r="L431" s="2">
        <v>45348.665798611109</v>
      </c>
      <c r="M431" t="s">
        <v>1975</v>
      </c>
      <c r="N431" t="s">
        <v>1974</v>
      </c>
      <c r="O431" s="2">
        <v>45362.804573113426</v>
      </c>
      <c r="P431" s="2">
        <v>45426.611479837964</v>
      </c>
      <c r="Q431" s="7">
        <f t="shared" si="6"/>
        <v>47</v>
      </c>
    </row>
    <row r="432" spans="1:17" x14ac:dyDescent="0.35">
      <c r="A432" t="s">
        <v>447</v>
      </c>
      <c r="B432" t="s">
        <v>23</v>
      </c>
      <c r="C432" t="s">
        <v>44</v>
      </c>
      <c r="D432" t="s">
        <v>76</v>
      </c>
      <c r="E432" t="s">
        <v>38</v>
      </c>
      <c r="F432" t="s">
        <v>30</v>
      </c>
      <c r="G432" t="s">
        <v>28</v>
      </c>
      <c r="H432">
        <v>5</v>
      </c>
      <c r="J432" s="2">
        <v>45408.166666666664</v>
      </c>
      <c r="K432" s="2">
        <v>45448.816248807867</v>
      </c>
      <c r="L432" s="2">
        <v>45348.665798611109</v>
      </c>
      <c r="M432" t="s">
        <v>1975</v>
      </c>
      <c r="N432" t="s">
        <v>1970</v>
      </c>
      <c r="O432" s="2">
        <v>45433.81750016204</v>
      </c>
      <c r="P432" s="2">
        <v>45443.555293194448</v>
      </c>
      <c r="Q432" s="7">
        <f t="shared" si="6"/>
        <v>9</v>
      </c>
    </row>
    <row r="433" spans="1:17" x14ac:dyDescent="0.35">
      <c r="A433" t="s">
        <v>566</v>
      </c>
      <c r="B433" t="s">
        <v>23</v>
      </c>
      <c r="C433" t="s">
        <v>44</v>
      </c>
      <c r="D433" t="s">
        <v>76</v>
      </c>
      <c r="E433" t="s">
        <v>48</v>
      </c>
      <c r="F433" t="s">
        <v>30</v>
      </c>
      <c r="G433" t="s">
        <v>28</v>
      </c>
      <c r="H433">
        <v>9</v>
      </c>
      <c r="J433" s="2">
        <v>45457.166666666664</v>
      </c>
      <c r="K433" s="2">
        <v>45412.711423148146</v>
      </c>
      <c r="L433" s="2">
        <v>45349.749606481484</v>
      </c>
      <c r="M433" t="s">
        <v>1971</v>
      </c>
      <c r="N433" t="s">
        <v>1970</v>
      </c>
      <c r="O433" s="2">
        <v>45370.753337071757</v>
      </c>
      <c r="P433" s="2">
        <v>45373.768554664355</v>
      </c>
      <c r="Q433" s="7">
        <f t="shared" si="6"/>
        <v>3.0152175925977645</v>
      </c>
    </row>
    <row r="434" spans="1:17" x14ac:dyDescent="0.35">
      <c r="A434" t="s">
        <v>587</v>
      </c>
      <c r="B434" t="s">
        <v>23</v>
      </c>
      <c r="C434" t="s">
        <v>44</v>
      </c>
      <c r="D434" t="s">
        <v>54</v>
      </c>
      <c r="E434" t="s">
        <v>174</v>
      </c>
      <c r="F434" t="s">
        <v>30</v>
      </c>
      <c r="G434" t="s">
        <v>28</v>
      </c>
      <c r="H434">
        <v>10</v>
      </c>
      <c r="J434" s="2">
        <v>45469.166666666664</v>
      </c>
      <c r="K434" s="2">
        <v>45735.711136226855</v>
      </c>
      <c r="L434" s="2">
        <v>45350.608888888892</v>
      </c>
      <c r="M434" t="s">
        <v>1975</v>
      </c>
      <c r="N434" t="s">
        <v>1970</v>
      </c>
      <c r="O434" s="2">
        <v>45377.8287408912</v>
      </c>
      <c r="P434" s="2">
        <v>45510.844084930555</v>
      </c>
      <c r="Q434" s="7">
        <f t="shared" si="6"/>
        <v>96</v>
      </c>
    </row>
    <row r="435" spans="1:17" x14ac:dyDescent="0.35">
      <c r="A435" t="s">
        <v>587</v>
      </c>
      <c r="B435" t="s">
        <v>23</v>
      </c>
      <c r="C435" t="s">
        <v>44</v>
      </c>
      <c r="D435" t="s">
        <v>54</v>
      </c>
      <c r="E435" t="s">
        <v>174</v>
      </c>
      <c r="F435" t="s">
        <v>30</v>
      </c>
      <c r="G435" t="s">
        <v>28</v>
      </c>
      <c r="H435">
        <v>10</v>
      </c>
      <c r="J435" s="2">
        <v>45469.166666666664</v>
      </c>
      <c r="K435" s="2">
        <v>45735.711136226855</v>
      </c>
      <c r="L435" s="2">
        <v>45350.608888888892</v>
      </c>
      <c r="M435" t="s">
        <v>1980</v>
      </c>
      <c r="N435" t="s">
        <v>1976</v>
      </c>
      <c r="O435" s="2">
        <v>45504.82049416667</v>
      </c>
      <c r="P435" s="2">
        <v>45510.844193703706</v>
      </c>
      <c r="Q435" s="7">
        <f t="shared" si="6"/>
        <v>5</v>
      </c>
    </row>
    <row r="436" spans="1:17" x14ac:dyDescent="0.35">
      <c r="A436" t="s">
        <v>587</v>
      </c>
      <c r="B436" t="s">
        <v>23</v>
      </c>
      <c r="C436" t="s">
        <v>44</v>
      </c>
      <c r="D436" t="s">
        <v>54</v>
      </c>
      <c r="E436" t="s">
        <v>174</v>
      </c>
      <c r="F436" t="s">
        <v>30</v>
      </c>
      <c r="G436" t="s">
        <v>28</v>
      </c>
      <c r="H436">
        <v>10</v>
      </c>
      <c r="J436" s="2">
        <v>45469.166666666664</v>
      </c>
      <c r="K436" s="2">
        <v>45735.711136226855</v>
      </c>
      <c r="L436" s="2">
        <v>45350.608888888892</v>
      </c>
      <c r="M436" t="s">
        <v>1980</v>
      </c>
      <c r="N436" t="s">
        <v>1976</v>
      </c>
      <c r="O436" s="2">
        <v>45512.618043564813</v>
      </c>
      <c r="P436" s="2">
        <v>45583.725939305557</v>
      </c>
      <c r="Q436" s="7">
        <f t="shared" si="6"/>
        <v>52</v>
      </c>
    </row>
    <row r="437" spans="1:17" x14ac:dyDescent="0.35">
      <c r="A437" t="s">
        <v>587</v>
      </c>
      <c r="B437" t="s">
        <v>23</v>
      </c>
      <c r="C437" t="s">
        <v>44</v>
      </c>
      <c r="D437" t="s">
        <v>54</v>
      </c>
      <c r="E437" t="s">
        <v>174</v>
      </c>
      <c r="F437" t="s">
        <v>30</v>
      </c>
      <c r="G437" t="s">
        <v>28</v>
      </c>
      <c r="H437">
        <v>10</v>
      </c>
      <c r="J437" s="2">
        <v>45469.166666666664</v>
      </c>
      <c r="K437" s="2">
        <v>45735.711136226855</v>
      </c>
      <c r="L437" s="2">
        <v>45350.608888888892</v>
      </c>
      <c r="M437" t="s">
        <v>1975</v>
      </c>
      <c r="N437" t="s">
        <v>1970</v>
      </c>
      <c r="O437" s="2">
        <v>45513.70083037037</v>
      </c>
      <c r="P437" s="2">
        <v>45583.837572511577</v>
      </c>
      <c r="Q437" s="7">
        <f t="shared" si="6"/>
        <v>51</v>
      </c>
    </row>
    <row r="438" spans="1:17" x14ac:dyDescent="0.35">
      <c r="A438" t="s">
        <v>800</v>
      </c>
      <c r="B438" t="s">
        <v>23</v>
      </c>
      <c r="C438" t="s">
        <v>44</v>
      </c>
      <c r="D438" t="s">
        <v>54</v>
      </c>
      <c r="E438" t="s">
        <v>38</v>
      </c>
      <c r="F438" t="s">
        <v>30</v>
      </c>
      <c r="G438" t="s">
        <v>28</v>
      </c>
      <c r="H438">
        <v>15</v>
      </c>
      <c r="I438" t="s">
        <v>81</v>
      </c>
      <c r="J438" s="2">
        <v>45707.208333333336</v>
      </c>
      <c r="K438" s="2">
        <v>45713.94374613426</v>
      </c>
      <c r="L438" s="2">
        <v>45351.630937499998</v>
      </c>
      <c r="M438" t="s">
        <v>1981</v>
      </c>
      <c r="N438" t="s">
        <v>1995</v>
      </c>
      <c r="O438" s="2">
        <v>45420.781997152779</v>
      </c>
      <c r="P438" s="2">
        <v>45523.044505081016</v>
      </c>
      <c r="Q438" s="7">
        <f t="shared" si="6"/>
        <v>74</v>
      </c>
    </row>
    <row r="439" spans="1:17" x14ac:dyDescent="0.35">
      <c r="A439" t="s">
        <v>536</v>
      </c>
      <c r="B439" t="s">
        <v>23</v>
      </c>
      <c r="C439" t="s">
        <v>44</v>
      </c>
      <c r="D439" t="s">
        <v>76</v>
      </c>
      <c r="E439" t="s">
        <v>38</v>
      </c>
      <c r="F439" t="s">
        <v>30</v>
      </c>
      <c r="G439" t="s">
        <v>28</v>
      </c>
      <c r="H439">
        <v>8</v>
      </c>
      <c r="J439" s="2">
        <v>45482.166666666664</v>
      </c>
      <c r="K439" s="2">
        <v>45462.796950902775</v>
      </c>
      <c r="L439" s="2">
        <v>45351.941307870373</v>
      </c>
      <c r="M439" t="s">
        <v>1971</v>
      </c>
      <c r="N439" t="s">
        <v>1970</v>
      </c>
      <c r="O439" s="2">
        <v>45358.829430821759</v>
      </c>
      <c r="P439" s="2">
        <v>45359.80029053241</v>
      </c>
      <c r="Q439" s="7">
        <f t="shared" si="6"/>
        <v>2</v>
      </c>
    </row>
    <row r="440" spans="1:17" x14ac:dyDescent="0.35">
      <c r="A440" t="s">
        <v>832</v>
      </c>
      <c r="B440" t="s">
        <v>23</v>
      </c>
      <c r="C440" t="s">
        <v>44</v>
      </c>
      <c r="D440" t="s">
        <v>130</v>
      </c>
      <c r="E440" t="s">
        <v>38</v>
      </c>
      <c r="F440" t="s">
        <v>30</v>
      </c>
      <c r="G440" t="s">
        <v>28</v>
      </c>
      <c r="H440">
        <v>16</v>
      </c>
      <c r="I440" t="s">
        <v>33</v>
      </c>
      <c r="J440" s="2">
        <v>45660.208333333336</v>
      </c>
      <c r="K440" s="2">
        <v>45589.29011277778</v>
      </c>
      <c r="L440" s="2">
        <v>45352.627175925925</v>
      </c>
      <c r="M440" t="s">
        <v>1969</v>
      </c>
      <c r="N440" t="s">
        <v>1995</v>
      </c>
      <c r="O440" s="2">
        <v>45401.918612314817</v>
      </c>
      <c r="P440" s="2">
        <v>45407.090041747688</v>
      </c>
      <c r="Q440" s="7">
        <f t="shared" si="6"/>
        <v>5</v>
      </c>
    </row>
    <row r="441" spans="1:17" x14ac:dyDescent="0.35">
      <c r="A441" t="s">
        <v>832</v>
      </c>
      <c r="B441" t="s">
        <v>23</v>
      </c>
      <c r="C441" t="s">
        <v>44</v>
      </c>
      <c r="D441" t="s">
        <v>130</v>
      </c>
      <c r="E441" t="s">
        <v>38</v>
      </c>
      <c r="F441" t="s">
        <v>30</v>
      </c>
      <c r="G441" t="s">
        <v>28</v>
      </c>
      <c r="H441">
        <v>16</v>
      </c>
      <c r="I441" t="s">
        <v>33</v>
      </c>
      <c r="J441" s="2">
        <v>45660.208333333336</v>
      </c>
      <c r="K441" s="2">
        <v>45589.29011277778</v>
      </c>
      <c r="L441" s="2">
        <v>45352.627175925925</v>
      </c>
      <c r="M441" t="s">
        <v>1977</v>
      </c>
      <c r="N441" t="s">
        <v>1970</v>
      </c>
      <c r="O441" s="2">
        <v>45427.211367905089</v>
      </c>
      <c r="P441" s="2">
        <v>45434.443139374998</v>
      </c>
      <c r="Q441" s="7">
        <f t="shared" si="6"/>
        <v>6</v>
      </c>
    </row>
    <row r="442" spans="1:17" x14ac:dyDescent="0.35">
      <c r="A442" t="s">
        <v>828</v>
      </c>
      <c r="B442" t="s">
        <v>23</v>
      </c>
      <c r="C442" t="s">
        <v>44</v>
      </c>
      <c r="D442" t="s">
        <v>76</v>
      </c>
      <c r="E442" t="s">
        <v>38</v>
      </c>
      <c r="F442" t="s">
        <v>30</v>
      </c>
      <c r="G442" t="s">
        <v>28</v>
      </c>
      <c r="H442">
        <v>16</v>
      </c>
      <c r="I442" t="s">
        <v>33</v>
      </c>
      <c r="J442" s="2">
        <v>45671.208333333336</v>
      </c>
      <c r="K442" s="2">
        <v>45615.962881805557</v>
      </c>
      <c r="L442" s="2">
        <v>45352.777337962965</v>
      </c>
      <c r="M442" t="s">
        <v>1971</v>
      </c>
      <c r="N442" t="s">
        <v>1970</v>
      </c>
      <c r="O442" s="2">
        <v>45365.789310208333</v>
      </c>
      <c r="P442" s="2">
        <v>45373.765204780095</v>
      </c>
      <c r="Q442" s="7">
        <f t="shared" si="6"/>
        <v>7</v>
      </c>
    </row>
    <row r="443" spans="1:17" x14ac:dyDescent="0.35">
      <c r="A443" t="s">
        <v>828</v>
      </c>
      <c r="B443" t="s">
        <v>23</v>
      </c>
      <c r="C443" t="s">
        <v>44</v>
      </c>
      <c r="D443" t="s">
        <v>76</v>
      </c>
      <c r="E443" t="s">
        <v>38</v>
      </c>
      <c r="F443" t="s">
        <v>30</v>
      </c>
      <c r="G443" t="s">
        <v>28</v>
      </c>
      <c r="H443">
        <v>16</v>
      </c>
      <c r="I443" t="s">
        <v>33</v>
      </c>
      <c r="J443" s="2">
        <v>45671.208333333336</v>
      </c>
      <c r="K443" s="2">
        <v>45615.962881805557</v>
      </c>
      <c r="L443" s="2">
        <v>45352.777337962965</v>
      </c>
      <c r="M443" t="s">
        <v>1975</v>
      </c>
      <c r="N443" t="s">
        <v>1970</v>
      </c>
      <c r="O443" s="2">
        <v>45429.827682962961</v>
      </c>
      <c r="P443" s="2">
        <v>45454.511935659721</v>
      </c>
      <c r="Q443" s="7">
        <f t="shared" si="6"/>
        <v>18</v>
      </c>
    </row>
    <row r="444" spans="1:17" x14ac:dyDescent="0.35">
      <c r="A444" t="s">
        <v>224</v>
      </c>
      <c r="B444" t="s">
        <v>23</v>
      </c>
      <c r="C444" t="s">
        <v>44</v>
      </c>
      <c r="D444" t="s">
        <v>76</v>
      </c>
      <c r="E444" t="s">
        <v>57</v>
      </c>
      <c r="F444" t="s">
        <v>30</v>
      </c>
      <c r="G444" t="s">
        <v>28</v>
      </c>
      <c r="H444">
        <v>1</v>
      </c>
      <c r="J444" s="2">
        <v>45464.166666666664</v>
      </c>
      <c r="K444" s="2">
        <v>45426.557160972225</v>
      </c>
      <c r="L444" s="2">
        <v>45355.679895833331</v>
      </c>
      <c r="M444" t="s">
        <v>1971</v>
      </c>
      <c r="N444" t="s">
        <v>1970</v>
      </c>
      <c r="O444" s="2">
        <v>45365.742947511571</v>
      </c>
      <c r="P444" s="2">
        <v>45383.49549079861</v>
      </c>
      <c r="Q444" s="7">
        <f t="shared" si="6"/>
        <v>13</v>
      </c>
    </row>
    <row r="445" spans="1:17" x14ac:dyDescent="0.35">
      <c r="A445" t="s">
        <v>224</v>
      </c>
      <c r="B445" t="s">
        <v>23</v>
      </c>
      <c r="C445" t="s">
        <v>44</v>
      </c>
      <c r="D445" t="s">
        <v>76</v>
      </c>
      <c r="E445" t="s">
        <v>57</v>
      </c>
      <c r="F445" t="s">
        <v>30</v>
      </c>
      <c r="G445" t="s">
        <v>28</v>
      </c>
      <c r="H445">
        <v>1</v>
      </c>
      <c r="J445" s="2">
        <v>45464.166666666664</v>
      </c>
      <c r="K445" s="2">
        <v>45426.557160972225</v>
      </c>
      <c r="L445" s="2">
        <v>45355.679895833331</v>
      </c>
      <c r="M445" t="s">
        <v>1980</v>
      </c>
      <c r="N445" t="s">
        <v>1970</v>
      </c>
      <c r="O445" s="2">
        <v>45386.781864004632</v>
      </c>
      <c r="P445" s="2">
        <v>45408.726481111109</v>
      </c>
      <c r="Q445" s="7">
        <f t="shared" si="6"/>
        <v>17</v>
      </c>
    </row>
    <row r="446" spans="1:17" x14ac:dyDescent="0.35">
      <c r="A446" t="s">
        <v>224</v>
      </c>
      <c r="B446" t="s">
        <v>23</v>
      </c>
      <c r="C446" t="s">
        <v>44</v>
      </c>
      <c r="D446" t="s">
        <v>76</v>
      </c>
      <c r="E446" t="s">
        <v>57</v>
      </c>
      <c r="F446" t="s">
        <v>30</v>
      </c>
      <c r="G446" t="s">
        <v>28</v>
      </c>
      <c r="H446">
        <v>1</v>
      </c>
      <c r="J446" s="2">
        <v>45464.166666666664</v>
      </c>
      <c r="K446" s="2">
        <v>45426.557160972225</v>
      </c>
      <c r="L446" s="2">
        <v>45355.679895833331</v>
      </c>
      <c r="M446" t="s">
        <v>1971</v>
      </c>
      <c r="N446" t="s">
        <v>1970</v>
      </c>
      <c r="O446" s="2">
        <v>45386.866904143521</v>
      </c>
      <c r="P446" s="2">
        <v>45405.84329931713</v>
      </c>
      <c r="Q446" s="7">
        <f t="shared" si="6"/>
        <v>14</v>
      </c>
    </row>
    <row r="447" spans="1:17" x14ac:dyDescent="0.35">
      <c r="A447" t="s">
        <v>1097</v>
      </c>
      <c r="B447" t="s">
        <v>23</v>
      </c>
      <c r="C447" t="s">
        <v>44</v>
      </c>
      <c r="D447" t="s">
        <v>43</v>
      </c>
      <c r="E447" t="s">
        <v>48</v>
      </c>
      <c r="F447" t="s">
        <v>30</v>
      </c>
      <c r="G447" t="s">
        <v>28</v>
      </c>
      <c r="J447" s="2">
        <v>45378.166666666664</v>
      </c>
      <c r="K447" s="2">
        <v>45379.794786921295</v>
      </c>
      <c r="L447" s="2">
        <v>45357.842847222222</v>
      </c>
      <c r="M447" t="s">
        <v>1972</v>
      </c>
      <c r="N447" t="s">
        <v>1970</v>
      </c>
      <c r="O447" s="2">
        <v>45357.913606388887</v>
      </c>
      <c r="P447" s="2">
        <v>45364.636151828701</v>
      </c>
      <c r="Q447" s="7">
        <f t="shared" si="6"/>
        <v>6.7225454398139846</v>
      </c>
    </row>
    <row r="448" spans="1:17" x14ac:dyDescent="0.35">
      <c r="A448" t="s">
        <v>700</v>
      </c>
      <c r="B448" t="s">
        <v>23</v>
      </c>
      <c r="C448" t="s">
        <v>44</v>
      </c>
      <c r="D448" t="s">
        <v>409</v>
      </c>
      <c r="E448" t="s">
        <v>48</v>
      </c>
      <c r="F448" t="s">
        <v>30</v>
      </c>
      <c r="G448" t="s">
        <v>28</v>
      </c>
      <c r="H448">
        <v>12</v>
      </c>
      <c r="I448" t="s">
        <v>33</v>
      </c>
      <c r="J448" s="2">
        <v>45742.166666666664</v>
      </c>
      <c r="K448" s="2">
        <v>45827.592294629627</v>
      </c>
      <c r="L448" s="2">
        <v>45357.935115740744</v>
      </c>
      <c r="M448" t="s">
        <v>1969</v>
      </c>
      <c r="N448" t="s">
        <v>1970</v>
      </c>
      <c r="O448" s="2">
        <v>45390.679861516204</v>
      </c>
      <c r="P448" s="2">
        <v>45392.672346805557</v>
      </c>
      <c r="Q448" s="7">
        <f t="shared" si="6"/>
        <v>1.9924852893527714</v>
      </c>
    </row>
    <row r="449" spans="1:17" x14ac:dyDescent="0.35">
      <c r="A449" t="s">
        <v>700</v>
      </c>
      <c r="B449" t="s">
        <v>23</v>
      </c>
      <c r="C449" t="s">
        <v>44</v>
      </c>
      <c r="D449" t="s">
        <v>409</v>
      </c>
      <c r="E449" t="s">
        <v>48</v>
      </c>
      <c r="F449" t="s">
        <v>30</v>
      </c>
      <c r="G449" t="s">
        <v>28</v>
      </c>
      <c r="H449">
        <v>12</v>
      </c>
      <c r="I449" t="s">
        <v>33</v>
      </c>
      <c r="J449" s="2">
        <v>45742.166666666664</v>
      </c>
      <c r="K449" s="2">
        <v>45827.592294629627</v>
      </c>
      <c r="L449" s="2">
        <v>45357.935115740744</v>
      </c>
      <c r="M449" t="s">
        <v>1977</v>
      </c>
      <c r="N449" t="s">
        <v>1978</v>
      </c>
      <c r="O449" s="2">
        <v>45411.910971608799</v>
      </c>
      <c r="P449" s="2">
        <v>45442.597260787035</v>
      </c>
      <c r="Q449" s="7">
        <f t="shared" si="6"/>
        <v>30.686289178236621</v>
      </c>
    </row>
    <row r="450" spans="1:17" x14ac:dyDescent="0.35">
      <c r="A450" t="s">
        <v>700</v>
      </c>
      <c r="B450" t="s">
        <v>23</v>
      </c>
      <c r="C450" t="s">
        <v>44</v>
      </c>
      <c r="D450" t="s">
        <v>409</v>
      </c>
      <c r="E450" t="s">
        <v>48</v>
      </c>
      <c r="F450" t="s">
        <v>30</v>
      </c>
      <c r="G450" t="s">
        <v>28</v>
      </c>
      <c r="H450">
        <v>12</v>
      </c>
      <c r="I450" t="s">
        <v>33</v>
      </c>
      <c r="J450" s="2">
        <v>45742.166666666664</v>
      </c>
      <c r="K450" s="2">
        <v>45827.592294629627</v>
      </c>
      <c r="L450" s="2">
        <v>45357.935115740744</v>
      </c>
      <c r="M450" t="s">
        <v>1977</v>
      </c>
      <c r="N450" t="s">
        <v>1978</v>
      </c>
      <c r="O450" s="2">
        <v>45414.577451562502</v>
      </c>
      <c r="P450" s="2">
        <v>45442.598729409721</v>
      </c>
      <c r="Q450" s="7">
        <f t="shared" si="6"/>
        <v>28.021277847219608</v>
      </c>
    </row>
    <row r="451" spans="1:17" x14ac:dyDescent="0.35">
      <c r="A451" t="s">
        <v>700</v>
      </c>
      <c r="B451" t="s">
        <v>23</v>
      </c>
      <c r="C451" t="s">
        <v>44</v>
      </c>
      <c r="D451" t="s">
        <v>409</v>
      </c>
      <c r="E451" t="s">
        <v>48</v>
      </c>
      <c r="F451" t="s">
        <v>30</v>
      </c>
      <c r="G451" t="s">
        <v>28</v>
      </c>
      <c r="H451">
        <v>12</v>
      </c>
      <c r="I451" t="s">
        <v>33</v>
      </c>
      <c r="J451" s="2">
        <v>45742.166666666664</v>
      </c>
      <c r="K451" s="2">
        <v>45827.592294629627</v>
      </c>
      <c r="L451" s="2">
        <v>45357.935115740744</v>
      </c>
      <c r="M451" t="s">
        <v>1979</v>
      </c>
      <c r="N451" t="s">
        <v>1970</v>
      </c>
      <c r="O451" s="2">
        <v>45447.721873240742</v>
      </c>
      <c r="P451" s="2">
        <v>45462.741185937499</v>
      </c>
      <c r="Q451" s="7">
        <f t="shared" ref="Q451:Q514" si="7">IF(OR(O451="", P451=""), "", IF(OR(E451="PW1000G", E451="PW800"), P451 - O451, NETWORKDAYS(O451, P451)))</f>
        <v>15.01931269675697</v>
      </c>
    </row>
    <row r="452" spans="1:17" x14ac:dyDescent="0.35">
      <c r="A452" t="s">
        <v>700</v>
      </c>
      <c r="B452" t="s">
        <v>23</v>
      </c>
      <c r="C452" t="s">
        <v>44</v>
      </c>
      <c r="D452" t="s">
        <v>409</v>
      </c>
      <c r="E452" t="s">
        <v>48</v>
      </c>
      <c r="F452" t="s">
        <v>30</v>
      </c>
      <c r="G452" t="s">
        <v>28</v>
      </c>
      <c r="H452">
        <v>12</v>
      </c>
      <c r="I452" t="s">
        <v>33</v>
      </c>
      <c r="J452" s="2">
        <v>45742.166666666664</v>
      </c>
      <c r="K452" s="2">
        <v>45827.592294629627</v>
      </c>
      <c r="L452" s="2">
        <v>45357.935115740744</v>
      </c>
      <c r="M452" t="s">
        <v>1975</v>
      </c>
      <c r="N452" t="s">
        <v>1970</v>
      </c>
      <c r="O452" s="2">
        <v>45484.717763969908</v>
      </c>
      <c r="P452" s="2">
        <v>45485.717484409724</v>
      </c>
      <c r="Q452" s="7">
        <f t="shared" si="7"/>
        <v>0.9997204398168833</v>
      </c>
    </row>
    <row r="453" spans="1:17" x14ac:dyDescent="0.35">
      <c r="A453" t="s">
        <v>703</v>
      </c>
      <c r="B453" t="s">
        <v>23</v>
      </c>
      <c r="C453" t="s">
        <v>44</v>
      </c>
      <c r="D453" t="s">
        <v>409</v>
      </c>
      <c r="E453" t="s">
        <v>48</v>
      </c>
      <c r="F453" t="s">
        <v>30</v>
      </c>
      <c r="G453" t="s">
        <v>28</v>
      </c>
      <c r="H453">
        <v>12</v>
      </c>
      <c r="J453" s="2">
        <v>45596.166666666664</v>
      </c>
      <c r="K453" s="2">
        <v>45582.781696458333</v>
      </c>
      <c r="L453" s="2">
        <v>45358.876759259256</v>
      </c>
      <c r="M453" t="s">
        <v>1977</v>
      </c>
      <c r="N453" t="s">
        <v>1970</v>
      </c>
      <c r="O453" s="2">
        <v>45413.624776157405</v>
      </c>
      <c r="P453" s="2">
        <v>45415.595097152778</v>
      </c>
      <c r="Q453" s="7">
        <f t="shared" si="7"/>
        <v>1.9703209953731857</v>
      </c>
    </row>
    <row r="454" spans="1:17" x14ac:dyDescent="0.35">
      <c r="A454" t="s">
        <v>861</v>
      </c>
      <c r="B454" t="s">
        <v>23</v>
      </c>
      <c r="C454" t="s">
        <v>44</v>
      </c>
      <c r="D454" t="s">
        <v>76</v>
      </c>
      <c r="E454" t="s">
        <v>57</v>
      </c>
      <c r="F454" t="s">
        <v>30</v>
      </c>
      <c r="G454" t="s">
        <v>28</v>
      </c>
      <c r="H454">
        <v>17</v>
      </c>
      <c r="J454" s="2">
        <v>45671.208333333336</v>
      </c>
      <c r="K454" s="2">
        <v>45665.66070010417</v>
      </c>
      <c r="L454" s="2">
        <v>45362.534895833334</v>
      </c>
      <c r="M454" t="s">
        <v>1971</v>
      </c>
      <c r="N454" t="s">
        <v>1970</v>
      </c>
      <c r="O454" s="2">
        <v>45373.644876712962</v>
      </c>
      <c r="P454" s="2">
        <v>45373.681492071759</v>
      </c>
      <c r="Q454" s="7">
        <f t="shared" si="7"/>
        <v>1</v>
      </c>
    </row>
    <row r="455" spans="1:17" x14ac:dyDescent="0.35">
      <c r="A455" t="s">
        <v>861</v>
      </c>
      <c r="B455" t="s">
        <v>23</v>
      </c>
      <c r="C455" t="s">
        <v>44</v>
      </c>
      <c r="D455" t="s">
        <v>76</v>
      </c>
      <c r="E455" t="s">
        <v>57</v>
      </c>
      <c r="F455" t="s">
        <v>30</v>
      </c>
      <c r="G455" t="s">
        <v>28</v>
      </c>
      <c r="H455">
        <v>17</v>
      </c>
      <c r="J455" s="2">
        <v>45671.208333333336</v>
      </c>
      <c r="K455" s="2">
        <v>45665.66070010417</v>
      </c>
      <c r="L455" s="2">
        <v>45362.534895833334</v>
      </c>
      <c r="M455" t="s">
        <v>1980</v>
      </c>
      <c r="N455" t="s">
        <v>1985</v>
      </c>
      <c r="O455" s="2">
        <v>45392.585705428239</v>
      </c>
      <c r="P455" s="2">
        <v>45434.575450335651</v>
      </c>
      <c r="Q455" s="7">
        <f t="shared" si="7"/>
        <v>31</v>
      </c>
    </row>
    <row r="456" spans="1:17" x14ac:dyDescent="0.35">
      <c r="A456" t="s">
        <v>861</v>
      </c>
      <c r="B456" t="s">
        <v>23</v>
      </c>
      <c r="C456" t="s">
        <v>44</v>
      </c>
      <c r="D456" t="s">
        <v>76</v>
      </c>
      <c r="E456" t="s">
        <v>57</v>
      </c>
      <c r="F456" t="s">
        <v>30</v>
      </c>
      <c r="G456" t="s">
        <v>28</v>
      </c>
      <c r="H456">
        <v>17</v>
      </c>
      <c r="J456" s="2">
        <v>45671.208333333336</v>
      </c>
      <c r="K456" s="2">
        <v>45665.66070010417</v>
      </c>
      <c r="L456" s="2">
        <v>45362.534895833334</v>
      </c>
      <c r="M456" t="s">
        <v>1980</v>
      </c>
      <c r="N456" t="s">
        <v>1983</v>
      </c>
      <c r="O456" s="2">
        <v>45434.57555483796</v>
      </c>
      <c r="P456" s="2">
        <v>45502.48999047454</v>
      </c>
      <c r="Q456" s="7">
        <f t="shared" si="7"/>
        <v>49</v>
      </c>
    </row>
    <row r="457" spans="1:17" x14ac:dyDescent="0.35">
      <c r="A457" t="s">
        <v>1653</v>
      </c>
      <c r="B457" t="s">
        <v>23</v>
      </c>
      <c r="C457" t="s">
        <v>44</v>
      </c>
      <c r="D457" t="s">
        <v>113</v>
      </c>
      <c r="E457" t="s">
        <v>38</v>
      </c>
      <c r="F457" t="s">
        <v>30</v>
      </c>
      <c r="G457" t="s">
        <v>1633</v>
      </c>
      <c r="H457">
        <v>5</v>
      </c>
      <c r="J457" s="2">
        <v>45485.166666666664</v>
      </c>
      <c r="K457" s="2">
        <v>45448.751972800928</v>
      </c>
      <c r="L457" s="2">
        <v>45366.827280092592</v>
      </c>
      <c r="M457" t="s">
        <v>1971</v>
      </c>
      <c r="N457" t="s">
        <v>1970</v>
      </c>
      <c r="O457" s="2">
        <v>45384.814893379633</v>
      </c>
      <c r="P457" s="2">
        <v>45401.69237780093</v>
      </c>
      <c r="Q457" s="7">
        <f t="shared" si="7"/>
        <v>14</v>
      </c>
    </row>
    <row r="458" spans="1:17" x14ac:dyDescent="0.35">
      <c r="A458" t="s">
        <v>538</v>
      </c>
      <c r="B458" t="s">
        <v>23</v>
      </c>
      <c r="C458" t="s">
        <v>44</v>
      </c>
      <c r="D458" t="s">
        <v>76</v>
      </c>
      <c r="E458" t="s">
        <v>32</v>
      </c>
      <c r="F458" t="s">
        <v>30</v>
      </c>
      <c r="G458" t="s">
        <v>28</v>
      </c>
      <c r="H458">
        <v>8</v>
      </c>
      <c r="J458" s="2">
        <v>45474.166666666664</v>
      </c>
      <c r="K458" s="2">
        <v>45553.563777673611</v>
      </c>
      <c r="L458" s="2">
        <v>45365.669918981483</v>
      </c>
      <c r="M458" t="s">
        <v>1969</v>
      </c>
      <c r="N458" t="s">
        <v>1970</v>
      </c>
      <c r="O458" s="2">
        <v>45369.777168692126</v>
      </c>
      <c r="P458" s="2">
        <v>45379.753531365743</v>
      </c>
      <c r="Q458" s="7">
        <f t="shared" si="7"/>
        <v>9</v>
      </c>
    </row>
    <row r="459" spans="1:17" x14ac:dyDescent="0.35">
      <c r="A459" t="s">
        <v>538</v>
      </c>
      <c r="B459" t="s">
        <v>23</v>
      </c>
      <c r="C459" t="s">
        <v>44</v>
      </c>
      <c r="D459" t="s">
        <v>76</v>
      </c>
      <c r="E459" t="s">
        <v>32</v>
      </c>
      <c r="F459" t="s">
        <v>30</v>
      </c>
      <c r="G459" t="s">
        <v>28</v>
      </c>
      <c r="H459">
        <v>8</v>
      </c>
      <c r="J459" s="2">
        <v>45474.166666666664</v>
      </c>
      <c r="K459" s="2">
        <v>45553.563777673611</v>
      </c>
      <c r="L459" s="2">
        <v>45365.669918981483</v>
      </c>
      <c r="M459" t="s">
        <v>1969</v>
      </c>
      <c r="N459" t="s">
        <v>1970</v>
      </c>
      <c r="O459" s="2">
        <v>45379.860637881946</v>
      </c>
      <c r="P459" s="2">
        <v>45383.487930902775</v>
      </c>
      <c r="Q459" s="7">
        <f t="shared" si="7"/>
        <v>3</v>
      </c>
    </row>
    <row r="460" spans="1:17" x14ac:dyDescent="0.35">
      <c r="A460" t="s">
        <v>538</v>
      </c>
      <c r="B460" t="s">
        <v>23</v>
      </c>
      <c r="C460" t="s">
        <v>44</v>
      </c>
      <c r="D460" t="s">
        <v>76</v>
      </c>
      <c r="E460" t="s">
        <v>32</v>
      </c>
      <c r="F460" t="s">
        <v>30</v>
      </c>
      <c r="G460" t="s">
        <v>28</v>
      </c>
      <c r="H460">
        <v>8</v>
      </c>
      <c r="J460" s="2">
        <v>45474.166666666664</v>
      </c>
      <c r="K460" s="2">
        <v>45553.563777673611</v>
      </c>
      <c r="L460" s="2">
        <v>45365.669918981483</v>
      </c>
      <c r="M460" t="s">
        <v>1973</v>
      </c>
      <c r="N460" t="s">
        <v>1970</v>
      </c>
      <c r="O460" s="2">
        <v>45492.84224322917</v>
      </c>
      <c r="P460" s="2">
        <v>45497.821402453701</v>
      </c>
      <c r="Q460" s="7">
        <f t="shared" si="7"/>
        <v>4</v>
      </c>
    </row>
    <row r="461" spans="1:17" x14ac:dyDescent="0.35">
      <c r="A461" t="s">
        <v>538</v>
      </c>
      <c r="B461" t="s">
        <v>23</v>
      </c>
      <c r="C461" t="s">
        <v>44</v>
      </c>
      <c r="D461" t="s">
        <v>76</v>
      </c>
      <c r="E461" t="s">
        <v>32</v>
      </c>
      <c r="F461" t="s">
        <v>30</v>
      </c>
      <c r="G461" t="s">
        <v>28</v>
      </c>
      <c r="H461">
        <v>8</v>
      </c>
      <c r="J461" s="2">
        <v>45474.166666666664</v>
      </c>
      <c r="K461" s="2">
        <v>45553.563777673611</v>
      </c>
      <c r="L461" s="2">
        <v>45365.669918981483</v>
      </c>
      <c r="M461" t="s">
        <v>1973</v>
      </c>
      <c r="N461" t="s">
        <v>1993</v>
      </c>
      <c r="O461" s="2">
        <v>45520.68923827546</v>
      </c>
      <c r="P461" s="2">
        <v>45541.626093113424</v>
      </c>
      <c r="Q461" s="7">
        <f t="shared" si="7"/>
        <v>16</v>
      </c>
    </row>
    <row r="462" spans="1:17" x14ac:dyDescent="0.35">
      <c r="A462" t="s">
        <v>1532</v>
      </c>
      <c r="B462" t="s">
        <v>23</v>
      </c>
      <c r="C462" t="s">
        <v>44</v>
      </c>
      <c r="D462" t="s">
        <v>113</v>
      </c>
      <c r="E462" t="s">
        <v>32</v>
      </c>
      <c r="F462" t="s">
        <v>30</v>
      </c>
      <c r="G462" t="s">
        <v>1441</v>
      </c>
      <c r="H462">
        <v>6</v>
      </c>
      <c r="J462" s="2">
        <v>45429.166666666664</v>
      </c>
      <c r="K462" s="2">
        <v>45421.489350752316</v>
      </c>
      <c r="L462" s="2">
        <v>45365.686828703707</v>
      </c>
      <c r="M462" t="s">
        <v>1969</v>
      </c>
      <c r="N462" t="s">
        <v>1970</v>
      </c>
      <c r="O462" s="2">
        <v>45371.650694849537</v>
      </c>
      <c r="P462" s="2">
        <v>45372.662031944441</v>
      </c>
      <c r="Q462" s="7">
        <f t="shared" si="7"/>
        <v>2</v>
      </c>
    </row>
    <row r="463" spans="1:17" x14ac:dyDescent="0.35">
      <c r="A463" t="s">
        <v>1532</v>
      </c>
      <c r="B463" t="s">
        <v>23</v>
      </c>
      <c r="C463" t="s">
        <v>44</v>
      </c>
      <c r="D463" t="s">
        <v>113</v>
      </c>
      <c r="E463" t="s">
        <v>32</v>
      </c>
      <c r="F463" t="s">
        <v>30</v>
      </c>
      <c r="G463" t="s">
        <v>1441</v>
      </c>
      <c r="H463">
        <v>6</v>
      </c>
      <c r="J463" s="2">
        <v>45429.166666666664</v>
      </c>
      <c r="K463" s="2">
        <v>45421.489350752316</v>
      </c>
      <c r="L463" s="2">
        <v>45365.686828703707</v>
      </c>
      <c r="M463" t="s">
        <v>1971</v>
      </c>
      <c r="N463" t="s">
        <v>1970</v>
      </c>
      <c r="O463" s="2">
        <v>45373.707045474534</v>
      </c>
      <c r="P463" s="2">
        <v>45379.773666377318</v>
      </c>
      <c r="Q463" s="7">
        <f t="shared" si="7"/>
        <v>5</v>
      </c>
    </row>
    <row r="464" spans="1:17" x14ac:dyDescent="0.35">
      <c r="A464" t="s">
        <v>1532</v>
      </c>
      <c r="B464" t="s">
        <v>23</v>
      </c>
      <c r="C464" t="s">
        <v>44</v>
      </c>
      <c r="D464" t="s">
        <v>113</v>
      </c>
      <c r="E464" t="s">
        <v>32</v>
      </c>
      <c r="F464" t="s">
        <v>30</v>
      </c>
      <c r="G464" t="s">
        <v>1441</v>
      </c>
      <c r="H464">
        <v>6</v>
      </c>
      <c r="J464" s="2">
        <v>45429.166666666664</v>
      </c>
      <c r="K464" s="2">
        <v>45421.489350752316</v>
      </c>
      <c r="L464" s="2">
        <v>45365.686828703707</v>
      </c>
      <c r="M464" t="s">
        <v>1971</v>
      </c>
      <c r="N464" t="s">
        <v>1970</v>
      </c>
      <c r="O464" s="2">
        <v>45386.516138611114</v>
      </c>
      <c r="P464" s="2">
        <v>45392.645480717591</v>
      </c>
      <c r="Q464" s="7">
        <f t="shared" si="7"/>
        <v>5</v>
      </c>
    </row>
    <row r="465" spans="1:17" x14ac:dyDescent="0.35">
      <c r="A465" t="s">
        <v>1459</v>
      </c>
      <c r="B465" t="s">
        <v>23</v>
      </c>
      <c r="C465" t="s">
        <v>44</v>
      </c>
      <c r="D465" t="s">
        <v>113</v>
      </c>
      <c r="E465" t="s">
        <v>48</v>
      </c>
      <c r="F465" t="s">
        <v>30</v>
      </c>
      <c r="G465" t="s">
        <v>1441</v>
      </c>
      <c r="H465">
        <v>1</v>
      </c>
      <c r="J465" s="2">
        <v>45471.166666666664</v>
      </c>
      <c r="K465" s="2">
        <v>45534.760006886572</v>
      </c>
      <c r="L465" s="2">
        <v>45365.796539351853</v>
      </c>
      <c r="M465" t="s">
        <v>1975</v>
      </c>
      <c r="N465" t="s">
        <v>1970</v>
      </c>
      <c r="O465" s="2">
        <v>45408.746789976853</v>
      </c>
      <c r="P465" s="2">
        <v>45427.604666064814</v>
      </c>
      <c r="Q465" s="7">
        <f t="shared" si="7"/>
        <v>18.857876087960904</v>
      </c>
    </row>
    <row r="466" spans="1:17" x14ac:dyDescent="0.35">
      <c r="A466" t="s">
        <v>1459</v>
      </c>
      <c r="B466" t="s">
        <v>23</v>
      </c>
      <c r="C466" t="s">
        <v>44</v>
      </c>
      <c r="D466" t="s">
        <v>113</v>
      </c>
      <c r="E466" t="s">
        <v>48</v>
      </c>
      <c r="F466" t="s">
        <v>30</v>
      </c>
      <c r="G466" t="s">
        <v>1441</v>
      </c>
      <c r="H466">
        <v>1</v>
      </c>
      <c r="J466" s="2">
        <v>45471.166666666664</v>
      </c>
      <c r="K466" s="2">
        <v>45534.760006886572</v>
      </c>
      <c r="L466" s="2">
        <v>45365.796539351853</v>
      </c>
      <c r="M466" t="s">
        <v>1975</v>
      </c>
      <c r="N466" t="s">
        <v>1970</v>
      </c>
      <c r="O466" s="2">
        <v>45436.657154884262</v>
      </c>
      <c r="P466" s="2">
        <v>45450.677624768519</v>
      </c>
      <c r="Q466" s="7">
        <f t="shared" si="7"/>
        <v>14.020469884257182</v>
      </c>
    </row>
    <row r="467" spans="1:17" x14ac:dyDescent="0.35">
      <c r="A467" t="s">
        <v>1512</v>
      </c>
      <c r="B467" t="s">
        <v>23</v>
      </c>
      <c r="C467" t="s">
        <v>44</v>
      </c>
      <c r="D467" t="s">
        <v>51</v>
      </c>
      <c r="E467" t="s">
        <v>38</v>
      </c>
      <c r="F467" t="s">
        <v>30</v>
      </c>
      <c r="G467" t="s">
        <v>1441</v>
      </c>
      <c r="H467">
        <v>4</v>
      </c>
      <c r="J467" s="2">
        <v>45471.166666666664</v>
      </c>
      <c r="K467" s="2">
        <v>45457.101321539354</v>
      </c>
      <c r="L467" s="2">
        <v>45370.752430555556</v>
      </c>
      <c r="M467" t="s">
        <v>1975</v>
      </c>
      <c r="N467" t="s">
        <v>1970</v>
      </c>
      <c r="O467" s="2">
        <v>45421.103493425922</v>
      </c>
      <c r="P467" s="2">
        <v>45439.292533032407</v>
      </c>
      <c r="Q467" s="7">
        <f t="shared" si="7"/>
        <v>13</v>
      </c>
    </row>
    <row r="468" spans="1:17" x14ac:dyDescent="0.35">
      <c r="A468" t="s">
        <v>1808</v>
      </c>
      <c r="B468" t="s">
        <v>23</v>
      </c>
      <c r="C468" t="s">
        <v>44</v>
      </c>
      <c r="D468" t="s">
        <v>43</v>
      </c>
      <c r="E468" t="s">
        <v>38</v>
      </c>
      <c r="F468" t="s">
        <v>30</v>
      </c>
      <c r="G468" t="s">
        <v>1719</v>
      </c>
      <c r="J468" s="2"/>
      <c r="K468" s="2">
        <v>45505.745603298608</v>
      </c>
      <c r="L468" s="2">
        <v>45371.802222222221</v>
      </c>
      <c r="M468" t="s">
        <v>1980</v>
      </c>
      <c r="N468" t="s">
        <v>1970</v>
      </c>
      <c r="O468" s="2">
        <v>45490.669309328703</v>
      </c>
      <c r="P468" s="2">
        <v>45490.797672627312</v>
      </c>
      <c r="Q468" s="7">
        <f t="shared" si="7"/>
        <v>1</v>
      </c>
    </row>
    <row r="469" spans="1:17" x14ac:dyDescent="0.35">
      <c r="A469" t="s">
        <v>1101</v>
      </c>
      <c r="B469" t="s">
        <v>23</v>
      </c>
      <c r="C469" t="s">
        <v>44</v>
      </c>
      <c r="D469" t="s">
        <v>43</v>
      </c>
      <c r="E469" t="s">
        <v>48</v>
      </c>
      <c r="F469" t="s">
        <v>30</v>
      </c>
      <c r="G469" t="s">
        <v>28</v>
      </c>
      <c r="J469" s="2">
        <v>45583.166666666664</v>
      </c>
      <c r="K469" s="2">
        <v>45586.539371296298</v>
      </c>
      <c r="L469" s="2">
        <v>45372.497245370374</v>
      </c>
      <c r="M469" t="s">
        <v>1971</v>
      </c>
      <c r="N469" t="s">
        <v>1970</v>
      </c>
      <c r="O469" s="2">
        <v>45372.625881666667</v>
      </c>
      <c r="P469" s="2">
        <v>45392.58064403935</v>
      </c>
      <c r="Q469" s="7">
        <f t="shared" si="7"/>
        <v>19.954762372683035</v>
      </c>
    </row>
    <row r="470" spans="1:17" x14ac:dyDescent="0.35">
      <c r="A470" t="s">
        <v>830</v>
      </c>
      <c r="B470" t="s">
        <v>23</v>
      </c>
      <c r="C470" t="s">
        <v>44</v>
      </c>
      <c r="D470" t="s">
        <v>36</v>
      </c>
      <c r="E470" t="s">
        <v>48</v>
      </c>
      <c r="F470" t="s">
        <v>30</v>
      </c>
      <c r="G470" t="s">
        <v>28</v>
      </c>
      <c r="H470">
        <v>16</v>
      </c>
      <c r="J470" s="2">
        <v>45448.166666666664</v>
      </c>
      <c r="K470" s="2">
        <v>45631.768864166668</v>
      </c>
      <c r="L470" s="2">
        <v>45377.733043981483</v>
      </c>
      <c r="M470" t="s">
        <v>1980</v>
      </c>
      <c r="N470" t="s">
        <v>1985</v>
      </c>
      <c r="O470" s="2">
        <v>45455.558858923614</v>
      </c>
      <c r="P470" s="2">
        <v>45545.768878935189</v>
      </c>
      <c r="Q470" s="7">
        <f t="shared" si="7"/>
        <v>90.21002001157467</v>
      </c>
    </row>
    <row r="471" spans="1:17" x14ac:dyDescent="0.35">
      <c r="A471" t="s">
        <v>1816</v>
      </c>
      <c r="B471" t="s">
        <v>23</v>
      </c>
      <c r="C471" t="s">
        <v>44</v>
      </c>
      <c r="D471" t="s">
        <v>43</v>
      </c>
      <c r="E471" t="s">
        <v>48</v>
      </c>
      <c r="F471" t="s">
        <v>30</v>
      </c>
      <c r="G471" t="s">
        <v>1719</v>
      </c>
      <c r="J471" s="2"/>
      <c r="K471" s="2">
        <v>45401.600939942131</v>
      </c>
      <c r="L471" s="2">
        <v>45379.538043981483</v>
      </c>
      <c r="M471" t="s">
        <v>1969</v>
      </c>
      <c r="N471" t="s">
        <v>1970</v>
      </c>
      <c r="O471" s="2">
        <v>45384.581647951389</v>
      </c>
      <c r="P471" s="2">
        <v>45392.555107118053</v>
      </c>
      <c r="Q471" s="7">
        <f t="shared" si="7"/>
        <v>7.9734591666638153</v>
      </c>
    </row>
    <row r="472" spans="1:17" x14ac:dyDescent="0.35">
      <c r="A472" t="s">
        <v>1814</v>
      </c>
      <c r="B472" t="s">
        <v>23</v>
      </c>
      <c r="C472" t="s">
        <v>44</v>
      </c>
      <c r="D472" t="s">
        <v>43</v>
      </c>
      <c r="E472" t="s">
        <v>48</v>
      </c>
      <c r="F472" t="s">
        <v>30</v>
      </c>
      <c r="G472" t="s">
        <v>1719</v>
      </c>
      <c r="J472" s="2"/>
      <c r="K472" s="2">
        <v>45412.580327071759</v>
      </c>
      <c r="L472" s="2">
        <v>45385.822615740741</v>
      </c>
      <c r="M472" t="s">
        <v>1971</v>
      </c>
      <c r="N472" t="s">
        <v>1970</v>
      </c>
      <c r="O472" s="2">
        <v>45385.853842928242</v>
      </c>
      <c r="P472" s="2">
        <v>45391.641624155091</v>
      </c>
      <c r="Q472" s="7">
        <f t="shared" si="7"/>
        <v>5.7877812268488924</v>
      </c>
    </row>
    <row r="473" spans="1:17" x14ac:dyDescent="0.35">
      <c r="A473" t="s">
        <v>1141</v>
      </c>
      <c r="B473" t="s">
        <v>23</v>
      </c>
      <c r="C473" t="s">
        <v>44</v>
      </c>
      <c r="D473" t="s">
        <v>409</v>
      </c>
      <c r="E473" t="s">
        <v>48</v>
      </c>
      <c r="F473" t="s">
        <v>30</v>
      </c>
      <c r="G473" t="s">
        <v>28</v>
      </c>
      <c r="I473" t="s">
        <v>81</v>
      </c>
      <c r="J473" s="2">
        <v>45751.166666666664</v>
      </c>
      <c r="K473" s="2">
        <v>45845.62236627315</v>
      </c>
      <c r="L473" s="2">
        <v>45386.520879629628</v>
      </c>
      <c r="M473" t="s">
        <v>1981</v>
      </c>
      <c r="N473" t="s">
        <v>1970</v>
      </c>
      <c r="O473" s="2">
        <v>45419.742500567132</v>
      </c>
      <c r="P473" s="2">
        <v>45427.665934733799</v>
      </c>
      <c r="Q473" s="7">
        <f t="shared" si="7"/>
        <v>7.9234341666669934</v>
      </c>
    </row>
    <row r="474" spans="1:17" x14ac:dyDescent="0.35">
      <c r="A474" t="s">
        <v>1141</v>
      </c>
      <c r="B474" t="s">
        <v>23</v>
      </c>
      <c r="C474" t="s">
        <v>44</v>
      </c>
      <c r="D474" t="s">
        <v>409</v>
      </c>
      <c r="E474" t="s">
        <v>48</v>
      </c>
      <c r="F474" t="s">
        <v>30</v>
      </c>
      <c r="G474" t="s">
        <v>28</v>
      </c>
      <c r="I474" t="s">
        <v>81</v>
      </c>
      <c r="J474" s="2">
        <v>45751.166666666664</v>
      </c>
      <c r="K474" s="2">
        <v>45845.62236627315</v>
      </c>
      <c r="L474" s="2">
        <v>45386.520879629628</v>
      </c>
      <c r="M474" t="s">
        <v>1981</v>
      </c>
      <c r="N474" t="s">
        <v>1970</v>
      </c>
      <c r="O474" s="2">
        <v>45433.83247552083</v>
      </c>
      <c r="P474" s="2">
        <v>45478.729965358798</v>
      </c>
      <c r="Q474" s="7">
        <f t="shared" si="7"/>
        <v>44.897489837967441</v>
      </c>
    </row>
    <row r="475" spans="1:17" x14ac:dyDescent="0.35">
      <c r="A475" t="s">
        <v>1141</v>
      </c>
      <c r="B475" t="s">
        <v>23</v>
      </c>
      <c r="C475" t="s">
        <v>44</v>
      </c>
      <c r="D475" t="s">
        <v>409</v>
      </c>
      <c r="E475" t="s">
        <v>48</v>
      </c>
      <c r="F475" t="s">
        <v>30</v>
      </c>
      <c r="G475" t="s">
        <v>28</v>
      </c>
      <c r="I475" t="s">
        <v>81</v>
      </c>
      <c r="J475" s="2">
        <v>45751.166666666664</v>
      </c>
      <c r="K475" s="2">
        <v>45845.62236627315</v>
      </c>
      <c r="L475" s="2">
        <v>45386.520879629628</v>
      </c>
      <c r="M475" t="s">
        <v>1979</v>
      </c>
      <c r="N475" t="s">
        <v>1970</v>
      </c>
      <c r="O475" s="2">
        <v>45485.589587488423</v>
      </c>
      <c r="P475" s="2">
        <v>45499.558477500002</v>
      </c>
      <c r="Q475" s="7">
        <f t="shared" si="7"/>
        <v>13.968890011579788</v>
      </c>
    </row>
    <row r="476" spans="1:17" x14ac:dyDescent="0.35">
      <c r="A476" t="s">
        <v>251</v>
      </c>
      <c r="B476" t="s">
        <v>23</v>
      </c>
      <c r="C476" t="s">
        <v>44</v>
      </c>
      <c r="D476" t="s">
        <v>43</v>
      </c>
      <c r="E476" t="s">
        <v>38</v>
      </c>
      <c r="F476" t="s">
        <v>30</v>
      </c>
      <c r="G476" t="s">
        <v>28</v>
      </c>
      <c r="H476">
        <v>1</v>
      </c>
      <c r="J476" s="2">
        <v>45520.166666666664</v>
      </c>
      <c r="K476" s="2">
        <v>45520.761243622685</v>
      </c>
      <c r="L476" s="2">
        <v>45386.679884259262</v>
      </c>
      <c r="M476" t="s">
        <v>1988</v>
      </c>
      <c r="N476" t="s">
        <v>1995</v>
      </c>
      <c r="O476" s="2">
        <v>45435.547995555557</v>
      </c>
      <c r="P476" s="2">
        <v>45519.590337187503</v>
      </c>
      <c r="Q476" s="7">
        <f t="shared" si="7"/>
        <v>61</v>
      </c>
    </row>
    <row r="477" spans="1:17" x14ac:dyDescent="0.35">
      <c r="A477" t="s">
        <v>1834</v>
      </c>
      <c r="B477" t="s">
        <v>23</v>
      </c>
      <c r="C477" t="s">
        <v>44</v>
      </c>
      <c r="D477" t="s">
        <v>76</v>
      </c>
      <c r="E477" t="s">
        <v>48</v>
      </c>
      <c r="F477" t="s">
        <v>30</v>
      </c>
      <c r="G477" t="s">
        <v>1719</v>
      </c>
      <c r="I477" t="s">
        <v>33</v>
      </c>
      <c r="J477" s="2"/>
      <c r="K477" s="2">
        <v>45443.806923530094</v>
      </c>
      <c r="L477" s="2">
        <v>45390.540416666663</v>
      </c>
      <c r="M477" t="s">
        <v>1977</v>
      </c>
      <c r="N477" t="s">
        <v>1970</v>
      </c>
      <c r="O477" s="2">
        <v>45394.873029201386</v>
      </c>
      <c r="P477" s="2">
        <v>45418.581323217593</v>
      </c>
      <c r="Q477" s="7">
        <f t="shared" si="7"/>
        <v>23.708294016207219</v>
      </c>
    </row>
    <row r="478" spans="1:17" x14ac:dyDescent="0.35">
      <c r="A478" t="s">
        <v>1834</v>
      </c>
      <c r="B478" t="s">
        <v>23</v>
      </c>
      <c r="C478" t="s">
        <v>44</v>
      </c>
      <c r="D478" t="s">
        <v>76</v>
      </c>
      <c r="E478" t="s">
        <v>48</v>
      </c>
      <c r="F478" t="s">
        <v>30</v>
      </c>
      <c r="G478" t="s">
        <v>1719</v>
      </c>
      <c r="I478" t="s">
        <v>33</v>
      </c>
      <c r="J478" s="2"/>
      <c r="K478" s="2">
        <v>45443.806923530094</v>
      </c>
      <c r="L478" s="2">
        <v>45390.540416666663</v>
      </c>
      <c r="M478" t="s">
        <v>1977</v>
      </c>
      <c r="N478" t="s">
        <v>1970</v>
      </c>
      <c r="O478" s="2">
        <v>45414.577614965281</v>
      </c>
      <c r="P478" s="2">
        <v>45422.718865856485</v>
      </c>
      <c r="Q478" s="7">
        <f t="shared" si="7"/>
        <v>8.1412508912035264</v>
      </c>
    </row>
    <row r="479" spans="1:17" x14ac:dyDescent="0.35">
      <c r="A479" t="s">
        <v>1664</v>
      </c>
      <c r="B479" t="s">
        <v>23</v>
      </c>
      <c r="C479" t="s">
        <v>44</v>
      </c>
      <c r="D479" t="s">
        <v>113</v>
      </c>
      <c r="E479" t="s">
        <v>38</v>
      </c>
      <c r="F479" t="s">
        <v>30</v>
      </c>
      <c r="G479" t="s">
        <v>1633</v>
      </c>
      <c r="H479">
        <v>7</v>
      </c>
      <c r="J479" s="2">
        <v>45443.166666666664</v>
      </c>
      <c r="K479" s="2">
        <v>45443.626622511576</v>
      </c>
      <c r="L479" s="2">
        <v>45390.657962962963</v>
      </c>
      <c r="M479" t="s">
        <v>1971</v>
      </c>
      <c r="N479" t="s">
        <v>1970</v>
      </c>
      <c r="O479" s="2">
        <v>45398.634175520834</v>
      </c>
      <c r="P479" s="2">
        <v>45400.573504560183</v>
      </c>
      <c r="Q479" s="7">
        <f t="shared" si="7"/>
        <v>3</v>
      </c>
    </row>
    <row r="480" spans="1:17" x14ac:dyDescent="0.35">
      <c r="A480" t="s">
        <v>958</v>
      </c>
      <c r="B480" t="s">
        <v>23</v>
      </c>
      <c r="C480" t="s">
        <v>44</v>
      </c>
      <c r="D480" t="s">
        <v>36</v>
      </c>
      <c r="E480" t="s">
        <v>38</v>
      </c>
      <c r="F480" t="s">
        <v>30</v>
      </c>
      <c r="G480" t="s">
        <v>28</v>
      </c>
      <c r="H480">
        <v>22</v>
      </c>
      <c r="J480" s="2">
        <v>45485.166666666664</v>
      </c>
      <c r="K480" s="2">
        <v>45733.56295702546</v>
      </c>
      <c r="L480" s="2">
        <v>45391.625127314815</v>
      </c>
      <c r="M480" t="s">
        <v>1980</v>
      </c>
      <c r="N480" t="s">
        <v>1970</v>
      </c>
      <c r="O480" s="2">
        <v>45428.747668055556</v>
      </c>
      <c r="P480" s="2">
        <v>45446.549026631947</v>
      </c>
      <c r="Q480" s="7">
        <f t="shared" si="7"/>
        <v>13</v>
      </c>
    </row>
    <row r="481" spans="1:17" x14ac:dyDescent="0.35">
      <c r="A481" t="s">
        <v>958</v>
      </c>
      <c r="B481" t="s">
        <v>23</v>
      </c>
      <c r="C481" t="s">
        <v>44</v>
      </c>
      <c r="D481" t="s">
        <v>36</v>
      </c>
      <c r="E481" t="s">
        <v>38</v>
      </c>
      <c r="F481" t="s">
        <v>30</v>
      </c>
      <c r="G481" t="s">
        <v>28</v>
      </c>
      <c r="H481">
        <v>22</v>
      </c>
      <c r="J481" s="2">
        <v>45485.166666666664</v>
      </c>
      <c r="K481" s="2">
        <v>45733.56295702546</v>
      </c>
      <c r="L481" s="2">
        <v>45391.625127314815</v>
      </c>
      <c r="M481" t="s">
        <v>1980</v>
      </c>
      <c r="N481" t="s">
        <v>1970</v>
      </c>
      <c r="O481" s="2">
        <v>45449.638055706018</v>
      </c>
      <c r="P481" s="2">
        <v>45455.866855960645</v>
      </c>
      <c r="Q481" s="7">
        <f t="shared" si="7"/>
        <v>5</v>
      </c>
    </row>
    <row r="482" spans="1:17" x14ac:dyDescent="0.35">
      <c r="A482" t="s">
        <v>958</v>
      </c>
      <c r="B482" t="s">
        <v>23</v>
      </c>
      <c r="C482" t="s">
        <v>44</v>
      </c>
      <c r="D482" t="s">
        <v>36</v>
      </c>
      <c r="E482" t="s">
        <v>38</v>
      </c>
      <c r="F482" t="s">
        <v>30</v>
      </c>
      <c r="G482" t="s">
        <v>28</v>
      </c>
      <c r="H482">
        <v>22</v>
      </c>
      <c r="J482" s="2">
        <v>45485.166666666664</v>
      </c>
      <c r="K482" s="2">
        <v>45733.56295702546</v>
      </c>
      <c r="L482" s="2">
        <v>45391.625127314815</v>
      </c>
      <c r="M482" t="s">
        <v>1988</v>
      </c>
      <c r="N482" t="s">
        <v>1985</v>
      </c>
      <c r="O482" s="2">
        <v>45483.736481689812</v>
      </c>
      <c r="P482" s="2">
        <v>45698.71013039352</v>
      </c>
      <c r="Q482" s="7">
        <f t="shared" si="7"/>
        <v>154</v>
      </c>
    </row>
    <row r="483" spans="1:17" x14ac:dyDescent="0.35">
      <c r="A483" t="s">
        <v>958</v>
      </c>
      <c r="B483" t="s">
        <v>23</v>
      </c>
      <c r="C483" t="s">
        <v>44</v>
      </c>
      <c r="D483" t="s">
        <v>36</v>
      </c>
      <c r="E483" t="s">
        <v>38</v>
      </c>
      <c r="F483" t="s">
        <v>30</v>
      </c>
      <c r="G483" t="s">
        <v>28</v>
      </c>
      <c r="H483">
        <v>22</v>
      </c>
      <c r="J483" s="2">
        <v>45485.166666666664</v>
      </c>
      <c r="K483" s="2">
        <v>45733.56295702546</v>
      </c>
      <c r="L483" s="2">
        <v>45391.625127314815</v>
      </c>
      <c r="M483" t="s">
        <v>1980</v>
      </c>
      <c r="N483" t="s">
        <v>1970</v>
      </c>
      <c r="O483" s="2">
        <v>45525.492757291664</v>
      </c>
      <c r="P483" s="2">
        <v>45580.600163842595</v>
      </c>
      <c r="Q483" s="7">
        <f t="shared" si="7"/>
        <v>40</v>
      </c>
    </row>
    <row r="484" spans="1:17" x14ac:dyDescent="0.35">
      <c r="A484" t="s">
        <v>958</v>
      </c>
      <c r="B484" t="s">
        <v>23</v>
      </c>
      <c r="C484" t="s">
        <v>44</v>
      </c>
      <c r="D484" t="s">
        <v>36</v>
      </c>
      <c r="E484" t="s">
        <v>38</v>
      </c>
      <c r="F484" t="s">
        <v>30</v>
      </c>
      <c r="G484" t="s">
        <v>28</v>
      </c>
      <c r="H484">
        <v>22</v>
      </c>
      <c r="J484" s="2">
        <v>45485.166666666664</v>
      </c>
      <c r="K484" s="2">
        <v>45733.56295702546</v>
      </c>
      <c r="L484" s="2">
        <v>45391.625127314815</v>
      </c>
      <c r="M484" t="s">
        <v>1980</v>
      </c>
      <c r="N484" t="s">
        <v>1970</v>
      </c>
      <c r="O484" s="2">
        <v>45581.665459930555</v>
      </c>
      <c r="P484" s="2">
        <v>45583.694968020834</v>
      </c>
      <c r="Q484" s="7">
        <f t="shared" si="7"/>
        <v>3</v>
      </c>
    </row>
    <row r="485" spans="1:17" x14ac:dyDescent="0.35">
      <c r="A485" t="s">
        <v>958</v>
      </c>
      <c r="B485" t="s">
        <v>23</v>
      </c>
      <c r="C485" t="s">
        <v>44</v>
      </c>
      <c r="D485" t="s">
        <v>36</v>
      </c>
      <c r="E485" t="s">
        <v>38</v>
      </c>
      <c r="F485" t="s">
        <v>30</v>
      </c>
      <c r="G485" t="s">
        <v>28</v>
      </c>
      <c r="H485">
        <v>22</v>
      </c>
      <c r="J485" s="2">
        <v>45485.166666666664</v>
      </c>
      <c r="K485" s="2">
        <v>45733.56295702546</v>
      </c>
      <c r="L485" s="2">
        <v>45391.625127314815</v>
      </c>
      <c r="M485" t="s">
        <v>1980</v>
      </c>
      <c r="N485" t="s">
        <v>1987</v>
      </c>
      <c r="O485" s="2">
        <v>45611.839343958331</v>
      </c>
      <c r="P485" s="2">
        <v>45623.643661331022</v>
      </c>
      <c r="Q485" s="7">
        <f t="shared" si="7"/>
        <v>9</v>
      </c>
    </row>
    <row r="486" spans="1:17" x14ac:dyDescent="0.35">
      <c r="A486" t="s">
        <v>1840</v>
      </c>
      <c r="B486" t="s">
        <v>23</v>
      </c>
      <c r="C486" t="s">
        <v>44</v>
      </c>
      <c r="D486" t="s">
        <v>76</v>
      </c>
      <c r="E486" t="s">
        <v>48</v>
      </c>
      <c r="F486" t="s">
        <v>30</v>
      </c>
      <c r="G486" t="s">
        <v>1719</v>
      </c>
      <c r="J486" s="2"/>
      <c r="K486" s="2">
        <v>45635.714943067127</v>
      </c>
      <c r="L486" s="2">
        <v>45392.496539351851</v>
      </c>
      <c r="M486" t="s">
        <v>1977</v>
      </c>
      <c r="N486" t="s">
        <v>1970</v>
      </c>
      <c r="O486" s="2">
        <v>45406.735183657409</v>
      </c>
      <c r="P486" s="2">
        <v>45429.669092557873</v>
      </c>
      <c r="Q486" s="7">
        <f t="shared" si="7"/>
        <v>22.933908900464303</v>
      </c>
    </row>
    <row r="487" spans="1:17" x14ac:dyDescent="0.35">
      <c r="A487" t="s">
        <v>1840</v>
      </c>
      <c r="B487" t="s">
        <v>23</v>
      </c>
      <c r="C487" t="s">
        <v>44</v>
      </c>
      <c r="D487" t="s">
        <v>76</v>
      </c>
      <c r="E487" t="s">
        <v>48</v>
      </c>
      <c r="F487" t="s">
        <v>30</v>
      </c>
      <c r="G487" t="s">
        <v>1719</v>
      </c>
      <c r="J487" s="2"/>
      <c r="K487" s="2">
        <v>45635.714943067127</v>
      </c>
      <c r="L487" s="2">
        <v>45392.496539351851</v>
      </c>
      <c r="M487" t="s">
        <v>1989</v>
      </c>
      <c r="N487" t="s">
        <v>1990</v>
      </c>
      <c r="O487" s="2">
        <v>45629.663591412034</v>
      </c>
      <c r="P487" s="2">
        <v>45632.692001238429</v>
      </c>
      <c r="Q487" s="7">
        <f t="shared" si="7"/>
        <v>3.0284098263946362</v>
      </c>
    </row>
    <row r="488" spans="1:17" x14ac:dyDescent="0.35">
      <c r="A488" t="s">
        <v>1694</v>
      </c>
      <c r="B488" t="s">
        <v>23</v>
      </c>
      <c r="C488" t="s">
        <v>44</v>
      </c>
      <c r="D488" t="s">
        <v>76</v>
      </c>
      <c r="E488" t="s">
        <v>48</v>
      </c>
      <c r="F488" t="s">
        <v>30</v>
      </c>
      <c r="G488" t="s">
        <v>1633</v>
      </c>
      <c r="I488" t="s">
        <v>81</v>
      </c>
      <c r="J488" s="2">
        <v>45547.166666666664</v>
      </c>
      <c r="K488" s="2">
        <v>45600.706009814814</v>
      </c>
      <c r="L488" s="2">
        <v>45393.473402777781</v>
      </c>
      <c r="M488" t="s">
        <v>1989</v>
      </c>
      <c r="N488" t="s">
        <v>1990</v>
      </c>
      <c r="O488" s="2">
        <v>45594.876983310183</v>
      </c>
      <c r="P488" s="2">
        <v>45600.635412164353</v>
      </c>
      <c r="Q488" s="7">
        <f t="shared" si="7"/>
        <v>5.758428854169324</v>
      </c>
    </row>
    <row r="489" spans="1:17" x14ac:dyDescent="0.35">
      <c r="A489" t="s">
        <v>451</v>
      </c>
      <c r="B489" t="s">
        <v>23</v>
      </c>
      <c r="C489" t="s">
        <v>44</v>
      </c>
      <c r="D489" t="s">
        <v>113</v>
      </c>
      <c r="E489" t="s">
        <v>38</v>
      </c>
      <c r="F489" t="s">
        <v>30</v>
      </c>
      <c r="G489" t="s">
        <v>28</v>
      </c>
      <c r="H489">
        <v>5</v>
      </c>
      <c r="J489" s="2">
        <v>45513.166666666664</v>
      </c>
      <c r="K489" s="2">
        <v>45516.817857685186</v>
      </c>
      <c r="L489" s="2">
        <v>45393.689328703702</v>
      </c>
      <c r="M489" t="s">
        <v>1975</v>
      </c>
      <c r="N489" t="s">
        <v>1970</v>
      </c>
      <c r="O489" s="2">
        <v>45455.584941111112</v>
      </c>
      <c r="P489" s="2">
        <v>45470.632256990742</v>
      </c>
      <c r="Q489" s="7">
        <f t="shared" si="7"/>
        <v>12</v>
      </c>
    </row>
    <row r="490" spans="1:17" x14ac:dyDescent="0.35">
      <c r="A490" t="s">
        <v>1821</v>
      </c>
      <c r="B490" t="s">
        <v>23</v>
      </c>
      <c r="C490" t="s">
        <v>44</v>
      </c>
      <c r="D490" t="s">
        <v>113</v>
      </c>
      <c r="E490" t="s">
        <v>38</v>
      </c>
      <c r="F490" t="s">
        <v>30</v>
      </c>
      <c r="G490" t="s">
        <v>1719</v>
      </c>
      <c r="J490" s="2"/>
      <c r="K490" s="2">
        <v>45545.537393287035</v>
      </c>
      <c r="L490" s="2">
        <v>45394.811909722222</v>
      </c>
      <c r="M490" t="s">
        <v>1977</v>
      </c>
      <c r="N490" t="s">
        <v>1970</v>
      </c>
      <c r="O490" s="2">
        <v>45408.766120081018</v>
      </c>
      <c r="P490" s="2">
        <v>45422.761006921297</v>
      </c>
      <c r="Q490" s="7">
        <f t="shared" si="7"/>
        <v>11</v>
      </c>
    </row>
    <row r="491" spans="1:17" x14ac:dyDescent="0.35">
      <c r="A491" t="s">
        <v>1109</v>
      </c>
      <c r="B491" t="s">
        <v>23</v>
      </c>
      <c r="C491" t="s">
        <v>44</v>
      </c>
      <c r="D491" t="s">
        <v>76</v>
      </c>
      <c r="E491" t="s">
        <v>38</v>
      </c>
      <c r="F491" t="s">
        <v>30</v>
      </c>
      <c r="G491" t="s">
        <v>28</v>
      </c>
      <c r="J491" s="2">
        <v>45734.166666666664</v>
      </c>
      <c r="K491" s="2">
        <v>45715.83354511574</v>
      </c>
      <c r="L491" s="2">
        <v>45398.77447916667</v>
      </c>
      <c r="M491" t="s">
        <v>1977</v>
      </c>
      <c r="N491" t="s">
        <v>1970</v>
      </c>
      <c r="O491" s="2">
        <v>45400.839734363428</v>
      </c>
      <c r="P491" s="2">
        <v>45414.776209062496</v>
      </c>
      <c r="Q491" s="7">
        <f t="shared" si="7"/>
        <v>11</v>
      </c>
    </row>
    <row r="492" spans="1:17" x14ac:dyDescent="0.35">
      <c r="A492" t="s">
        <v>1109</v>
      </c>
      <c r="B492" t="s">
        <v>23</v>
      </c>
      <c r="C492" t="s">
        <v>44</v>
      </c>
      <c r="D492" t="s">
        <v>76</v>
      </c>
      <c r="E492" t="s">
        <v>38</v>
      </c>
      <c r="F492" t="s">
        <v>30</v>
      </c>
      <c r="G492" t="s">
        <v>28</v>
      </c>
      <c r="J492" s="2">
        <v>45734.166666666664</v>
      </c>
      <c r="K492" s="2">
        <v>45715.83354511574</v>
      </c>
      <c r="L492" s="2">
        <v>45398.77447916667</v>
      </c>
      <c r="M492" t="s">
        <v>1977</v>
      </c>
      <c r="N492" t="s">
        <v>1970</v>
      </c>
      <c r="O492" s="2">
        <v>45413.857857361108</v>
      </c>
      <c r="P492" s="2">
        <v>45414.805601261571</v>
      </c>
      <c r="Q492" s="7">
        <f t="shared" si="7"/>
        <v>2</v>
      </c>
    </row>
    <row r="493" spans="1:17" x14ac:dyDescent="0.35">
      <c r="A493" t="s">
        <v>1109</v>
      </c>
      <c r="B493" t="s">
        <v>23</v>
      </c>
      <c r="C493" t="s">
        <v>44</v>
      </c>
      <c r="D493" t="s">
        <v>76</v>
      </c>
      <c r="E493" t="s">
        <v>38</v>
      </c>
      <c r="F493" t="s">
        <v>30</v>
      </c>
      <c r="G493" t="s">
        <v>28</v>
      </c>
      <c r="J493" s="2">
        <v>45734.166666666664</v>
      </c>
      <c r="K493" s="2">
        <v>45715.83354511574</v>
      </c>
      <c r="L493" s="2">
        <v>45398.77447916667</v>
      </c>
      <c r="M493" t="s">
        <v>1980</v>
      </c>
      <c r="N493" t="s">
        <v>1970</v>
      </c>
      <c r="O493" s="2">
        <v>45548.805836342595</v>
      </c>
      <c r="P493" s="2">
        <v>45562.844744513888</v>
      </c>
      <c r="Q493" s="7">
        <f t="shared" si="7"/>
        <v>11</v>
      </c>
    </row>
    <row r="494" spans="1:17" x14ac:dyDescent="0.35">
      <c r="A494" t="s">
        <v>1109</v>
      </c>
      <c r="B494" t="s">
        <v>23</v>
      </c>
      <c r="C494" t="s">
        <v>44</v>
      </c>
      <c r="D494" t="s">
        <v>76</v>
      </c>
      <c r="E494" t="s">
        <v>38</v>
      </c>
      <c r="F494" t="s">
        <v>30</v>
      </c>
      <c r="G494" t="s">
        <v>28</v>
      </c>
      <c r="J494" s="2">
        <v>45734.166666666664</v>
      </c>
      <c r="K494" s="2">
        <v>45715.83354511574</v>
      </c>
      <c r="L494" s="2">
        <v>45398.77447916667</v>
      </c>
      <c r="M494" t="s">
        <v>1980</v>
      </c>
      <c r="N494" t="s">
        <v>1970</v>
      </c>
      <c r="O494" s="2">
        <v>45633.178815416664</v>
      </c>
      <c r="P494" s="2">
        <v>45638.574839768517</v>
      </c>
      <c r="Q494" s="7">
        <f t="shared" si="7"/>
        <v>4</v>
      </c>
    </row>
    <row r="495" spans="1:17" x14ac:dyDescent="0.35">
      <c r="A495" t="s">
        <v>1567</v>
      </c>
      <c r="B495" t="s">
        <v>23</v>
      </c>
      <c r="C495" t="s">
        <v>44</v>
      </c>
      <c r="D495" t="s">
        <v>43</v>
      </c>
      <c r="E495" t="s">
        <v>38</v>
      </c>
      <c r="F495" t="s">
        <v>30</v>
      </c>
      <c r="G495" t="s">
        <v>1441</v>
      </c>
      <c r="H495">
        <v>10</v>
      </c>
      <c r="I495" t="s">
        <v>33</v>
      </c>
      <c r="J495" s="2">
        <v>45441.166666666664</v>
      </c>
      <c r="K495" s="2">
        <v>45516.602048668981</v>
      </c>
      <c r="L495" s="2">
        <v>45400.534525462965</v>
      </c>
      <c r="M495" t="s">
        <v>1980</v>
      </c>
      <c r="N495" t="s">
        <v>1970</v>
      </c>
      <c r="O495" s="2">
        <v>45429.790072453703</v>
      </c>
      <c r="P495" s="2">
        <v>45461.547427916666</v>
      </c>
      <c r="Q495" s="7">
        <f t="shared" si="7"/>
        <v>23</v>
      </c>
    </row>
    <row r="496" spans="1:17" x14ac:dyDescent="0.35">
      <c r="A496" t="s">
        <v>129</v>
      </c>
      <c r="B496" t="s">
        <v>23</v>
      </c>
      <c r="C496" t="s">
        <v>44</v>
      </c>
      <c r="D496" t="s">
        <v>130</v>
      </c>
      <c r="E496" t="s">
        <v>57</v>
      </c>
      <c r="F496" t="s">
        <v>30</v>
      </c>
      <c r="G496" t="s">
        <v>46</v>
      </c>
      <c r="J496" s="2">
        <v>45581.166666666664</v>
      </c>
      <c r="K496" s="2">
        <v>45596.521794293978</v>
      </c>
      <c r="L496" s="2">
        <v>45400.88857638889</v>
      </c>
      <c r="M496" t="s">
        <v>1977</v>
      </c>
      <c r="N496" t="s">
        <v>1970</v>
      </c>
      <c r="O496" s="2">
        <v>45418.583953587964</v>
      </c>
      <c r="P496" s="2">
        <v>45418.611601342593</v>
      </c>
      <c r="Q496" s="7">
        <f t="shared" si="7"/>
        <v>1</v>
      </c>
    </row>
    <row r="497" spans="1:17" x14ac:dyDescent="0.35">
      <c r="A497" t="s">
        <v>129</v>
      </c>
      <c r="B497" t="s">
        <v>23</v>
      </c>
      <c r="C497" t="s">
        <v>44</v>
      </c>
      <c r="D497" t="s">
        <v>130</v>
      </c>
      <c r="E497" t="s">
        <v>57</v>
      </c>
      <c r="F497" t="s">
        <v>30</v>
      </c>
      <c r="G497" t="s">
        <v>46</v>
      </c>
      <c r="J497" s="2">
        <v>45581.166666666664</v>
      </c>
      <c r="K497" s="2">
        <v>45596.521794293978</v>
      </c>
      <c r="L497" s="2">
        <v>45400.88857638889</v>
      </c>
      <c r="M497" t="s">
        <v>1980</v>
      </c>
      <c r="N497" t="s">
        <v>1970</v>
      </c>
      <c r="O497" s="2">
        <v>45518.677722789354</v>
      </c>
      <c r="P497" s="2">
        <v>45541.710017152778</v>
      </c>
      <c r="Q497" s="7">
        <f t="shared" si="7"/>
        <v>18</v>
      </c>
    </row>
    <row r="498" spans="1:17" x14ac:dyDescent="0.35">
      <c r="A498" t="s">
        <v>1846</v>
      </c>
      <c r="B498" t="s">
        <v>23</v>
      </c>
      <c r="C498" t="s">
        <v>44</v>
      </c>
      <c r="D498" t="s">
        <v>76</v>
      </c>
      <c r="E498" t="s">
        <v>48</v>
      </c>
      <c r="F498" t="s">
        <v>30</v>
      </c>
      <c r="G498" t="s">
        <v>1719</v>
      </c>
      <c r="I498" t="s">
        <v>33</v>
      </c>
      <c r="J498" s="2"/>
      <c r="K498" s="2">
        <v>45678.869847326387</v>
      </c>
      <c r="L498" s="2">
        <v>45406.491307870368</v>
      </c>
      <c r="M498" t="s">
        <v>1981</v>
      </c>
      <c r="N498" t="s">
        <v>1970</v>
      </c>
      <c r="O498" s="2">
        <v>45419.742030486108</v>
      </c>
      <c r="P498" s="2">
        <v>45427.859759930558</v>
      </c>
      <c r="Q498" s="7">
        <f t="shared" si="7"/>
        <v>8.1177294444496511</v>
      </c>
    </row>
    <row r="499" spans="1:17" x14ac:dyDescent="0.35">
      <c r="A499" t="s">
        <v>1846</v>
      </c>
      <c r="B499" t="s">
        <v>23</v>
      </c>
      <c r="C499" t="s">
        <v>44</v>
      </c>
      <c r="D499" t="s">
        <v>76</v>
      </c>
      <c r="E499" t="s">
        <v>48</v>
      </c>
      <c r="F499" t="s">
        <v>30</v>
      </c>
      <c r="G499" t="s">
        <v>1719</v>
      </c>
      <c r="I499" t="s">
        <v>33</v>
      </c>
      <c r="J499" s="2"/>
      <c r="K499" s="2">
        <v>45678.869847326387</v>
      </c>
      <c r="L499" s="2">
        <v>45406.491307870368</v>
      </c>
      <c r="M499" t="s">
        <v>1989</v>
      </c>
      <c r="N499" t="s">
        <v>1990</v>
      </c>
      <c r="O499" s="2">
        <v>45670.834866736113</v>
      </c>
      <c r="P499" s="2">
        <v>45677.790192418979</v>
      </c>
      <c r="Q499" s="7">
        <f t="shared" si="7"/>
        <v>6.955325682865805</v>
      </c>
    </row>
    <row r="500" spans="1:17" x14ac:dyDescent="0.35">
      <c r="A500" t="s">
        <v>1851</v>
      </c>
      <c r="B500" t="s">
        <v>23</v>
      </c>
      <c r="C500" t="s">
        <v>44</v>
      </c>
      <c r="D500" t="s">
        <v>130</v>
      </c>
      <c r="E500" t="s">
        <v>38</v>
      </c>
      <c r="F500" t="s">
        <v>30</v>
      </c>
      <c r="G500" t="s">
        <v>1719</v>
      </c>
      <c r="I500" t="s">
        <v>33</v>
      </c>
      <c r="J500" s="2"/>
      <c r="K500" s="2">
        <v>45460.622450127317</v>
      </c>
      <c r="L500" s="2">
        <v>45413.74759259259</v>
      </c>
      <c r="M500" t="s">
        <v>1981</v>
      </c>
      <c r="N500" t="s">
        <v>1970</v>
      </c>
      <c r="O500" s="2">
        <v>45419.742851643517</v>
      </c>
      <c r="P500" s="2">
        <v>45429.667836712964</v>
      </c>
      <c r="Q500" s="7">
        <f t="shared" si="7"/>
        <v>9</v>
      </c>
    </row>
    <row r="501" spans="1:17" x14ac:dyDescent="0.35">
      <c r="A501" t="s">
        <v>1123</v>
      </c>
      <c r="B501" t="s">
        <v>23</v>
      </c>
      <c r="C501" t="s">
        <v>44</v>
      </c>
      <c r="D501" t="s">
        <v>130</v>
      </c>
      <c r="E501" t="s">
        <v>57</v>
      </c>
      <c r="F501" t="s">
        <v>30</v>
      </c>
      <c r="G501" t="s">
        <v>28</v>
      </c>
      <c r="I501" t="s">
        <v>33</v>
      </c>
      <c r="J501" s="2">
        <v>45518.166666666664</v>
      </c>
      <c r="K501" s="2">
        <v>45581.811080069441</v>
      </c>
      <c r="L501" s="2">
        <v>45412.846006944441</v>
      </c>
      <c r="M501" t="s">
        <v>1981</v>
      </c>
      <c r="N501" t="s">
        <v>1970</v>
      </c>
      <c r="O501" s="2">
        <v>45419.742952291665</v>
      </c>
      <c r="P501" s="2">
        <v>45426.818977141207</v>
      </c>
      <c r="Q501" s="7">
        <f t="shared" si="7"/>
        <v>6</v>
      </c>
    </row>
    <row r="502" spans="1:17" x14ac:dyDescent="0.35">
      <c r="A502" t="s">
        <v>1123</v>
      </c>
      <c r="B502" t="s">
        <v>23</v>
      </c>
      <c r="C502" t="s">
        <v>44</v>
      </c>
      <c r="D502" t="s">
        <v>130</v>
      </c>
      <c r="E502" t="s">
        <v>57</v>
      </c>
      <c r="F502" t="s">
        <v>30</v>
      </c>
      <c r="G502" t="s">
        <v>28</v>
      </c>
      <c r="I502" t="s">
        <v>33</v>
      </c>
      <c r="J502" s="2">
        <v>45518.166666666664</v>
      </c>
      <c r="K502" s="2">
        <v>45581.811080069441</v>
      </c>
      <c r="L502" s="2">
        <v>45412.846006944441</v>
      </c>
      <c r="M502" t="s">
        <v>1980</v>
      </c>
      <c r="N502" t="s">
        <v>1992</v>
      </c>
      <c r="O502" s="2">
        <v>45509.603448564812</v>
      </c>
      <c r="P502" s="2">
        <v>45517.580247662037</v>
      </c>
      <c r="Q502" s="7">
        <f t="shared" si="7"/>
        <v>7</v>
      </c>
    </row>
    <row r="503" spans="1:17" x14ac:dyDescent="0.35">
      <c r="A503" t="s">
        <v>663</v>
      </c>
      <c r="B503" t="s">
        <v>23</v>
      </c>
      <c r="C503" t="s">
        <v>44</v>
      </c>
      <c r="D503" t="s">
        <v>130</v>
      </c>
      <c r="E503" t="s">
        <v>38</v>
      </c>
      <c r="F503" t="s">
        <v>30</v>
      </c>
      <c r="G503" t="s">
        <v>28</v>
      </c>
      <c r="H503">
        <v>11</v>
      </c>
      <c r="I503" t="s">
        <v>33</v>
      </c>
      <c r="J503" s="2">
        <v>45639.208333333336</v>
      </c>
      <c r="K503" s="2">
        <v>45644.352013819444</v>
      </c>
      <c r="L503" s="2">
        <v>45413.757604166669</v>
      </c>
      <c r="M503" t="s">
        <v>1981</v>
      </c>
      <c r="N503" t="s">
        <v>1995</v>
      </c>
      <c r="O503" s="2">
        <v>45428.074523356481</v>
      </c>
      <c r="P503" s="2">
        <v>45539.343172187502</v>
      </c>
      <c r="Q503" s="7">
        <f t="shared" si="7"/>
        <v>80</v>
      </c>
    </row>
    <row r="504" spans="1:17" x14ac:dyDescent="0.35">
      <c r="A504" t="s">
        <v>777</v>
      </c>
      <c r="B504" t="s">
        <v>23</v>
      </c>
      <c r="C504" t="s">
        <v>44</v>
      </c>
      <c r="D504" t="s">
        <v>130</v>
      </c>
      <c r="E504" t="s">
        <v>38</v>
      </c>
      <c r="F504" t="s">
        <v>30</v>
      </c>
      <c r="G504" t="s">
        <v>28</v>
      </c>
      <c r="H504">
        <v>14</v>
      </c>
      <c r="I504" t="s">
        <v>33</v>
      </c>
      <c r="J504" s="2">
        <v>45639.208333333336</v>
      </c>
      <c r="K504" s="2">
        <v>45644.062443449075</v>
      </c>
      <c r="L504" s="2">
        <v>45422.541076388887</v>
      </c>
      <c r="M504" t="s">
        <v>1981</v>
      </c>
      <c r="N504" t="s">
        <v>1995</v>
      </c>
      <c r="O504" s="2">
        <v>45428.758828668979</v>
      </c>
      <c r="P504" s="2">
        <v>45539.345711099537</v>
      </c>
      <c r="Q504" s="7">
        <f t="shared" si="7"/>
        <v>80</v>
      </c>
    </row>
    <row r="505" spans="1:17" x14ac:dyDescent="0.35">
      <c r="A505" t="s">
        <v>777</v>
      </c>
      <c r="B505" t="s">
        <v>23</v>
      </c>
      <c r="C505" t="s">
        <v>44</v>
      </c>
      <c r="D505" t="s">
        <v>130</v>
      </c>
      <c r="E505" t="s">
        <v>38</v>
      </c>
      <c r="F505" t="s">
        <v>30</v>
      </c>
      <c r="G505" t="s">
        <v>28</v>
      </c>
      <c r="H505">
        <v>14</v>
      </c>
      <c r="I505" t="s">
        <v>33</v>
      </c>
      <c r="J505" s="2">
        <v>45639.208333333336</v>
      </c>
      <c r="K505" s="2">
        <v>45644.062443449075</v>
      </c>
      <c r="L505" s="2">
        <v>45422.541076388887</v>
      </c>
      <c r="M505" t="s">
        <v>1979</v>
      </c>
      <c r="N505" t="s">
        <v>1970</v>
      </c>
      <c r="O505" s="2">
        <v>45544.092325520833</v>
      </c>
      <c r="P505" s="2">
        <v>45575.068615243057</v>
      </c>
      <c r="Q505" s="7">
        <f t="shared" si="7"/>
        <v>24</v>
      </c>
    </row>
    <row r="506" spans="1:17" x14ac:dyDescent="0.35">
      <c r="A506" t="s">
        <v>1183</v>
      </c>
      <c r="B506" t="s">
        <v>23</v>
      </c>
      <c r="C506" t="s">
        <v>44</v>
      </c>
      <c r="D506" t="s">
        <v>76</v>
      </c>
      <c r="E506" t="s">
        <v>38</v>
      </c>
      <c r="F506" t="s">
        <v>30</v>
      </c>
      <c r="G506" t="s">
        <v>28</v>
      </c>
      <c r="I506" t="s">
        <v>33</v>
      </c>
      <c r="J506" s="2">
        <v>45695.208333333336</v>
      </c>
      <c r="K506" s="2">
        <v>45691.66302925926</v>
      </c>
      <c r="L506" s="2">
        <v>45426.837118055555</v>
      </c>
      <c r="M506" t="s">
        <v>1981</v>
      </c>
      <c r="N506" t="s">
        <v>1970</v>
      </c>
      <c r="O506" s="2">
        <v>45440.679373263891</v>
      </c>
      <c r="P506" s="2">
        <v>45469.473324386578</v>
      </c>
      <c r="Q506" s="7">
        <f t="shared" si="7"/>
        <v>22</v>
      </c>
    </row>
    <row r="507" spans="1:17" x14ac:dyDescent="0.35">
      <c r="A507" t="s">
        <v>1183</v>
      </c>
      <c r="B507" t="s">
        <v>23</v>
      </c>
      <c r="C507" t="s">
        <v>44</v>
      </c>
      <c r="D507" t="s">
        <v>76</v>
      </c>
      <c r="E507" t="s">
        <v>38</v>
      </c>
      <c r="F507" t="s">
        <v>30</v>
      </c>
      <c r="G507" t="s">
        <v>28</v>
      </c>
      <c r="I507" t="s">
        <v>33</v>
      </c>
      <c r="J507" s="2">
        <v>45695.208333333336</v>
      </c>
      <c r="K507" s="2">
        <v>45691.66302925926</v>
      </c>
      <c r="L507" s="2">
        <v>45426.837118055555</v>
      </c>
      <c r="M507" t="s">
        <v>1981</v>
      </c>
      <c r="N507" t="s">
        <v>1970</v>
      </c>
      <c r="O507" s="2">
        <v>45476.495138148151</v>
      </c>
      <c r="P507" s="2">
        <v>45499.72426372685</v>
      </c>
      <c r="Q507" s="7">
        <f t="shared" si="7"/>
        <v>18</v>
      </c>
    </row>
    <row r="508" spans="1:17" x14ac:dyDescent="0.35">
      <c r="A508" t="s">
        <v>1183</v>
      </c>
      <c r="B508" t="s">
        <v>23</v>
      </c>
      <c r="C508" t="s">
        <v>44</v>
      </c>
      <c r="D508" t="s">
        <v>76</v>
      </c>
      <c r="E508" t="s">
        <v>38</v>
      </c>
      <c r="F508" t="s">
        <v>30</v>
      </c>
      <c r="G508" t="s">
        <v>28</v>
      </c>
      <c r="I508" t="s">
        <v>33</v>
      </c>
      <c r="J508" s="2">
        <v>45695.208333333336</v>
      </c>
      <c r="K508" s="2">
        <v>45691.66302925926</v>
      </c>
      <c r="L508" s="2">
        <v>45426.837118055555</v>
      </c>
      <c r="M508" t="s">
        <v>1981</v>
      </c>
      <c r="N508" t="s">
        <v>1970</v>
      </c>
      <c r="O508" s="2">
        <v>45503.765578541665</v>
      </c>
      <c r="P508" s="2">
        <v>45520.759907546293</v>
      </c>
      <c r="Q508" s="7">
        <f t="shared" si="7"/>
        <v>14</v>
      </c>
    </row>
    <row r="509" spans="1:17" x14ac:dyDescent="0.35">
      <c r="A509" t="s">
        <v>1183</v>
      </c>
      <c r="B509" t="s">
        <v>23</v>
      </c>
      <c r="C509" t="s">
        <v>44</v>
      </c>
      <c r="D509" t="s">
        <v>76</v>
      </c>
      <c r="E509" t="s">
        <v>38</v>
      </c>
      <c r="F509" t="s">
        <v>30</v>
      </c>
      <c r="G509" t="s">
        <v>28</v>
      </c>
      <c r="I509" t="s">
        <v>33</v>
      </c>
      <c r="J509" s="2">
        <v>45695.208333333336</v>
      </c>
      <c r="K509" s="2">
        <v>45691.66302925926</v>
      </c>
      <c r="L509" s="2">
        <v>45426.837118055555</v>
      </c>
      <c r="M509" t="s">
        <v>1981</v>
      </c>
      <c r="N509" t="s">
        <v>1970</v>
      </c>
      <c r="O509" s="2">
        <v>45524.7799103125</v>
      </c>
      <c r="P509" s="2">
        <v>45541.701488773149</v>
      </c>
      <c r="Q509" s="7">
        <f t="shared" si="7"/>
        <v>14</v>
      </c>
    </row>
    <row r="510" spans="1:17" x14ac:dyDescent="0.35">
      <c r="A510" t="s">
        <v>1183</v>
      </c>
      <c r="B510" t="s">
        <v>23</v>
      </c>
      <c r="C510" t="s">
        <v>44</v>
      </c>
      <c r="D510" t="s">
        <v>76</v>
      </c>
      <c r="E510" t="s">
        <v>38</v>
      </c>
      <c r="F510" t="s">
        <v>30</v>
      </c>
      <c r="G510" t="s">
        <v>28</v>
      </c>
      <c r="I510" t="s">
        <v>33</v>
      </c>
      <c r="J510" s="2">
        <v>45695.208333333336</v>
      </c>
      <c r="K510" s="2">
        <v>45691.66302925926</v>
      </c>
      <c r="L510" s="2">
        <v>45426.837118055555</v>
      </c>
      <c r="M510" t="s">
        <v>1980</v>
      </c>
      <c r="N510" t="s">
        <v>1970</v>
      </c>
      <c r="O510" s="2">
        <v>45566.901841736108</v>
      </c>
      <c r="P510" s="2">
        <v>45611.675056493055</v>
      </c>
      <c r="Q510" s="7">
        <f t="shared" si="7"/>
        <v>34</v>
      </c>
    </row>
    <row r="511" spans="1:17" x14ac:dyDescent="0.35">
      <c r="A511" t="s">
        <v>1514</v>
      </c>
      <c r="B511" t="s">
        <v>23</v>
      </c>
      <c r="C511" t="s">
        <v>44</v>
      </c>
      <c r="D511" t="s">
        <v>43</v>
      </c>
      <c r="E511" t="s">
        <v>38</v>
      </c>
      <c r="F511" t="s">
        <v>30</v>
      </c>
      <c r="G511" t="s">
        <v>1441</v>
      </c>
      <c r="H511">
        <v>4</v>
      </c>
      <c r="I511" t="s">
        <v>33</v>
      </c>
      <c r="J511" s="2">
        <v>45527.166666666664</v>
      </c>
      <c r="K511" s="2">
        <v>45545.832512407411</v>
      </c>
      <c r="L511" s="2">
        <v>45428.495462962965</v>
      </c>
      <c r="M511" t="s">
        <v>1979</v>
      </c>
      <c r="N511" t="s">
        <v>1970</v>
      </c>
      <c r="O511" s="2">
        <v>45432.738023194448</v>
      </c>
      <c r="P511" s="2">
        <v>45448.873271458331</v>
      </c>
      <c r="Q511" s="7">
        <f t="shared" si="7"/>
        <v>13</v>
      </c>
    </row>
    <row r="512" spans="1:17" x14ac:dyDescent="0.35">
      <c r="A512" t="s">
        <v>1127</v>
      </c>
      <c r="B512" t="s">
        <v>23</v>
      </c>
      <c r="C512" t="s">
        <v>44</v>
      </c>
      <c r="D512" t="s">
        <v>409</v>
      </c>
      <c r="E512" t="s">
        <v>48</v>
      </c>
      <c r="F512" t="s">
        <v>30</v>
      </c>
      <c r="G512" t="s">
        <v>28</v>
      </c>
      <c r="I512" t="s">
        <v>33</v>
      </c>
      <c r="J512" s="2">
        <v>45777.166666666664</v>
      </c>
      <c r="K512" s="2">
        <v>45775.776257569443</v>
      </c>
      <c r="L512" s="2">
        <v>45429.844629629632</v>
      </c>
      <c r="M512" t="s">
        <v>1981</v>
      </c>
      <c r="N512" t="s">
        <v>1970</v>
      </c>
      <c r="O512" s="2">
        <v>45433.832143692132</v>
      </c>
      <c r="P512" s="2">
        <v>45457.726055266205</v>
      </c>
      <c r="Q512" s="7">
        <f t="shared" si="7"/>
        <v>23.893911574072263</v>
      </c>
    </row>
    <row r="513" spans="1:17" x14ac:dyDescent="0.35">
      <c r="A513" t="s">
        <v>1127</v>
      </c>
      <c r="B513" t="s">
        <v>23</v>
      </c>
      <c r="C513" t="s">
        <v>44</v>
      </c>
      <c r="D513" t="s">
        <v>409</v>
      </c>
      <c r="E513" t="s">
        <v>48</v>
      </c>
      <c r="F513" t="s">
        <v>30</v>
      </c>
      <c r="G513" t="s">
        <v>28</v>
      </c>
      <c r="I513" t="s">
        <v>33</v>
      </c>
      <c r="J513" s="2">
        <v>45777.166666666664</v>
      </c>
      <c r="K513" s="2">
        <v>45775.776257569443</v>
      </c>
      <c r="L513" s="2">
        <v>45429.844629629632</v>
      </c>
      <c r="M513" t="s">
        <v>1977</v>
      </c>
      <c r="N513" t="s">
        <v>1970</v>
      </c>
      <c r="O513" s="2">
        <v>45484.760472175927</v>
      </c>
      <c r="P513" s="2">
        <v>45499.558713182872</v>
      </c>
      <c r="Q513" s="7">
        <f t="shared" si="7"/>
        <v>14.798241006945318</v>
      </c>
    </row>
    <row r="514" spans="1:17" x14ac:dyDescent="0.35">
      <c r="A514" t="s">
        <v>706</v>
      </c>
      <c r="B514" t="s">
        <v>23</v>
      </c>
      <c r="C514" t="s">
        <v>44</v>
      </c>
      <c r="D514" t="s">
        <v>409</v>
      </c>
      <c r="E514" t="s">
        <v>48</v>
      </c>
      <c r="F514" t="s">
        <v>30</v>
      </c>
      <c r="G514" t="s">
        <v>28</v>
      </c>
      <c r="H514">
        <v>12</v>
      </c>
      <c r="I514" t="s">
        <v>81</v>
      </c>
      <c r="J514" s="2">
        <v>45630.208333333336</v>
      </c>
      <c r="K514" s="2">
        <v>45756.658140324071</v>
      </c>
      <c r="L514" s="2">
        <v>45432.659756944442</v>
      </c>
      <c r="M514" t="s">
        <v>1981</v>
      </c>
      <c r="N514" t="s">
        <v>1970</v>
      </c>
      <c r="O514" s="2">
        <v>45440.68021071759</v>
      </c>
      <c r="P514" s="2">
        <v>45464.576662511572</v>
      </c>
      <c r="Q514" s="7">
        <f t="shared" si="7"/>
        <v>23.896451793982123</v>
      </c>
    </row>
    <row r="515" spans="1:17" x14ac:dyDescent="0.35">
      <c r="A515" t="s">
        <v>706</v>
      </c>
      <c r="B515" t="s">
        <v>23</v>
      </c>
      <c r="C515" t="s">
        <v>44</v>
      </c>
      <c r="D515" t="s">
        <v>409</v>
      </c>
      <c r="E515" t="s">
        <v>48</v>
      </c>
      <c r="F515" t="s">
        <v>30</v>
      </c>
      <c r="G515" t="s">
        <v>28</v>
      </c>
      <c r="H515">
        <v>12</v>
      </c>
      <c r="I515" t="s">
        <v>81</v>
      </c>
      <c r="J515" s="2">
        <v>45630.208333333336</v>
      </c>
      <c r="K515" s="2">
        <v>45756.658140324071</v>
      </c>
      <c r="L515" s="2">
        <v>45432.659756944442</v>
      </c>
      <c r="M515" t="s">
        <v>1981</v>
      </c>
      <c r="N515" t="s">
        <v>1970</v>
      </c>
      <c r="O515" s="2">
        <v>45468.713189513888</v>
      </c>
      <c r="P515" s="2">
        <v>45489.509811967589</v>
      </c>
      <c r="Q515" s="7">
        <f t="shared" ref="Q515:Q578" si="8">IF(OR(O515="", P515=""), "", IF(OR(E515="PW1000G", E515="PW800"), P515 - O515, NETWORKDAYS(O515, P515)))</f>
        <v>20.796622453701275</v>
      </c>
    </row>
    <row r="516" spans="1:17" x14ac:dyDescent="0.35">
      <c r="A516" t="s">
        <v>706</v>
      </c>
      <c r="B516" t="s">
        <v>23</v>
      </c>
      <c r="C516" t="s">
        <v>44</v>
      </c>
      <c r="D516" t="s">
        <v>409</v>
      </c>
      <c r="E516" t="s">
        <v>48</v>
      </c>
      <c r="F516" t="s">
        <v>30</v>
      </c>
      <c r="G516" t="s">
        <v>28</v>
      </c>
      <c r="H516">
        <v>12</v>
      </c>
      <c r="I516" t="s">
        <v>81</v>
      </c>
      <c r="J516" s="2">
        <v>45630.208333333336</v>
      </c>
      <c r="K516" s="2">
        <v>45756.658140324071</v>
      </c>
      <c r="L516" s="2">
        <v>45432.659756944442</v>
      </c>
      <c r="M516" t="s">
        <v>1979</v>
      </c>
      <c r="N516" t="s">
        <v>1970</v>
      </c>
      <c r="O516" s="2">
        <v>45503.891752708332</v>
      </c>
      <c r="P516" s="2">
        <v>45527.771146412037</v>
      </c>
      <c r="Q516" s="7">
        <f t="shared" si="8"/>
        <v>23.879393703704409</v>
      </c>
    </row>
    <row r="517" spans="1:17" x14ac:dyDescent="0.35">
      <c r="A517" t="s">
        <v>706</v>
      </c>
      <c r="B517" t="s">
        <v>23</v>
      </c>
      <c r="C517" t="s">
        <v>44</v>
      </c>
      <c r="D517" t="s">
        <v>409</v>
      </c>
      <c r="E517" t="s">
        <v>48</v>
      </c>
      <c r="F517" t="s">
        <v>30</v>
      </c>
      <c r="G517" t="s">
        <v>28</v>
      </c>
      <c r="H517">
        <v>12</v>
      </c>
      <c r="I517" t="s">
        <v>81</v>
      </c>
      <c r="J517" s="2">
        <v>45630.208333333336</v>
      </c>
      <c r="K517" s="2">
        <v>45756.658140324071</v>
      </c>
      <c r="L517" s="2">
        <v>45432.659756944442</v>
      </c>
      <c r="M517" t="s">
        <v>1979</v>
      </c>
      <c r="N517" t="s">
        <v>1970</v>
      </c>
      <c r="O517" s="2">
        <v>45566.83665232639</v>
      </c>
      <c r="P517" s="2">
        <v>45567.680453703702</v>
      </c>
      <c r="Q517" s="7">
        <f t="shared" si="8"/>
        <v>0.84380137731204741</v>
      </c>
    </row>
    <row r="518" spans="1:17" x14ac:dyDescent="0.35">
      <c r="A518" t="s">
        <v>259</v>
      </c>
      <c r="B518" t="s">
        <v>23</v>
      </c>
      <c r="C518" t="s">
        <v>44</v>
      </c>
      <c r="D518" t="s">
        <v>76</v>
      </c>
      <c r="E518" t="s">
        <v>38</v>
      </c>
      <c r="F518" t="s">
        <v>30</v>
      </c>
      <c r="G518" t="s">
        <v>28</v>
      </c>
      <c r="H518">
        <v>1</v>
      </c>
      <c r="I518" t="s">
        <v>33</v>
      </c>
      <c r="J518" s="2">
        <v>45447.166666666664</v>
      </c>
      <c r="K518" s="2">
        <v>45443.865411979168</v>
      </c>
      <c r="L518" s="2">
        <v>45434.568530092591</v>
      </c>
      <c r="M518" t="s">
        <v>1981</v>
      </c>
      <c r="N518" t="s">
        <v>1970</v>
      </c>
      <c r="O518" s="2">
        <v>45436.50372753472</v>
      </c>
      <c r="P518" s="2">
        <v>45440.784279247688</v>
      </c>
      <c r="Q518" s="7">
        <f t="shared" si="8"/>
        <v>3</v>
      </c>
    </row>
    <row r="519" spans="1:17" x14ac:dyDescent="0.35">
      <c r="A519" t="s">
        <v>259</v>
      </c>
      <c r="B519" t="s">
        <v>23</v>
      </c>
      <c r="C519" t="s">
        <v>44</v>
      </c>
      <c r="D519" t="s">
        <v>76</v>
      </c>
      <c r="E519" t="s">
        <v>38</v>
      </c>
      <c r="F519" t="s">
        <v>30</v>
      </c>
      <c r="G519" t="s">
        <v>28</v>
      </c>
      <c r="H519">
        <v>1</v>
      </c>
      <c r="I519" t="s">
        <v>33</v>
      </c>
      <c r="J519" s="2">
        <v>45447.166666666664</v>
      </c>
      <c r="K519" s="2">
        <v>45443.865411979168</v>
      </c>
      <c r="L519" s="2">
        <v>45434.568530092591</v>
      </c>
      <c r="M519" t="s">
        <v>1975</v>
      </c>
      <c r="N519" t="s">
        <v>1970</v>
      </c>
      <c r="O519" s="2">
        <v>45442.698748310184</v>
      </c>
      <c r="P519" s="2">
        <v>45442.845136944445</v>
      </c>
      <c r="Q519" s="7">
        <f t="shared" si="8"/>
        <v>1</v>
      </c>
    </row>
    <row r="520" spans="1:17" x14ac:dyDescent="0.35">
      <c r="A520" t="s">
        <v>1149</v>
      </c>
      <c r="B520" t="s">
        <v>23</v>
      </c>
      <c r="C520" t="s">
        <v>44</v>
      </c>
      <c r="D520" t="s">
        <v>130</v>
      </c>
      <c r="E520" t="s">
        <v>57</v>
      </c>
      <c r="F520" t="s">
        <v>30</v>
      </c>
      <c r="G520" t="s">
        <v>28</v>
      </c>
      <c r="I520" t="s">
        <v>33</v>
      </c>
      <c r="J520" s="2">
        <v>45709.208333333336</v>
      </c>
      <c r="K520" s="2">
        <v>45716.902101006941</v>
      </c>
      <c r="L520" s="2">
        <v>45434.873206018521</v>
      </c>
      <c r="M520" t="s">
        <v>1981</v>
      </c>
      <c r="N520" t="s">
        <v>1970</v>
      </c>
      <c r="O520" s="2">
        <v>45447.724010995371</v>
      </c>
      <c r="P520" s="2">
        <v>45485.56520099537</v>
      </c>
      <c r="Q520" s="7">
        <f t="shared" si="8"/>
        <v>29</v>
      </c>
    </row>
    <row r="521" spans="1:17" x14ac:dyDescent="0.35">
      <c r="A521" t="s">
        <v>1149</v>
      </c>
      <c r="B521" t="s">
        <v>23</v>
      </c>
      <c r="C521" t="s">
        <v>44</v>
      </c>
      <c r="D521" t="s">
        <v>130</v>
      </c>
      <c r="E521" t="s">
        <v>57</v>
      </c>
      <c r="F521" t="s">
        <v>30</v>
      </c>
      <c r="G521" t="s">
        <v>28</v>
      </c>
      <c r="I521" t="s">
        <v>33</v>
      </c>
      <c r="J521" s="2">
        <v>45709.208333333336</v>
      </c>
      <c r="K521" s="2">
        <v>45716.902101006941</v>
      </c>
      <c r="L521" s="2">
        <v>45434.873206018521</v>
      </c>
      <c r="M521" t="s">
        <v>1981</v>
      </c>
      <c r="N521" t="s">
        <v>1970</v>
      </c>
      <c r="O521" s="2">
        <v>45489.828871724538</v>
      </c>
      <c r="P521" s="2">
        <v>45498.827570104164</v>
      </c>
      <c r="Q521" s="7">
        <f t="shared" si="8"/>
        <v>8</v>
      </c>
    </row>
    <row r="522" spans="1:17" x14ac:dyDescent="0.35">
      <c r="A522" t="s">
        <v>1149</v>
      </c>
      <c r="B522" t="s">
        <v>23</v>
      </c>
      <c r="C522" t="s">
        <v>44</v>
      </c>
      <c r="D522" t="s">
        <v>130</v>
      </c>
      <c r="E522" t="s">
        <v>57</v>
      </c>
      <c r="F522" t="s">
        <v>30</v>
      </c>
      <c r="G522" t="s">
        <v>28</v>
      </c>
      <c r="I522" t="s">
        <v>33</v>
      </c>
      <c r="J522" s="2">
        <v>45709.208333333336</v>
      </c>
      <c r="K522" s="2">
        <v>45716.902101006941</v>
      </c>
      <c r="L522" s="2">
        <v>45434.873206018521</v>
      </c>
      <c r="M522" t="s">
        <v>1982</v>
      </c>
      <c r="N522" t="s">
        <v>1970</v>
      </c>
      <c r="O522" s="2">
        <v>45576.698140115739</v>
      </c>
      <c r="P522" s="2">
        <v>45583.671728796297</v>
      </c>
      <c r="Q522" s="7">
        <f t="shared" si="8"/>
        <v>6</v>
      </c>
    </row>
    <row r="523" spans="1:17" x14ac:dyDescent="0.35">
      <c r="A523" t="s">
        <v>883</v>
      </c>
      <c r="B523" t="s">
        <v>23</v>
      </c>
      <c r="C523" t="s">
        <v>44</v>
      </c>
      <c r="D523" t="s">
        <v>130</v>
      </c>
      <c r="E523" t="s">
        <v>38</v>
      </c>
      <c r="F523" t="s">
        <v>30</v>
      </c>
      <c r="G523" t="s">
        <v>28</v>
      </c>
      <c r="H523">
        <v>18</v>
      </c>
      <c r="I523" t="s">
        <v>33</v>
      </c>
      <c r="J523" s="2">
        <v>45644.208333333336</v>
      </c>
      <c r="K523" s="2">
        <v>45642.62319766204</v>
      </c>
      <c r="L523" s="2">
        <v>45441.783518518518</v>
      </c>
      <c r="M523" t="s">
        <v>1981</v>
      </c>
      <c r="N523" t="s">
        <v>1970</v>
      </c>
      <c r="O523" s="2">
        <v>45464.570697511575</v>
      </c>
      <c r="P523" s="2">
        <v>45495.811144976855</v>
      </c>
      <c r="Q523" s="7">
        <f t="shared" si="8"/>
        <v>22</v>
      </c>
    </row>
    <row r="524" spans="1:17" x14ac:dyDescent="0.35">
      <c r="A524" t="s">
        <v>863</v>
      </c>
      <c r="B524" t="s">
        <v>23</v>
      </c>
      <c r="C524" t="s">
        <v>44</v>
      </c>
      <c r="D524" t="s">
        <v>76</v>
      </c>
      <c r="E524" t="s">
        <v>48</v>
      </c>
      <c r="F524" t="s">
        <v>30</v>
      </c>
      <c r="G524" t="s">
        <v>28</v>
      </c>
      <c r="H524">
        <v>17</v>
      </c>
      <c r="I524" t="s">
        <v>81</v>
      </c>
      <c r="J524" s="2">
        <v>45622.208333333336</v>
      </c>
      <c r="K524" s="2">
        <v>45611.72453457176</v>
      </c>
      <c r="L524" s="2">
        <v>45441.645879629628</v>
      </c>
      <c r="M524" t="s">
        <v>1981</v>
      </c>
      <c r="N524" t="s">
        <v>1970</v>
      </c>
      <c r="O524" s="2">
        <v>45468.717721678244</v>
      </c>
      <c r="P524" s="2">
        <v>45489.509137060188</v>
      </c>
      <c r="Q524" s="7">
        <f t="shared" si="8"/>
        <v>20.791415381943807</v>
      </c>
    </row>
    <row r="525" spans="1:17" x14ac:dyDescent="0.35">
      <c r="A525" t="s">
        <v>863</v>
      </c>
      <c r="B525" t="s">
        <v>23</v>
      </c>
      <c r="C525" t="s">
        <v>44</v>
      </c>
      <c r="D525" t="s">
        <v>76</v>
      </c>
      <c r="E525" t="s">
        <v>48</v>
      </c>
      <c r="F525" t="s">
        <v>30</v>
      </c>
      <c r="G525" t="s">
        <v>28</v>
      </c>
      <c r="H525">
        <v>17</v>
      </c>
      <c r="I525" t="s">
        <v>81</v>
      </c>
      <c r="J525" s="2">
        <v>45622.208333333336</v>
      </c>
      <c r="K525" s="2">
        <v>45611.72453457176</v>
      </c>
      <c r="L525" s="2">
        <v>45441.645879629628</v>
      </c>
      <c r="M525" t="s">
        <v>1979</v>
      </c>
      <c r="N525" t="s">
        <v>1993</v>
      </c>
      <c r="O525" s="2">
        <v>45497.58367482639</v>
      </c>
      <c r="P525" s="2">
        <v>45498.815113657409</v>
      </c>
      <c r="Q525" s="7">
        <f t="shared" si="8"/>
        <v>1.2314388310187496</v>
      </c>
    </row>
    <row r="526" spans="1:17" x14ac:dyDescent="0.35">
      <c r="A526" t="s">
        <v>863</v>
      </c>
      <c r="B526" t="s">
        <v>23</v>
      </c>
      <c r="C526" t="s">
        <v>44</v>
      </c>
      <c r="D526" t="s">
        <v>76</v>
      </c>
      <c r="E526" t="s">
        <v>48</v>
      </c>
      <c r="F526" t="s">
        <v>30</v>
      </c>
      <c r="G526" t="s">
        <v>28</v>
      </c>
      <c r="H526">
        <v>17</v>
      </c>
      <c r="I526" t="s">
        <v>81</v>
      </c>
      <c r="J526" s="2">
        <v>45622.208333333336</v>
      </c>
      <c r="K526" s="2">
        <v>45611.72453457176</v>
      </c>
      <c r="L526" s="2">
        <v>45441.645879629628</v>
      </c>
      <c r="M526" t="s">
        <v>1979</v>
      </c>
      <c r="N526" t="s">
        <v>1970</v>
      </c>
      <c r="O526" s="2">
        <v>45498.815557997688</v>
      </c>
      <c r="P526" s="2">
        <v>45498.817920266207</v>
      </c>
      <c r="Q526" s="7">
        <f t="shared" si="8"/>
        <v>2.3622685184818693E-3</v>
      </c>
    </row>
    <row r="527" spans="1:17" x14ac:dyDescent="0.35">
      <c r="A527" t="s">
        <v>863</v>
      </c>
      <c r="B527" t="s">
        <v>23</v>
      </c>
      <c r="C527" t="s">
        <v>44</v>
      </c>
      <c r="D527" t="s">
        <v>76</v>
      </c>
      <c r="E527" t="s">
        <v>48</v>
      </c>
      <c r="F527" t="s">
        <v>30</v>
      </c>
      <c r="G527" t="s">
        <v>28</v>
      </c>
      <c r="H527">
        <v>17</v>
      </c>
      <c r="I527" t="s">
        <v>81</v>
      </c>
      <c r="J527" s="2">
        <v>45622.208333333336</v>
      </c>
      <c r="K527" s="2">
        <v>45611.72453457176</v>
      </c>
      <c r="L527" s="2">
        <v>45441.645879629628</v>
      </c>
      <c r="M527" t="s">
        <v>1979</v>
      </c>
      <c r="N527" t="s">
        <v>1970</v>
      </c>
      <c r="O527" s="2">
        <v>45498.818112314817</v>
      </c>
      <c r="P527" s="2">
        <v>45520.743272337961</v>
      </c>
      <c r="Q527" s="7">
        <f t="shared" si="8"/>
        <v>21.92516002314369</v>
      </c>
    </row>
    <row r="528" spans="1:17" x14ac:dyDescent="0.35">
      <c r="A528" t="s">
        <v>863</v>
      </c>
      <c r="B528" t="s">
        <v>23</v>
      </c>
      <c r="C528" t="s">
        <v>44</v>
      </c>
      <c r="D528" t="s">
        <v>76</v>
      </c>
      <c r="E528" t="s">
        <v>48</v>
      </c>
      <c r="F528" t="s">
        <v>30</v>
      </c>
      <c r="G528" t="s">
        <v>28</v>
      </c>
      <c r="H528">
        <v>17</v>
      </c>
      <c r="I528" t="s">
        <v>81</v>
      </c>
      <c r="J528" s="2">
        <v>45622.208333333336</v>
      </c>
      <c r="K528" s="2">
        <v>45611.72453457176</v>
      </c>
      <c r="L528" s="2">
        <v>45441.645879629628</v>
      </c>
      <c r="M528" t="s">
        <v>1989</v>
      </c>
      <c r="N528" t="s">
        <v>1990</v>
      </c>
      <c r="O528" s="2">
        <v>45604.679372615741</v>
      </c>
      <c r="P528" s="2">
        <v>45611.582827407408</v>
      </c>
      <c r="Q528" s="7">
        <f t="shared" si="8"/>
        <v>6.9034547916671727</v>
      </c>
    </row>
    <row r="529" spans="1:17" x14ac:dyDescent="0.35">
      <c r="A529" t="s">
        <v>1143</v>
      </c>
      <c r="B529" t="s">
        <v>23</v>
      </c>
      <c r="C529" t="s">
        <v>44</v>
      </c>
      <c r="D529" t="s">
        <v>54</v>
      </c>
      <c r="E529" t="s">
        <v>174</v>
      </c>
      <c r="F529" t="s">
        <v>30</v>
      </c>
      <c r="G529" t="s">
        <v>28</v>
      </c>
      <c r="I529" t="s">
        <v>33</v>
      </c>
      <c r="J529" s="2">
        <v>45624.208333333336</v>
      </c>
      <c r="K529" s="2">
        <v>45608.63710792824</v>
      </c>
      <c r="L529" s="2">
        <v>45442.648888888885</v>
      </c>
      <c r="M529" t="s">
        <v>1981</v>
      </c>
      <c r="N529" t="s">
        <v>1970</v>
      </c>
      <c r="O529" s="2">
        <v>45469.789629398147</v>
      </c>
      <c r="P529" s="2">
        <v>45489.601807094907</v>
      </c>
      <c r="Q529" s="7">
        <f t="shared" si="8"/>
        <v>15</v>
      </c>
    </row>
    <row r="530" spans="1:17" x14ac:dyDescent="0.35">
      <c r="A530" t="s">
        <v>1143</v>
      </c>
      <c r="B530" t="s">
        <v>23</v>
      </c>
      <c r="C530" t="s">
        <v>44</v>
      </c>
      <c r="D530" t="s">
        <v>54</v>
      </c>
      <c r="E530" t="s">
        <v>174</v>
      </c>
      <c r="F530" t="s">
        <v>30</v>
      </c>
      <c r="G530" t="s">
        <v>28</v>
      </c>
      <c r="I530" t="s">
        <v>33</v>
      </c>
      <c r="J530" s="2">
        <v>45624.208333333336</v>
      </c>
      <c r="K530" s="2">
        <v>45608.63710792824</v>
      </c>
      <c r="L530" s="2">
        <v>45442.648888888885</v>
      </c>
      <c r="M530" t="s">
        <v>1979</v>
      </c>
      <c r="N530" t="s">
        <v>1970</v>
      </c>
      <c r="O530" s="2">
        <v>45504.652625138886</v>
      </c>
      <c r="P530" s="2">
        <v>45509.805084074076</v>
      </c>
      <c r="Q530" s="7">
        <f t="shared" si="8"/>
        <v>4</v>
      </c>
    </row>
    <row r="531" spans="1:17" x14ac:dyDescent="0.35">
      <c r="A531" t="s">
        <v>1143</v>
      </c>
      <c r="B531" t="s">
        <v>23</v>
      </c>
      <c r="C531" t="s">
        <v>44</v>
      </c>
      <c r="D531" t="s">
        <v>54</v>
      </c>
      <c r="E531" t="s">
        <v>174</v>
      </c>
      <c r="F531" t="s">
        <v>30</v>
      </c>
      <c r="G531" t="s">
        <v>28</v>
      </c>
      <c r="I531" t="s">
        <v>33</v>
      </c>
      <c r="J531" s="2">
        <v>45624.208333333336</v>
      </c>
      <c r="K531" s="2">
        <v>45608.63710792824</v>
      </c>
      <c r="L531" s="2">
        <v>45442.648888888885</v>
      </c>
      <c r="M531" t="s">
        <v>1977</v>
      </c>
      <c r="N531" t="s">
        <v>1970</v>
      </c>
      <c r="O531" s="2">
        <v>45509.805714675924</v>
      </c>
      <c r="P531" s="2">
        <v>45516.623353113428</v>
      </c>
      <c r="Q531" s="7">
        <f t="shared" si="8"/>
        <v>6</v>
      </c>
    </row>
    <row r="532" spans="1:17" x14ac:dyDescent="0.35">
      <c r="A532" t="s">
        <v>1143</v>
      </c>
      <c r="B532" t="s">
        <v>23</v>
      </c>
      <c r="C532" t="s">
        <v>44</v>
      </c>
      <c r="D532" t="s">
        <v>54</v>
      </c>
      <c r="E532" t="s">
        <v>174</v>
      </c>
      <c r="F532" t="s">
        <v>30</v>
      </c>
      <c r="G532" t="s">
        <v>28</v>
      </c>
      <c r="I532" t="s">
        <v>33</v>
      </c>
      <c r="J532" s="2">
        <v>45624.208333333336</v>
      </c>
      <c r="K532" s="2">
        <v>45608.63710792824</v>
      </c>
      <c r="L532" s="2">
        <v>45442.648888888885</v>
      </c>
      <c r="M532" t="s">
        <v>1980</v>
      </c>
      <c r="N532" t="s">
        <v>1976</v>
      </c>
      <c r="O532" s="2">
        <v>45516.801497696761</v>
      </c>
      <c r="P532" s="2">
        <v>45533.770993032405</v>
      </c>
      <c r="Q532" s="7">
        <f t="shared" si="8"/>
        <v>14</v>
      </c>
    </row>
    <row r="533" spans="1:17" x14ac:dyDescent="0.35">
      <c r="A533" t="s">
        <v>1868</v>
      </c>
      <c r="B533" t="s">
        <v>23</v>
      </c>
      <c r="C533" t="s">
        <v>44</v>
      </c>
      <c r="D533" t="s">
        <v>76</v>
      </c>
      <c r="E533" t="s">
        <v>48</v>
      </c>
      <c r="F533" t="s">
        <v>30</v>
      </c>
      <c r="G533" t="s">
        <v>1719</v>
      </c>
      <c r="I533" t="s">
        <v>81</v>
      </c>
      <c r="J533" s="2"/>
      <c r="K533" s="2">
        <v>45600.739428958332</v>
      </c>
      <c r="L533" s="2">
        <v>45447.521284722221</v>
      </c>
      <c r="M533" t="s">
        <v>1981</v>
      </c>
      <c r="N533" t="s">
        <v>1970</v>
      </c>
      <c r="O533" s="2">
        <v>45447.727143136573</v>
      </c>
      <c r="P533" s="2">
        <v>45456.766617777779</v>
      </c>
      <c r="Q533" s="7">
        <f t="shared" si="8"/>
        <v>9.039474641205743</v>
      </c>
    </row>
    <row r="534" spans="1:17" x14ac:dyDescent="0.35">
      <c r="A534" t="s">
        <v>1868</v>
      </c>
      <c r="B534" t="s">
        <v>23</v>
      </c>
      <c r="C534" t="s">
        <v>44</v>
      </c>
      <c r="D534" t="s">
        <v>76</v>
      </c>
      <c r="E534" t="s">
        <v>48</v>
      </c>
      <c r="F534" t="s">
        <v>30</v>
      </c>
      <c r="G534" t="s">
        <v>1719</v>
      </c>
      <c r="I534" t="s">
        <v>81</v>
      </c>
      <c r="J534" s="2"/>
      <c r="K534" s="2">
        <v>45600.739428958332</v>
      </c>
      <c r="L534" s="2">
        <v>45447.521284722221</v>
      </c>
      <c r="M534" t="s">
        <v>1989</v>
      </c>
      <c r="N534" t="s">
        <v>1990</v>
      </c>
      <c r="O534" s="2">
        <v>45595.605301493059</v>
      </c>
      <c r="P534" s="2">
        <v>45600.643025486112</v>
      </c>
      <c r="Q534" s="7">
        <f t="shared" si="8"/>
        <v>5.0377239930530777</v>
      </c>
    </row>
    <row r="535" spans="1:17" x14ac:dyDescent="0.35">
      <c r="A535" t="s">
        <v>881</v>
      </c>
      <c r="B535" t="s">
        <v>23</v>
      </c>
      <c r="C535" t="s">
        <v>44</v>
      </c>
      <c r="D535" t="s">
        <v>76</v>
      </c>
      <c r="E535" t="s">
        <v>38</v>
      </c>
      <c r="F535" t="s">
        <v>30</v>
      </c>
      <c r="G535" t="s">
        <v>28</v>
      </c>
      <c r="H535">
        <v>18</v>
      </c>
      <c r="I535" t="s">
        <v>33</v>
      </c>
      <c r="J535" s="2">
        <v>45623.208333333336</v>
      </c>
      <c r="K535" s="2">
        <v>45594.57039912037</v>
      </c>
      <c r="L535" s="2">
        <v>45447.584537037037</v>
      </c>
      <c r="M535" t="s">
        <v>1981</v>
      </c>
      <c r="N535" t="s">
        <v>1970</v>
      </c>
      <c r="O535" s="2">
        <v>45448.489512708336</v>
      </c>
      <c r="P535" s="2">
        <v>45460.53701310185</v>
      </c>
      <c r="Q535" s="7">
        <f t="shared" si="8"/>
        <v>9</v>
      </c>
    </row>
    <row r="536" spans="1:17" x14ac:dyDescent="0.35">
      <c r="A536" t="s">
        <v>881</v>
      </c>
      <c r="B536" t="s">
        <v>23</v>
      </c>
      <c r="C536" t="s">
        <v>44</v>
      </c>
      <c r="D536" t="s">
        <v>76</v>
      </c>
      <c r="E536" t="s">
        <v>38</v>
      </c>
      <c r="F536" t="s">
        <v>30</v>
      </c>
      <c r="G536" t="s">
        <v>28</v>
      </c>
      <c r="H536">
        <v>18</v>
      </c>
      <c r="I536" t="s">
        <v>33</v>
      </c>
      <c r="J536" s="2">
        <v>45623.208333333336</v>
      </c>
      <c r="K536" s="2">
        <v>45594.57039912037</v>
      </c>
      <c r="L536" s="2">
        <v>45447.584537037037</v>
      </c>
      <c r="M536" t="s">
        <v>1975</v>
      </c>
      <c r="N536" t="s">
        <v>1970</v>
      </c>
      <c r="O536" s="2">
        <v>45484.747227233798</v>
      </c>
      <c r="P536" s="2">
        <v>45484.801763240743</v>
      </c>
      <c r="Q536" s="7">
        <f t="shared" si="8"/>
        <v>1</v>
      </c>
    </row>
    <row r="537" spans="1:17" x14ac:dyDescent="0.35">
      <c r="A537" t="s">
        <v>881</v>
      </c>
      <c r="B537" t="s">
        <v>23</v>
      </c>
      <c r="C537" t="s">
        <v>44</v>
      </c>
      <c r="D537" t="s">
        <v>76</v>
      </c>
      <c r="E537" t="s">
        <v>38</v>
      </c>
      <c r="F537" t="s">
        <v>30</v>
      </c>
      <c r="G537" t="s">
        <v>28</v>
      </c>
      <c r="H537">
        <v>18</v>
      </c>
      <c r="I537" t="s">
        <v>33</v>
      </c>
      <c r="J537" s="2">
        <v>45623.208333333336</v>
      </c>
      <c r="K537" s="2">
        <v>45594.57039912037</v>
      </c>
      <c r="L537" s="2">
        <v>45447.584537037037</v>
      </c>
      <c r="M537" t="s">
        <v>1973</v>
      </c>
      <c r="N537" t="s">
        <v>1970</v>
      </c>
      <c r="O537" s="2">
        <v>45510.77340445602</v>
      </c>
      <c r="P537" s="2">
        <v>45579.713108796299</v>
      </c>
      <c r="Q537" s="7">
        <f t="shared" si="8"/>
        <v>50</v>
      </c>
    </row>
    <row r="538" spans="1:17" x14ac:dyDescent="0.35">
      <c r="A538" t="s">
        <v>881</v>
      </c>
      <c r="B538" t="s">
        <v>23</v>
      </c>
      <c r="C538" t="s">
        <v>44</v>
      </c>
      <c r="D538" t="s">
        <v>76</v>
      </c>
      <c r="E538" t="s">
        <v>38</v>
      </c>
      <c r="F538" t="s">
        <v>30</v>
      </c>
      <c r="G538" t="s">
        <v>28</v>
      </c>
      <c r="H538">
        <v>18</v>
      </c>
      <c r="I538" t="s">
        <v>33</v>
      </c>
      <c r="J538" s="2">
        <v>45623.208333333336</v>
      </c>
      <c r="K538" s="2">
        <v>45594.57039912037</v>
      </c>
      <c r="L538" s="2">
        <v>45447.584537037037</v>
      </c>
      <c r="M538" t="s">
        <v>1979</v>
      </c>
      <c r="N538" t="s">
        <v>1970</v>
      </c>
      <c r="O538" s="2">
        <v>45540.863974687498</v>
      </c>
      <c r="P538" s="2">
        <v>45568.68231827546</v>
      </c>
      <c r="Q538" s="7">
        <f t="shared" si="8"/>
        <v>21</v>
      </c>
    </row>
    <row r="539" spans="1:17" x14ac:dyDescent="0.35">
      <c r="A539" t="s">
        <v>261</v>
      </c>
      <c r="B539" t="s">
        <v>23</v>
      </c>
      <c r="C539" t="s">
        <v>44</v>
      </c>
      <c r="D539" t="s">
        <v>76</v>
      </c>
      <c r="E539" t="s">
        <v>48</v>
      </c>
      <c r="F539" t="s">
        <v>30</v>
      </c>
      <c r="G539" t="s">
        <v>28</v>
      </c>
      <c r="H539">
        <v>1</v>
      </c>
      <c r="I539" t="s">
        <v>33</v>
      </c>
      <c r="J539" s="2">
        <v>45489.166666666664</v>
      </c>
      <c r="K539" s="2">
        <v>45481.620210312503</v>
      </c>
      <c r="L539" s="2">
        <v>45449.495694444442</v>
      </c>
      <c r="M539" t="s">
        <v>1989</v>
      </c>
      <c r="N539" t="s">
        <v>1990</v>
      </c>
      <c r="O539" s="2">
        <v>45475.83070353009</v>
      </c>
      <c r="P539" s="2">
        <v>45478.524260520833</v>
      </c>
      <c r="Q539" s="7">
        <f t="shared" si="8"/>
        <v>2.6935569907436729</v>
      </c>
    </row>
    <row r="540" spans="1:17" x14ac:dyDescent="0.35">
      <c r="A540" t="s">
        <v>948</v>
      </c>
      <c r="B540" t="s">
        <v>23</v>
      </c>
      <c r="C540" t="s">
        <v>44</v>
      </c>
      <c r="D540" t="s">
        <v>76</v>
      </c>
      <c r="E540" t="s">
        <v>38</v>
      </c>
      <c r="F540" t="s">
        <v>30</v>
      </c>
      <c r="G540" t="s">
        <v>28</v>
      </c>
      <c r="H540">
        <v>21</v>
      </c>
      <c r="I540" t="s">
        <v>33</v>
      </c>
      <c r="J540" s="2">
        <v>45575.166666666664</v>
      </c>
      <c r="K540" s="2">
        <v>45580.707015185188</v>
      </c>
      <c r="L540" s="2">
        <v>45453.660416666666</v>
      </c>
      <c r="M540" t="s">
        <v>1981</v>
      </c>
      <c r="N540" t="s">
        <v>1970</v>
      </c>
      <c r="O540" s="2">
        <v>45454.711814236114</v>
      </c>
      <c r="P540" s="2">
        <v>45506.712163310185</v>
      </c>
      <c r="Q540" s="7">
        <f t="shared" si="8"/>
        <v>39</v>
      </c>
    </row>
    <row r="541" spans="1:17" x14ac:dyDescent="0.35">
      <c r="A541" t="s">
        <v>596</v>
      </c>
      <c r="B541" t="s">
        <v>23</v>
      </c>
      <c r="C541" t="s">
        <v>44</v>
      </c>
      <c r="D541" t="s">
        <v>130</v>
      </c>
      <c r="E541" t="s">
        <v>48</v>
      </c>
      <c r="F541" t="s">
        <v>30</v>
      </c>
      <c r="G541" t="s">
        <v>28</v>
      </c>
      <c r="H541">
        <v>10</v>
      </c>
      <c r="I541" t="s">
        <v>81</v>
      </c>
      <c r="J541" s="2">
        <v>45617.208333333336</v>
      </c>
      <c r="K541" s="2">
        <v>45685.711905659722</v>
      </c>
      <c r="L541" s="2">
        <v>45453.820185185185</v>
      </c>
      <c r="M541" t="s">
        <v>1981</v>
      </c>
      <c r="N541" t="s">
        <v>1970</v>
      </c>
      <c r="O541" s="2">
        <v>45454.713541342593</v>
      </c>
      <c r="P541" s="2">
        <v>45489.51178429398</v>
      </c>
      <c r="Q541" s="7">
        <f t="shared" si="8"/>
        <v>34.798242951386783</v>
      </c>
    </row>
    <row r="542" spans="1:17" x14ac:dyDescent="0.35">
      <c r="A542" t="s">
        <v>596</v>
      </c>
      <c r="B542" t="s">
        <v>23</v>
      </c>
      <c r="C542" t="s">
        <v>44</v>
      </c>
      <c r="D542" t="s">
        <v>130</v>
      </c>
      <c r="E542" t="s">
        <v>48</v>
      </c>
      <c r="F542" t="s">
        <v>30</v>
      </c>
      <c r="G542" t="s">
        <v>28</v>
      </c>
      <c r="H542">
        <v>10</v>
      </c>
      <c r="I542" t="s">
        <v>81</v>
      </c>
      <c r="J542" s="2">
        <v>45617.208333333336</v>
      </c>
      <c r="K542" s="2">
        <v>45685.711905659722</v>
      </c>
      <c r="L542" s="2">
        <v>45453.820185185185</v>
      </c>
      <c r="M542" t="s">
        <v>1981</v>
      </c>
      <c r="N542" t="s">
        <v>1970</v>
      </c>
      <c r="O542" s="2">
        <v>45489.82400346065</v>
      </c>
      <c r="P542" s="2">
        <v>45499.721182175927</v>
      </c>
      <c r="Q542" s="7">
        <f t="shared" si="8"/>
        <v>9.8971787152768229</v>
      </c>
    </row>
    <row r="543" spans="1:17" x14ac:dyDescent="0.35">
      <c r="A543" t="s">
        <v>596</v>
      </c>
      <c r="B543" t="s">
        <v>23</v>
      </c>
      <c r="C543" t="s">
        <v>44</v>
      </c>
      <c r="D543" t="s">
        <v>130</v>
      </c>
      <c r="E543" t="s">
        <v>48</v>
      </c>
      <c r="F543" t="s">
        <v>30</v>
      </c>
      <c r="G543" t="s">
        <v>28</v>
      </c>
      <c r="H543">
        <v>10</v>
      </c>
      <c r="I543" t="s">
        <v>81</v>
      </c>
      <c r="J543" s="2">
        <v>45617.208333333336</v>
      </c>
      <c r="K543" s="2">
        <v>45685.711905659722</v>
      </c>
      <c r="L543" s="2">
        <v>45453.820185185185</v>
      </c>
      <c r="M543" t="s">
        <v>1975</v>
      </c>
      <c r="N543" t="s">
        <v>1970</v>
      </c>
      <c r="O543" s="2">
        <v>45526.794510428241</v>
      </c>
      <c r="P543" s="2">
        <v>45546.713949861114</v>
      </c>
      <c r="Q543" s="7">
        <f t="shared" si="8"/>
        <v>19.919439432873332</v>
      </c>
    </row>
    <row r="544" spans="1:17" x14ac:dyDescent="0.35">
      <c r="A544" t="s">
        <v>596</v>
      </c>
      <c r="B544" t="s">
        <v>23</v>
      </c>
      <c r="C544" t="s">
        <v>44</v>
      </c>
      <c r="D544" t="s">
        <v>130</v>
      </c>
      <c r="E544" t="s">
        <v>48</v>
      </c>
      <c r="F544" t="s">
        <v>30</v>
      </c>
      <c r="G544" t="s">
        <v>28</v>
      </c>
      <c r="H544">
        <v>10</v>
      </c>
      <c r="I544" t="s">
        <v>81</v>
      </c>
      <c r="J544" s="2">
        <v>45617.208333333336</v>
      </c>
      <c r="K544" s="2">
        <v>45685.711905659722</v>
      </c>
      <c r="L544" s="2">
        <v>45453.820185185185</v>
      </c>
      <c r="M544" t="s">
        <v>1980</v>
      </c>
      <c r="N544" t="s">
        <v>1970</v>
      </c>
      <c r="O544" s="2">
        <v>45583.687390254629</v>
      </c>
      <c r="P544" s="2">
        <v>45597.661183993056</v>
      </c>
      <c r="Q544" s="7">
        <f t="shared" si="8"/>
        <v>13.973793738427048</v>
      </c>
    </row>
    <row r="545" spans="1:17" x14ac:dyDescent="0.35">
      <c r="A545" t="s">
        <v>1874</v>
      </c>
      <c r="B545" t="s">
        <v>23</v>
      </c>
      <c r="C545" t="s">
        <v>44</v>
      </c>
      <c r="D545" t="s">
        <v>43</v>
      </c>
      <c r="E545" t="s">
        <v>48</v>
      </c>
      <c r="F545" t="s">
        <v>30</v>
      </c>
      <c r="G545" t="s">
        <v>1719</v>
      </c>
      <c r="J545" s="2"/>
      <c r="K545" s="2">
        <v>45504.704671956017</v>
      </c>
      <c r="L545" s="2">
        <v>45455.682592592595</v>
      </c>
      <c r="M545" t="s">
        <v>1981</v>
      </c>
      <c r="N545" t="s">
        <v>1970</v>
      </c>
      <c r="O545" s="2">
        <v>45471.615190370372</v>
      </c>
      <c r="P545" s="2">
        <v>45475.517324131943</v>
      </c>
      <c r="Q545" s="7">
        <f t="shared" si="8"/>
        <v>3.9021337615704397</v>
      </c>
    </row>
    <row r="546" spans="1:17" x14ac:dyDescent="0.35">
      <c r="A546" t="s">
        <v>1165</v>
      </c>
      <c r="B546" t="s">
        <v>23</v>
      </c>
      <c r="C546" t="s">
        <v>44</v>
      </c>
      <c r="D546" t="s">
        <v>76</v>
      </c>
      <c r="E546" t="s">
        <v>38</v>
      </c>
      <c r="F546" t="s">
        <v>30</v>
      </c>
      <c r="G546" t="s">
        <v>28</v>
      </c>
      <c r="I546" t="s">
        <v>33</v>
      </c>
      <c r="J546" s="2">
        <v>45715.208333333336</v>
      </c>
      <c r="K546" s="2">
        <v>45691.800037291665</v>
      </c>
      <c r="L546" s="2">
        <v>45456.850462962961</v>
      </c>
      <c r="M546" t="s">
        <v>1981</v>
      </c>
      <c r="N546" t="s">
        <v>1970</v>
      </c>
      <c r="O546" s="2">
        <v>45461.826979930556</v>
      </c>
      <c r="P546" s="2">
        <v>45471.694719687497</v>
      </c>
      <c r="Q546" s="7">
        <f t="shared" si="8"/>
        <v>9</v>
      </c>
    </row>
    <row r="547" spans="1:17" x14ac:dyDescent="0.35">
      <c r="A547" t="s">
        <v>1165</v>
      </c>
      <c r="B547" t="s">
        <v>23</v>
      </c>
      <c r="C547" t="s">
        <v>44</v>
      </c>
      <c r="D547" t="s">
        <v>76</v>
      </c>
      <c r="E547" t="s">
        <v>38</v>
      </c>
      <c r="F547" t="s">
        <v>30</v>
      </c>
      <c r="G547" t="s">
        <v>28</v>
      </c>
      <c r="I547" t="s">
        <v>33</v>
      </c>
      <c r="J547" s="2">
        <v>45715.208333333336</v>
      </c>
      <c r="K547" s="2">
        <v>45691.800037291665</v>
      </c>
      <c r="L547" s="2">
        <v>45456.850462962961</v>
      </c>
      <c r="M547" t="s">
        <v>1981</v>
      </c>
      <c r="N547" t="s">
        <v>1970</v>
      </c>
      <c r="O547" s="2">
        <v>45476.495961446759</v>
      </c>
      <c r="P547" s="2">
        <v>45499.725545856483</v>
      </c>
      <c r="Q547" s="7">
        <f t="shared" si="8"/>
        <v>18</v>
      </c>
    </row>
    <row r="548" spans="1:17" x14ac:dyDescent="0.35">
      <c r="A548" t="s">
        <v>1165</v>
      </c>
      <c r="B548" t="s">
        <v>23</v>
      </c>
      <c r="C548" t="s">
        <v>44</v>
      </c>
      <c r="D548" t="s">
        <v>76</v>
      </c>
      <c r="E548" t="s">
        <v>38</v>
      </c>
      <c r="F548" t="s">
        <v>30</v>
      </c>
      <c r="G548" t="s">
        <v>28</v>
      </c>
      <c r="I548" t="s">
        <v>33</v>
      </c>
      <c r="J548" s="2">
        <v>45715.208333333336</v>
      </c>
      <c r="K548" s="2">
        <v>45691.800037291665</v>
      </c>
      <c r="L548" s="2">
        <v>45456.850462962961</v>
      </c>
      <c r="M548" t="s">
        <v>1981</v>
      </c>
      <c r="N548" t="s">
        <v>1970</v>
      </c>
      <c r="O548" s="2">
        <v>45503.766445775465</v>
      </c>
      <c r="P548" s="2">
        <v>45513.742144328702</v>
      </c>
      <c r="Q548" s="7">
        <f t="shared" si="8"/>
        <v>9</v>
      </c>
    </row>
    <row r="549" spans="1:17" x14ac:dyDescent="0.35">
      <c r="A549" t="s">
        <v>1165</v>
      </c>
      <c r="B549" t="s">
        <v>23</v>
      </c>
      <c r="C549" t="s">
        <v>44</v>
      </c>
      <c r="D549" t="s">
        <v>76</v>
      </c>
      <c r="E549" t="s">
        <v>38</v>
      </c>
      <c r="F549" t="s">
        <v>30</v>
      </c>
      <c r="G549" t="s">
        <v>28</v>
      </c>
      <c r="I549" t="s">
        <v>33</v>
      </c>
      <c r="J549" s="2">
        <v>45715.208333333336</v>
      </c>
      <c r="K549" s="2">
        <v>45691.800037291665</v>
      </c>
      <c r="L549" s="2">
        <v>45456.850462962961</v>
      </c>
      <c r="M549" t="s">
        <v>1981</v>
      </c>
      <c r="N549" t="s">
        <v>1970</v>
      </c>
      <c r="O549" s="2">
        <v>45517.57318363426</v>
      </c>
      <c r="P549" s="2">
        <v>45520.762220636578</v>
      </c>
      <c r="Q549" s="7">
        <f t="shared" si="8"/>
        <v>4</v>
      </c>
    </row>
    <row r="550" spans="1:17" x14ac:dyDescent="0.35">
      <c r="A550" t="s">
        <v>925</v>
      </c>
      <c r="B550" t="s">
        <v>23</v>
      </c>
      <c r="C550" t="s">
        <v>44</v>
      </c>
      <c r="D550" t="s">
        <v>130</v>
      </c>
      <c r="E550" t="s">
        <v>48</v>
      </c>
      <c r="F550" t="s">
        <v>30</v>
      </c>
      <c r="G550" t="s">
        <v>28</v>
      </c>
      <c r="H550">
        <v>20</v>
      </c>
      <c r="I550" t="s">
        <v>33</v>
      </c>
      <c r="J550" s="2">
        <v>45722.208333333336</v>
      </c>
      <c r="K550" s="2">
        <v>45775.53598148148</v>
      </c>
      <c r="L550" s="2">
        <v>45457.575277777774</v>
      </c>
      <c r="M550" t="s">
        <v>1981</v>
      </c>
      <c r="N550" t="s">
        <v>1970</v>
      </c>
      <c r="O550" s="2">
        <v>45461.828756793984</v>
      </c>
      <c r="P550" s="2">
        <v>45464.586816550924</v>
      </c>
      <c r="Q550" s="7">
        <f t="shared" si="8"/>
        <v>2.758059756939474</v>
      </c>
    </row>
    <row r="551" spans="1:17" x14ac:dyDescent="0.35">
      <c r="A551" t="s">
        <v>946</v>
      </c>
      <c r="B551" t="s">
        <v>23</v>
      </c>
      <c r="C551" t="s">
        <v>44</v>
      </c>
      <c r="D551" t="s">
        <v>76</v>
      </c>
      <c r="E551" t="s">
        <v>38</v>
      </c>
      <c r="F551" t="s">
        <v>30</v>
      </c>
      <c r="G551" t="s">
        <v>28</v>
      </c>
      <c r="H551">
        <v>21</v>
      </c>
      <c r="I551" t="s">
        <v>33</v>
      </c>
      <c r="J551" s="2">
        <v>45594.166666666664</v>
      </c>
      <c r="K551" s="2">
        <v>45600.776314537034</v>
      </c>
      <c r="L551" s="2">
        <v>45461.805821759262</v>
      </c>
      <c r="M551" t="s">
        <v>1981</v>
      </c>
      <c r="N551" t="s">
        <v>1970</v>
      </c>
      <c r="O551" s="2">
        <v>45468.71589255787</v>
      </c>
      <c r="P551" s="2">
        <v>45474.853096712963</v>
      </c>
      <c r="Q551" s="7">
        <f t="shared" si="8"/>
        <v>5</v>
      </c>
    </row>
    <row r="552" spans="1:17" x14ac:dyDescent="0.35">
      <c r="A552" t="s">
        <v>946</v>
      </c>
      <c r="B552" t="s">
        <v>23</v>
      </c>
      <c r="C552" t="s">
        <v>44</v>
      </c>
      <c r="D552" t="s">
        <v>76</v>
      </c>
      <c r="E552" t="s">
        <v>38</v>
      </c>
      <c r="F552" t="s">
        <v>30</v>
      </c>
      <c r="G552" t="s">
        <v>28</v>
      </c>
      <c r="H552">
        <v>21</v>
      </c>
      <c r="I552" t="s">
        <v>33</v>
      </c>
      <c r="J552" s="2">
        <v>45594.166666666664</v>
      </c>
      <c r="K552" s="2">
        <v>45600.776314537034</v>
      </c>
      <c r="L552" s="2">
        <v>45461.805821759262</v>
      </c>
      <c r="M552" t="s">
        <v>1981</v>
      </c>
      <c r="N552" t="s">
        <v>1970</v>
      </c>
      <c r="O552" s="2">
        <v>45482.608063217594</v>
      </c>
      <c r="P552" s="2">
        <v>45483.611415381944</v>
      </c>
      <c r="Q552" s="7">
        <f t="shared" si="8"/>
        <v>2</v>
      </c>
    </row>
    <row r="553" spans="1:17" x14ac:dyDescent="0.35">
      <c r="A553" t="s">
        <v>782</v>
      </c>
      <c r="B553" t="s">
        <v>23</v>
      </c>
      <c r="C553" t="s">
        <v>44</v>
      </c>
      <c r="D553" t="s">
        <v>130</v>
      </c>
      <c r="E553" t="s">
        <v>48</v>
      </c>
      <c r="F553" t="s">
        <v>30</v>
      </c>
      <c r="G553" t="s">
        <v>28</v>
      </c>
      <c r="H553">
        <v>14</v>
      </c>
      <c r="I553" t="s">
        <v>81</v>
      </c>
      <c r="J553" s="2">
        <v>45754.166666666664</v>
      </c>
      <c r="K553" s="2">
        <v>45762.778510497687</v>
      </c>
      <c r="L553" s="2">
        <v>45462.696111111109</v>
      </c>
      <c r="M553" t="s">
        <v>1981</v>
      </c>
      <c r="N553" t="s">
        <v>1970</v>
      </c>
      <c r="O553" s="2">
        <v>45468.718761446762</v>
      </c>
      <c r="P553" s="2">
        <v>45485.655271805554</v>
      </c>
      <c r="Q553" s="7">
        <f t="shared" si="8"/>
        <v>16.936510358791566</v>
      </c>
    </row>
    <row r="554" spans="1:17" x14ac:dyDescent="0.35">
      <c r="A554" t="s">
        <v>782</v>
      </c>
      <c r="B554" t="s">
        <v>23</v>
      </c>
      <c r="C554" t="s">
        <v>44</v>
      </c>
      <c r="D554" t="s">
        <v>130</v>
      </c>
      <c r="E554" t="s">
        <v>48</v>
      </c>
      <c r="F554" t="s">
        <v>30</v>
      </c>
      <c r="G554" t="s">
        <v>28</v>
      </c>
      <c r="H554">
        <v>14</v>
      </c>
      <c r="I554" t="s">
        <v>81</v>
      </c>
      <c r="J554" s="2">
        <v>45754.166666666664</v>
      </c>
      <c r="K554" s="2">
        <v>45762.778510497687</v>
      </c>
      <c r="L554" s="2">
        <v>45462.696111111109</v>
      </c>
      <c r="M554" t="s">
        <v>1981</v>
      </c>
      <c r="N554" t="s">
        <v>1970</v>
      </c>
      <c r="O554" s="2">
        <v>45492.717977268519</v>
      </c>
      <c r="P554" s="2">
        <v>45506.68575715278</v>
      </c>
      <c r="Q554" s="7">
        <f t="shared" si="8"/>
        <v>13.967779884260381</v>
      </c>
    </row>
    <row r="555" spans="1:17" x14ac:dyDescent="0.35">
      <c r="A555" t="s">
        <v>782</v>
      </c>
      <c r="B555" t="s">
        <v>23</v>
      </c>
      <c r="C555" t="s">
        <v>44</v>
      </c>
      <c r="D555" t="s">
        <v>130</v>
      </c>
      <c r="E555" t="s">
        <v>48</v>
      </c>
      <c r="F555" t="s">
        <v>30</v>
      </c>
      <c r="G555" t="s">
        <v>28</v>
      </c>
      <c r="H555">
        <v>14</v>
      </c>
      <c r="I555" t="s">
        <v>81</v>
      </c>
      <c r="J555" s="2">
        <v>45754.166666666664</v>
      </c>
      <c r="K555" s="2">
        <v>45762.778510497687</v>
      </c>
      <c r="L555" s="2">
        <v>45462.696111111109</v>
      </c>
      <c r="M555" t="s">
        <v>1981</v>
      </c>
      <c r="N555" t="s">
        <v>1970</v>
      </c>
      <c r="O555" s="2">
        <v>45510.799279999999</v>
      </c>
      <c r="P555" s="2">
        <v>45524.517989050924</v>
      </c>
      <c r="Q555" s="7">
        <f t="shared" si="8"/>
        <v>13.718709050925099</v>
      </c>
    </row>
    <row r="556" spans="1:17" x14ac:dyDescent="0.35">
      <c r="A556" t="s">
        <v>782</v>
      </c>
      <c r="B556" t="s">
        <v>23</v>
      </c>
      <c r="C556" t="s">
        <v>44</v>
      </c>
      <c r="D556" t="s">
        <v>130</v>
      </c>
      <c r="E556" t="s">
        <v>48</v>
      </c>
      <c r="F556" t="s">
        <v>30</v>
      </c>
      <c r="G556" t="s">
        <v>28</v>
      </c>
      <c r="H556">
        <v>14</v>
      </c>
      <c r="I556" t="s">
        <v>81</v>
      </c>
      <c r="J556" s="2">
        <v>45754.166666666664</v>
      </c>
      <c r="K556" s="2">
        <v>45762.778510497687</v>
      </c>
      <c r="L556" s="2">
        <v>45462.696111111109</v>
      </c>
      <c r="M556" t="s">
        <v>1982</v>
      </c>
      <c r="N556" t="s">
        <v>1970</v>
      </c>
      <c r="O556" s="2">
        <v>45588.516050439815</v>
      </c>
      <c r="P556" s="2">
        <v>45588.739806342594</v>
      </c>
      <c r="Q556" s="7">
        <f t="shared" si="8"/>
        <v>0.22375590277806623</v>
      </c>
    </row>
    <row r="557" spans="1:17" x14ac:dyDescent="0.35">
      <c r="A557" t="s">
        <v>782</v>
      </c>
      <c r="B557" t="s">
        <v>23</v>
      </c>
      <c r="C557" t="s">
        <v>44</v>
      </c>
      <c r="D557" t="s">
        <v>130</v>
      </c>
      <c r="E557" t="s">
        <v>48</v>
      </c>
      <c r="F557" t="s">
        <v>30</v>
      </c>
      <c r="G557" t="s">
        <v>28</v>
      </c>
      <c r="H557">
        <v>14</v>
      </c>
      <c r="I557" t="s">
        <v>81</v>
      </c>
      <c r="J557" s="2">
        <v>45754.166666666664</v>
      </c>
      <c r="K557" s="2">
        <v>45762.778510497687</v>
      </c>
      <c r="L557" s="2">
        <v>45462.696111111109</v>
      </c>
      <c r="M557" t="s">
        <v>1975</v>
      </c>
      <c r="N557" t="s">
        <v>1970</v>
      </c>
      <c r="O557" s="2">
        <v>45603.683079756942</v>
      </c>
      <c r="P557" s="2">
        <v>45607.649756712963</v>
      </c>
      <c r="Q557" s="7">
        <f t="shared" si="8"/>
        <v>3.9666769560208195</v>
      </c>
    </row>
    <row r="558" spans="1:17" x14ac:dyDescent="0.35">
      <c r="A558" t="s">
        <v>1153</v>
      </c>
      <c r="B558" t="s">
        <v>23</v>
      </c>
      <c r="C558" t="s">
        <v>44</v>
      </c>
      <c r="D558" t="s">
        <v>409</v>
      </c>
      <c r="E558" t="s">
        <v>48</v>
      </c>
      <c r="F558" t="s">
        <v>30</v>
      </c>
      <c r="G558" t="s">
        <v>28</v>
      </c>
      <c r="I558" t="s">
        <v>140</v>
      </c>
      <c r="J558" s="2">
        <v>45751.166666666664</v>
      </c>
      <c r="K558" s="2">
        <v>45796.615591412039</v>
      </c>
      <c r="L558" s="2">
        <v>45464.677743055552</v>
      </c>
      <c r="M558" t="s">
        <v>1981</v>
      </c>
      <c r="N558" t="s">
        <v>1970</v>
      </c>
      <c r="O558" s="2">
        <v>45468.716685937499</v>
      </c>
      <c r="P558" s="2">
        <v>45489.514508275461</v>
      </c>
      <c r="Q558" s="7">
        <f t="shared" si="8"/>
        <v>20.797822337961406</v>
      </c>
    </row>
    <row r="559" spans="1:17" x14ac:dyDescent="0.35">
      <c r="A559" t="s">
        <v>1153</v>
      </c>
      <c r="B559" t="s">
        <v>23</v>
      </c>
      <c r="C559" t="s">
        <v>44</v>
      </c>
      <c r="D559" t="s">
        <v>409</v>
      </c>
      <c r="E559" t="s">
        <v>48</v>
      </c>
      <c r="F559" t="s">
        <v>30</v>
      </c>
      <c r="G559" t="s">
        <v>28</v>
      </c>
      <c r="I559" t="s">
        <v>140</v>
      </c>
      <c r="J559" s="2">
        <v>45751.166666666664</v>
      </c>
      <c r="K559" s="2">
        <v>45796.615591412039</v>
      </c>
      <c r="L559" s="2">
        <v>45464.677743055552</v>
      </c>
      <c r="M559" t="s">
        <v>1979</v>
      </c>
      <c r="N559" t="s">
        <v>1970</v>
      </c>
      <c r="O559" s="2">
        <v>45513.7982190162</v>
      </c>
      <c r="P559" s="2">
        <v>45532.577025914354</v>
      </c>
      <c r="Q559" s="7">
        <f t="shared" si="8"/>
        <v>18.778806898153562</v>
      </c>
    </row>
    <row r="560" spans="1:17" x14ac:dyDescent="0.35">
      <c r="A560" t="s">
        <v>658</v>
      </c>
      <c r="B560" t="s">
        <v>23</v>
      </c>
      <c r="C560" t="s">
        <v>44</v>
      </c>
      <c r="D560" t="s">
        <v>54</v>
      </c>
      <c r="E560" t="s">
        <v>38</v>
      </c>
      <c r="F560" t="s">
        <v>30</v>
      </c>
      <c r="G560" t="s">
        <v>28</v>
      </c>
      <c r="H560">
        <v>11</v>
      </c>
      <c r="I560" t="s">
        <v>81</v>
      </c>
      <c r="J560" s="2">
        <v>45621.208333333336</v>
      </c>
      <c r="K560" s="2">
        <v>45615.779232060187</v>
      </c>
      <c r="L560" s="2">
        <v>45464.790752314817</v>
      </c>
      <c r="M560" t="s">
        <v>1981</v>
      </c>
      <c r="N560" t="s">
        <v>1995</v>
      </c>
      <c r="O560" s="2">
        <v>45483.779803726851</v>
      </c>
      <c r="P560" s="2">
        <v>45484.566909293979</v>
      </c>
      <c r="Q560" s="7">
        <f t="shared" si="8"/>
        <v>2</v>
      </c>
    </row>
    <row r="561" spans="1:17" x14ac:dyDescent="0.35">
      <c r="A561" t="s">
        <v>658</v>
      </c>
      <c r="B561" t="s">
        <v>23</v>
      </c>
      <c r="C561" t="s">
        <v>44</v>
      </c>
      <c r="D561" t="s">
        <v>54</v>
      </c>
      <c r="E561" t="s">
        <v>38</v>
      </c>
      <c r="F561" t="s">
        <v>30</v>
      </c>
      <c r="G561" t="s">
        <v>28</v>
      </c>
      <c r="H561">
        <v>11</v>
      </c>
      <c r="I561" t="s">
        <v>81</v>
      </c>
      <c r="J561" s="2">
        <v>45621.208333333336</v>
      </c>
      <c r="K561" s="2">
        <v>45615.779232060187</v>
      </c>
      <c r="L561" s="2">
        <v>45464.790752314817</v>
      </c>
      <c r="M561" t="s">
        <v>1977</v>
      </c>
      <c r="N561" t="s">
        <v>1970</v>
      </c>
      <c r="O561" s="2">
        <v>45511.242150833335</v>
      </c>
      <c r="P561" s="2">
        <v>45554.37759773148</v>
      </c>
      <c r="Q561" s="7">
        <f t="shared" si="8"/>
        <v>32</v>
      </c>
    </row>
    <row r="562" spans="1:17" x14ac:dyDescent="0.35">
      <c r="A562" t="s">
        <v>658</v>
      </c>
      <c r="B562" t="s">
        <v>23</v>
      </c>
      <c r="C562" t="s">
        <v>44</v>
      </c>
      <c r="D562" t="s">
        <v>54</v>
      </c>
      <c r="E562" t="s">
        <v>38</v>
      </c>
      <c r="F562" t="s">
        <v>30</v>
      </c>
      <c r="G562" t="s">
        <v>28</v>
      </c>
      <c r="H562">
        <v>11</v>
      </c>
      <c r="I562" t="s">
        <v>81</v>
      </c>
      <c r="J562" s="2">
        <v>45621.208333333336</v>
      </c>
      <c r="K562" s="2">
        <v>45615.779232060187</v>
      </c>
      <c r="L562" s="2">
        <v>45464.790752314817</v>
      </c>
      <c r="M562" t="s">
        <v>1977</v>
      </c>
      <c r="N562" t="s">
        <v>1970</v>
      </c>
      <c r="O562" s="2">
        <v>45561.084666458337</v>
      </c>
      <c r="P562" s="2">
        <v>45568.094307488427</v>
      </c>
      <c r="Q562" s="7">
        <f t="shared" si="8"/>
        <v>6</v>
      </c>
    </row>
    <row r="563" spans="1:17" x14ac:dyDescent="0.35">
      <c r="A563" t="s">
        <v>1173</v>
      </c>
      <c r="B563" t="s">
        <v>23</v>
      </c>
      <c r="C563" t="s">
        <v>44</v>
      </c>
      <c r="D563" t="s">
        <v>409</v>
      </c>
      <c r="E563" t="s">
        <v>48</v>
      </c>
      <c r="F563" t="s">
        <v>30</v>
      </c>
      <c r="G563" t="s">
        <v>28</v>
      </c>
      <c r="I563" t="s">
        <v>81</v>
      </c>
      <c r="J563" s="2">
        <v>45751.166666666664</v>
      </c>
      <c r="K563" s="2">
        <v>45810.627230486112</v>
      </c>
      <c r="L563" s="2">
        <v>45471.57136574074</v>
      </c>
      <c r="M563" t="s">
        <v>1981</v>
      </c>
      <c r="N563" t="s">
        <v>1970</v>
      </c>
      <c r="O563" s="2">
        <v>45482.756286180556</v>
      </c>
      <c r="P563" s="2">
        <v>45499.722285381948</v>
      </c>
      <c r="Q563" s="7">
        <f t="shared" si="8"/>
        <v>16.965999201391242</v>
      </c>
    </row>
    <row r="564" spans="1:17" x14ac:dyDescent="0.35">
      <c r="A564" t="s">
        <v>1173</v>
      </c>
      <c r="B564" t="s">
        <v>23</v>
      </c>
      <c r="C564" t="s">
        <v>44</v>
      </c>
      <c r="D564" t="s">
        <v>409</v>
      </c>
      <c r="E564" t="s">
        <v>48</v>
      </c>
      <c r="F564" t="s">
        <v>30</v>
      </c>
      <c r="G564" t="s">
        <v>28</v>
      </c>
      <c r="I564" t="s">
        <v>81</v>
      </c>
      <c r="J564" s="2">
        <v>45751.166666666664</v>
      </c>
      <c r="K564" s="2">
        <v>45810.627230486112</v>
      </c>
      <c r="L564" s="2">
        <v>45471.57136574074</v>
      </c>
      <c r="M564" t="s">
        <v>1981</v>
      </c>
      <c r="N564" t="s">
        <v>1970</v>
      </c>
      <c r="O564" s="2">
        <v>45510.799833240744</v>
      </c>
      <c r="P564" s="2">
        <v>45527.784544456015</v>
      </c>
      <c r="Q564" s="7">
        <f t="shared" si="8"/>
        <v>16.984711215271091</v>
      </c>
    </row>
    <row r="565" spans="1:17" x14ac:dyDescent="0.35">
      <c r="A565" t="s">
        <v>1173</v>
      </c>
      <c r="B565" t="s">
        <v>23</v>
      </c>
      <c r="C565" t="s">
        <v>44</v>
      </c>
      <c r="D565" t="s">
        <v>409</v>
      </c>
      <c r="E565" t="s">
        <v>48</v>
      </c>
      <c r="F565" t="s">
        <v>30</v>
      </c>
      <c r="G565" t="s">
        <v>28</v>
      </c>
      <c r="I565" t="s">
        <v>81</v>
      </c>
      <c r="J565" s="2">
        <v>45751.166666666664</v>
      </c>
      <c r="K565" s="2">
        <v>45810.627230486112</v>
      </c>
      <c r="L565" s="2">
        <v>45471.57136574074</v>
      </c>
      <c r="M565" t="s">
        <v>1975</v>
      </c>
      <c r="N565" t="s">
        <v>1970</v>
      </c>
      <c r="O565" s="2">
        <v>45547.689647268518</v>
      </c>
      <c r="P565" s="2">
        <v>45553.869874594908</v>
      </c>
      <c r="Q565" s="7">
        <f t="shared" si="8"/>
        <v>6.1802273263892857</v>
      </c>
    </row>
    <row r="566" spans="1:17" x14ac:dyDescent="0.35">
      <c r="A566" t="s">
        <v>712</v>
      </c>
      <c r="B566" t="s">
        <v>23</v>
      </c>
      <c r="C566" t="s">
        <v>44</v>
      </c>
      <c r="D566" t="s">
        <v>130</v>
      </c>
      <c r="E566" t="s">
        <v>48</v>
      </c>
      <c r="F566" t="s">
        <v>30</v>
      </c>
      <c r="G566" t="s">
        <v>28</v>
      </c>
      <c r="H566">
        <v>12</v>
      </c>
      <c r="I566" t="s">
        <v>33</v>
      </c>
      <c r="J566" s="2">
        <v>45645.208333333336</v>
      </c>
      <c r="K566" s="2">
        <v>45645.702308009262</v>
      </c>
      <c r="L566" s="2">
        <v>45475.618703703702</v>
      </c>
      <c r="M566" t="s">
        <v>1981</v>
      </c>
      <c r="N566" t="s">
        <v>1970</v>
      </c>
      <c r="O566" s="2">
        <v>45491.685350532411</v>
      </c>
      <c r="P566" s="2">
        <v>45506.684891863428</v>
      </c>
      <c r="Q566" s="7">
        <f t="shared" si="8"/>
        <v>14.999541331017099</v>
      </c>
    </row>
    <row r="567" spans="1:17" x14ac:dyDescent="0.35">
      <c r="A567" t="s">
        <v>712</v>
      </c>
      <c r="B567" t="s">
        <v>23</v>
      </c>
      <c r="C567" t="s">
        <v>44</v>
      </c>
      <c r="D567" t="s">
        <v>130</v>
      </c>
      <c r="E567" t="s">
        <v>48</v>
      </c>
      <c r="F567" t="s">
        <v>30</v>
      </c>
      <c r="G567" t="s">
        <v>28</v>
      </c>
      <c r="H567">
        <v>12</v>
      </c>
      <c r="I567" t="s">
        <v>33</v>
      </c>
      <c r="J567" s="2">
        <v>45645.208333333336</v>
      </c>
      <c r="K567" s="2">
        <v>45645.702308009262</v>
      </c>
      <c r="L567" s="2">
        <v>45475.618703703702</v>
      </c>
      <c r="M567" t="s">
        <v>1975</v>
      </c>
      <c r="N567" t="s">
        <v>1970</v>
      </c>
      <c r="O567" s="2">
        <v>45540.684043414352</v>
      </c>
      <c r="P567" s="2">
        <v>45541.54717041667</v>
      </c>
      <c r="Q567" s="7">
        <f t="shared" si="8"/>
        <v>0.86312700231792405</v>
      </c>
    </row>
    <row r="568" spans="1:17" x14ac:dyDescent="0.35">
      <c r="A568" t="s">
        <v>1892</v>
      </c>
      <c r="B568" t="s">
        <v>23</v>
      </c>
      <c r="C568" t="s">
        <v>44</v>
      </c>
      <c r="D568" t="s">
        <v>76</v>
      </c>
      <c r="E568" t="s">
        <v>38</v>
      </c>
      <c r="F568" t="s">
        <v>30</v>
      </c>
      <c r="G568" t="s">
        <v>1719</v>
      </c>
      <c r="I568" t="s">
        <v>33</v>
      </c>
      <c r="J568" s="2"/>
      <c r="K568" s="2">
        <v>45540.560113449072</v>
      </c>
      <c r="L568" s="2">
        <v>45481.822106481479</v>
      </c>
      <c r="M568" t="s">
        <v>1981</v>
      </c>
      <c r="N568" t="s">
        <v>1970</v>
      </c>
      <c r="O568" s="2">
        <v>45482.761000636572</v>
      </c>
      <c r="P568" s="2">
        <v>45483.609575347225</v>
      </c>
      <c r="Q568" s="7">
        <f t="shared" si="8"/>
        <v>2</v>
      </c>
    </row>
    <row r="569" spans="1:17" x14ac:dyDescent="0.35">
      <c r="A569" t="s">
        <v>1894</v>
      </c>
      <c r="B569" t="s">
        <v>23</v>
      </c>
      <c r="C569" t="s">
        <v>44</v>
      </c>
      <c r="D569" t="s">
        <v>76</v>
      </c>
      <c r="E569" t="s">
        <v>38</v>
      </c>
      <c r="F569" t="s">
        <v>30</v>
      </c>
      <c r="G569" t="s">
        <v>1719</v>
      </c>
      <c r="I569" t="s">
        <v>33</v>
      </c>
      <c r="J569" s="2"/>
      <c r="K569" s="2">
        <v>45540.711968668984</v>
      </c>
      <c r="L569" s="2">
        <v>45481.829641203702</v>
      </c>
      <c r="M569" t="s">
        <v>1981</v>
      </c>
      <c r="N569" t="s">
        <v>1970</v>
      </c>
      <c r="O569" s="2">
        <v>45482.760086979164</v>
      </c>
      <c r="P569" s="2">
        <v>45483.608694884257</v>
      </c>
      <c r="Q569" s="7">
        <f t="shared" si="8"/>
        <v>2</v>
      </c>
    </row>
    <row r="570" spans="1:17" x14ac:dyDescent="0.35">
      <c r="A570" t="s">
        <v>928</v>
      </c>
      <c r="B570" t="s">
        <v>23</v>
      </c>
      <c r="C570" t="s">
        <v>44</v>
      </c>
      <c r="D570" t="s">
        <v>244</v>
      </c>
      <c r="E570" t="s">
        <v>38</v>
      </c>
      <c r="F570" t="s">
        <v>30</v>
      </c>
      <c r="G570" t="s">
        <v>28</v>
      </c>
      <c r="H570">
        <v>20</v>
      </c>
      <c r="I570" t="s">
        <v>81</v>
      </c>
      <c r="J570" s="2">
        <v>45712.208333333336</v>
      </c>
      <c r="K570" s="2">
        <v>45674.90472849537</v>
      </c>
      <c r="L570" s="2">
        <v>45482.76761574074</v>
      </c>
      <c r="M570" t="s">
        <v>1979</v>
      </c>
      <c r="N570" t="s">
        <v>1995</v>
      </c>
      <c r="O570" s="2">
        <v>45488.763520567132</v>
      </c>
      <c r="P570" s="2">
        <v>45492.582661053239</v>
      </c>
      <c r="Q570" s="7">
        <f t="shared" si="8"/>
        <v>5</v>
      </c>
    </row>
    <row r="571" spans="1:17" x14ac:dyDescent="0.35">
      <c r="A571" t="s">
        <v>928</v>
      </c>
      <c r="B571" t="s">
        <v>23</v>
      </c>
      <c r="C571" t="s">
        <v>44</v>
      </c>
      <c r="D571" t="s">
        <v>244</v>
      </c>
      <c r="E571" t="s">
        <v>38</v>
      </c>
      <c r="F571" t="s">
        <v>30</v>
      </c>
      <c r="G571" t="s">
        <v>28</v>
      </c>
      <c r="H571">
        <v>20</v>
      </c>
      <c r="I571" t="s">
        <v>81</v>
      </c>
      <c r="J571" s="2">
        <v>45712.208333333336</v>
      </c>
      <c r="K571" s="2">
        <v>45674.90472849537</v>
      </c>
      <c r="L571" s="2">
        <v>45482.76761574074</v>
      </c>
      <c r="M571" t="s">
        <v>1977</v>
      </c>
      <c r="N571" t="s">
        <v>1970</v>
      </c>
      <c r="O571" s="2">
        <v>45509.325927905091</v>
      </c>
      <c r="P571" s="2">
        <v>45567.022152141202</v>
      </c>
      <c r="Q571" s="7">
        <f t="shared" si="8"/>
        <v>43</v>
      </c>
    </row>
    <row r="572" spans="1:17" x14ac:dyDescent="0.35">
      <c r="A572" t="s">
        <v>928</v>
      </c>
      <c r="B572" t="s">
        <v>23</v>
      </c>
      <c r="C572" t="s">
        <v>44</v>
      </c>
      <c r="D572" t="s">
        <v>244</v>
      </c>
      <c r="E572" t="s">
        <v>38</v>
      </c>
      <c r="F572" t="s">
        <v>30</v>
      </c>
      <c r="G572" t="s">
        <v>28</v>
      </c>
      <c r="H572">
        <v>20</v>
      </c>
      <c r="I572" t="s">
        <v>81</v>
      </c>
      <c r="J572" s="2">
        <v>45712.208333333336</v>
      </c>
      <c r="K572" s="2">
        <v>45674.90472849537</v>
      </c>
      <c r="L572" s="2">
        <v>45482.76761574074</v>
      </c>
      <c r="M572" t="s">
        <v>1980</v>
      </c>
      <c r="N572" t="s">
        <v>1970</v>
      </c>
      <c r="O572" s="2">
        <v>45573.647858368058</v>
      </c>
      <c r="P572" s="2">
        <v>45617.702731747682</v>
      </c>
      <c r="Q572" s="7">
        <f t="shared" si="8"/>
        <v>33</v>
      </c>
    </row>
    <row r="573" spans="1:17" x14ac:dyDescent="0.35">
      <c r="A573" t="s">
        <v>928</v>
      </c>
      <c r="B573" t="s">
        <v>23</v>
      </c>
      <c r="C573" t="s">
        <v>44</v>
      </c>
      <c r="D573" t="s">
        <v>244</v>
      </c>
      <c r="E573" t="s">
        <v>38</v>
      </c>
      <c r="F573" t="s">
        <v>30</v>
      </c>
      <c r="G573" t="s">
        <v>28</v>
      </c>
      <c r="H573">
        <v>20</v>
      </c>
      <c r="I573" t="s">
        <v>81</v>
      </c>
      <c r="J573" s="2">
        <v>45712.208333333336</v>
      </c>
      <c r="K573" s="2">
        <v>45674.90472849537</v>
      </c>
      <c r="L573" s="2">
        <v>45482.76761574074</v>
      </c>
      <c r="M573" t="s">
        <v>1977</v>
      </c>
      <c r="N573" t="s">
        <v>1970</v>
      </c>
      <c r="O573" s="2">
        <v>45574.143655914355</v>
      </c>
      <c r="P573" s="2">
        <v>45615.337780254631</v>
      </c>
      <c r="Q573" s="7">
        <f t="shared" si="8"/>
        <v>30</v>
      </c>
    </row>
    <row r="574" spans="1:17" x14ac:dyDescent="0.35">
      <c r="A574" t="s">
        <v>134</v>
      </c>
      <c r="B574" t="s">
        <v>23</v>
      </c>
      <c r="C574" t="s">
        <v>44</v>
      </c>
      <c r="D574" t="s">
        <v>135</v>
      </c>
      <c r="E574" t="s">
        <v>32</v>
      </c>
      <c r="F574" t="s">
        <v>30</v>
      </c>
      <c r="G574" t="s">
        <v>46</v>
      </c>
      <c r="I574" t="s">
        <v>33</v>
      </c>
      <c r="J574" s="2">
        <v>45490.166666666664</v>
      </c>
      <c r="K574" s="2">
        <v>45489.56858378472</v>
      </c>
      <c r="L574" s="2">
        <v>45483.599236111113</v>
      </c>
      <c r="M574" t="s">
        <v>1975</v>
      </c>
      <c r="N574" t="s">
        <v>1970</v>
      </c>
      <c r="O574" s="2">
        <v>45484.735612418983</v>
      </c>
      <c r="P574" s="2">
        <v>45486.580877812499</v>
      </c>
      <c r="Q574" s="7">
        <f t="shared" si="8"/>
        <v>2</v>
      </c>
    </row>
    <row r="575" spans="1:17" x14ac:dyDescent="0.35">
      <c r="A575" t="s">
        <v>1541</v>
      </c>
      <c r="B575" t="s">
        <v>23</v>
      </c>
      <c r="C575" t="s">
        <v>44</v>
      </c>
      <c r="D575" t="s">
        <v>76</v>
      </c>
      <c r="E575" t="s">
        <v>38</v>
      </c>
      <c r="F575" t="s">
        <v>30</v>
      </c>
      <c r="G575" t="s">
        <v>1441</v>
      </c>
      <c r="H575">
        <v>7</v>
      </c>
      <c r="I575" t="s">
        <v>81</v>
      </c>
      <c r="J575" s="2">
        <v>45602.208333333336</v>
      </c>
      <c r="K575" s="2">
        <v>45583.509196631945</v>
      </c>
      <c r="L575" s="2">
        <v>45485.852025462962</v>
      </c>
      <c r="M575" t="s">
        <v>1982</v>
      </c>
      <c r="N575" t="s">
        <v>1970</v>
      </c>
      <c r="O575" s="2">
        <v>45540.735089189817</v>
      </c>
      <c r="P575" s="2">
        <v>45540.771336331018</v>
      </c>
      <c r="Q575" s="7">
        <f t="shared" si="8"/>
        <v>1</v>
      </c>
    </row>
    <row r="576" spans="1:17" x14ac:dyDescent="0.35">
      <c r="A576" t="s">
        <v>599</v>
      </c>
      <c r="B576" t="s">
        <v>23</v>
      </c>
      <c r="C576" t="s">
        <v>44</v>
      </c>
      <c r="D576" t="s">
        <v>54</v>
      </c>
      <c r="E576" t="s">
        <v>38</v>
      </c>
      <c r="F576" t="s">
        <v>30</v>
      </c>
      <c r="G576" t="s">
        <v>28</v>
      </c>
      <c r="H576">
        <v>10</v>
      </c>
      <c r="I576" t="s">
        <v>33</v>
      </c>
      <c r="J576" s="2">
        <v>45764.166666666664</v>
      </c>
      <c r="K576" s="2">
        <v>45853.291285046296</v>
      </c>
      <c r="L576" s="2">
        <v>45488.238900462966</v>
      </c>
      <c r="M576" t="s">
        <v>1979</v>
      </c>
      <c r="N576" t="s">
        <v>1970</v>
      </c>
      <c r="O576" s="2">
        <v>45519.10550070602</v>
      </c>
      <c r="P576" s="2">
        <v>45537.40417396991</v>
      </c>
      <c r="Q576" s="7">
        <f t="shared" si="8"/>
        <v>13</v>
      </c>
    </row>
    <row r="577" spans="1:17" x14ac:dyDescent="0.35">
      <c r="A577" t="s">
        <v>599</v>
      </c>
      <c r="B577" t="s">
        <v>23</v>
      </c>
      <c r="C577" t="s">
        <v>44</v>
      </c>
      <c r="D577" t="s">
        <v>54</v>
      </c>
      <c r="E577" t="s">
        <v>38</v>
      </c>
      <c r="F577" t="s">
        <v>30</v>
      </c>
      <c r="G577" t="s">
        <v>28</v>
      </c>
      <c r="H577">
        <v>10</v>
      </c>
      <c r="I577" t="s">
        <v>33</v>
      </c>
      <c r="J577" s="2">
        <v>45764.166666666664</v>
      </c>
      <c r="K577" s="2">
        <v>45853.291285046296</v>
      </c>
      <c r="L577" s="2">
        <v>45488.238900462966</v>
      </c>
      <c r="M577" t="s">
        <v>1980</v>
      </c>
      <c r="N577" t="s">
        <v>1970</v>
      </c>
      <c r="O577" s="2">
        <v>45553.091349629627</v>
      </c>
      <c r="P577" s="2">
        <v>45670.715035173613</v>
      </c>
      <c r="Q577" s="7">
        <f t="shared" si="8"/>
        <v>84</v>
      </c>
    </row>
    <row r="578" spans="1:17" x14ac:dyDescent="0.35">
      <c r="A578" t="s">
        <v>599</v>
      </c>
      <c r="B578" t="s">
        <v>23</v>
      </c>
      <c r="C578" t="s">
        <v>44</v>
      </c>
      <c r="D578" t="s">
        <v>54</v>
      </c>
      <c r="E578" t="s">
        <v>38</v>
      </c>
      <c r="F578" t="s">
        <v>30</v>
      </c>
      <c r="G578" t="s">
        <v>28</v>
      </c>
      <c r="H578">
        <v>10</v>
      </c>
      <c r="I578" t="s">
        <v>33</v>
      </c>
      <c r="J578" s="2">
        <v>45764.166666666664</v>
      </c>
      <c r="K578" s="2">
        <v>45853.291285046296</v>
      </c>
      <c r="L578" s="2">
        <v>45488.238900462966</v>
      </c>
      <c r="M578" t="s">
        <v>1977</v>
      </c>
      <c r="N578" t="s">
        <v>1970</v>
      </c>
      <c r="O578" s="2">
        <v>45568.104177638888</v>
      </c>
      <c r="P578" s="2">
        <v>45621.44040832176</v>
      </c>
      <c r="Q578" s="7">
        <f t="shared" si="8"/>
        <v>38</v>
      </c>
    </row>
    <row r="579" spans="1:17" x14ac:dyDescent="0.35">
      <c r="A579" t="s">
        <v>599</v>
      </c>
      <c r="B579" t="s">
        <v>23</v>
      </c>
      <c r="C579" t="s">
        <v>44</v>
      </c>
      <c r="D579" t="s">
        <v>54</v>
      </c>
      <c r="E579" t="s">
        <v>38</v>
      </c>
      <c r="F579" t="s">
        <v>30</v>
      </c>
      <c r="G579" t="s">
        <v>28</v>
      </c>
      <c r="H579">
        <v>10</v>
      </c>
      <c r="I579" t="s">
        <v>33</v>
      </c>
      <c r="J579" s="2">
        <v>45764.166666666664</v>
      </c>
      <c r="K579" s="2">
        <v>45853.291285046296</v>
      </c>
      <c r="L579" s="2">
        <v>45488.238900462966</v>
      </c>
      <c r="M579" t="s">
        <v>1973</v>
      </c>
      <c r="N579" t="s">
        <v>1987</v>
      </c>
      <c r="O579" s="2">
        <v>45747.741785740742</v>
      </c>
      <c r="P579" s="2">
        <v>45776.574158634263</v>
      </c>
      <c r="Q579" s="7">
        <f t="shared" ref="Q579:Q642" si="9">IF(OR(O579="", P579=""), "", IF(OR(E579="PW1000G", E579="PW800"), P579 - O579, NETWORKDAYS(O579, P579)))</f>
        <v>22</v>
      </c>
    </row>
    <row r="580" spans="1:17" x14ac:dyDescent="0.35">
      <c r="A580" t="s">
        <v>1896</v>
      </c>
      <c r="B580" t="s">
        <v>23</v>
      </c>
      <c r="C580" t="s">
        <v>44</v>
      </c>
      <c r="D580" t="s">
        <v>76</v>
      </c>
      <c r="E580" t="s">
        <v>38</v>
      </c>
      <c r="F580" t="s">
        <v>30</v>
      </c>
      <c r="G580" t="s">
        <v>1719</v>
      </c>
      <c r="I580" t="s">
        <v>33</v>
      </c>
      <c r="J580" s="2"/>
      <c r="K580" s="2">
        <v>45609.675545393518</v>
      </c>
      <c r="L580" s="2">
        <v>45488.785636574074</v>
      </c>
      <c r="M580" t="s">
        <v>1981</v>
      </c>
      <c r="N580" t="s">
        <v>1970</v>
      </c>
      <c r="O580" s="2">
        <v>45489.8306753125</v>
      </c>
      <c r="P580" s="2">
        <v>45496.77484943287</v>
      </c>
      <c r="Q580" s="7">
        <f t="shared" si="9"/>
        <v>6</v>
      </c>
    </row>
    <row r="581" spans="1:17" x14ac:dyDescent="0.35">
      <c r="A581" t="s">
        <v>1896</v>
      </c>
      <c r="B581" t="s">
        <v>23</v>
      </c>
      <c r="C581" t="s">
        <v>44</v>
      </c>
      <c r="D581" t="s">
        <v>76</v>
      </c>
      <c r="E581" t="s">
        <v>38</v>
      </c>
      <c r="F581" t="s">
        <v>30</v>
      </c>
      <c r="G581" t="s">
        <v>1719</v>
      </c>
      <c r="I581" t="s">
        <v>33</v>
      </c>
      <c r="J581" s="2"/>
      <c r="K581" s="2">
        <v>45609.675545393518</v>
      </c>
      <c r="L581" s="2">
        <v>45488.785636574074</v>
      </c>
      <c r="M581" t="s">
        <v>1979</v>
      </c>
      <c r="N581" t="s">
        <v>1970</v>
      </c>
      <c r="O581" s="2">
        <v>45513.792057465274</v>
      </c>
      <c r="P581" s="2">
        <v>45540.468902962966</v>
      </c>
      <c r="Q581" s="7">
        <f t="shared" si="9"/>
        <v>20</v>
      </c>
    </row>
    <row r="582" spans="1:17" x14ac:dyDescent="0.35">
      <c r="A582" t="s">
        <v>1161</v>
      </c>
      <c r="B582" t="s">
        <v>23</v>
      </c>
      <c r="C582" t="s">
        <v>44</v>
      </c>
      <c r="D582" t="s">
        <v>409</v>
      </c>
      <c r="E582" t="s">
        <v>32</v>
      </c>
      <c r="F582" t="s">
        <v>30</v>
      </c>
      <c r="G582" t="s">
        <v>28</v>
      </c>
      <c r="I582" t="s">
        <v>33</v>
      </c>
      <c r="J582" s="2">
        <v>45596.166666666664</v>
      </c>
      <c r="K582" s="2">
        <v>45588.573992627316</v>
      </c>
      <c r="L582" s="2">
        <v>45491.488171296296</v>
      </c>
      <c r="M582" t="s">
        <v>1979</v>
      </c>
      <c r="N582" t="s">
        <v>1970</v>
      </c>
      <c r="O582" s="2">
        <v>45551.478671851852</v>
      </c>
      <c r="P582" s="2">
        <v>45553.520471319447</v>
      </c>
      <c r="Q582" s="7">
        <f t="shared" si="9"/>
        <v>3</v>
      </c>
    </row>
    <row r="583" spans="1:17" x14ac:dyDescent="0.35">
      <c r="A583" t="s">
        <v>541</v>
      </c>
      <c r="B583" t="s">
        <v>23</v>
      </c>
      <c r="C583" t="s">
        <v>44</v>
      </c>
      <c r="D583" t="s">
        <v>409</v>
      </c>
      <c r="E583" t="s">
        <v>48</v>
      </c>
      <c r="F583" t="s">
        <v>30</v>
      </c>
      <c r="G583" t="s">
        <v>28</v>
      </c>
      <c r="H583">
        <v>8</v>
      </c>
      <c r="I583" t="s">
        <v>33</v>
      </c>
      <c r="J583" s="2">
        <v>45548.166666666664</v>
      </c>
      <c r="K583" s="2">
        <v>45533.776866273147</v>
      </c>
      <c r="L583" s="2">
        <v>45491.625497685185</v>
      </c>
      <c r="M583" t="s">
        <v>1989</v>
      </c>
      <c r="N583" t="s">
        <v>1990</v>
      </c>
      <c r="O583" s="2">
        <v>45530.755833622687</v>
      </c>
      <c r="P583" s="2">
        <v>45533.59916391204</v>
      </c>
      <c r="Q583" s="7">
        <f t="shared" si="9"/>
        <v>2.8433302893536165</v>
      </c>
    </row>
    <row r="584" spans="1:17" x14ac:dyDescent="0.35">
      <c r="A584" t="s">
        <v>865</v>
      </c>
      <c r="B584" t="s">
        <v>23</v>
      </c>
      <c r="C584" t="s">
        <v>44</v>
      </c>
      <c r="D584" t="s">
        <v>76</v>
      </c>
      <c r="E584" t="s">
        <v>32</v>
      </c>
      <c r="F584" t="s">
        <v>30</v>
      </c>
      <c r="G584" t="s">
        <v>28</v>
      </c>
      <c r="H584">
        <v>17</v>
      </c>
      <c r="I584" t="s">
        <v>33</v>
      </c>
      <c r="J584" s="2">
        <v>45617.208333333336</v>
      </c>
      <c r="K584" s="2">
        <v>45600.748377881944</v>
      </c>
      <c r="L584" s="2">
        <v>45492.609560185185</v>
      </c>
      <c r="M584" t="s">
        <v>1981</v>
      </c>
      <c r="N584" t="s">
        <v>1970</v>
      </c>
      <c r="O584" s="2">
        <v>45496.661114699076</v>
      </c>
      <c r="P584" s="2">
        <v>45503.584124363428</v>
      </c>
      <c r="Q584" s="7">
        <f t="shared" si="9"/>
        <v>6</v>
      </c>
    </row>
    <row r="585" spans="1:17" x14ac:dyDescent="0.35">
      <c r="A585" t="s">
        <v>865</v>
      </c>
      <c r="B585" t="s">
        <v>23</v>
      </c>
      <c r="C585" t="s">
        <v>44</v>
      </c>
      <c r="D585" t="s">
        <v>76</v>
      </c>
      <c r="E585" t="s">
        <v>32</v>
      </c>
      <c r="F585" t="s">
        <v>30</v>
      </c>
      <c r="G585" t="s">
        <v>28</v>
      </c>
      <c r="H585">
        <v>17</v>
      </c>
      <c r="I585" t="s">
        <v>33</v>
      </c>
      <c r="J585" s="2">
        <v>45617.208333333336</v>
      </c>
      <c r="K585" s="2">
        <v>45600.748377881944</v>
      </c>
      <c r="L585" s="2">
        <v>45492.609560185185</v>
      </c>
      <c r="M585" t="s">
        <v>1981</v>
      </c>
      <c r="N585" t="s">
        <v>1970</v>
      </c>
      <c r="O585" s="2">
        <v>45503.767637500001</v>
      </c>
      <c r="P585" s="2">
        <v>45510.564723715281</v>
      </c>
      <c r="Q585" s="7">
        <f t="shared" si="9"/>
        <v>6</v>
      </c>
    </row>
    <row r="586" spans="1:17" x14ac:dyDescent="0.35">
      <c r="A586" t="s">
        <v>865</v>
      </c>
      <c r="B586" t="s">
        <v>23</v>
      </c>
      <c r="C586" t="s">
        <v>44</v>
      </c>
      <c r="D586" t="s">
        <v>76</v>
      </c>
      <c r="E586" t="s">
        <v>32</v>
      </c>
      <c r="F586" t="s">
        <v>30</v>
      </c>
      <c r="G586" t="s">
        <v>28</v>
      </c>
      <c r="H586">
        <v>17</v>
      </c>
      <c r="I586" t="s">
        <v>33</v>
      </c>
      <c r="J586" s="2">
        <v>45617.208333333336</v>
      </c>
      <c r="K586" s="2">
        <v>45600.748377881944</v>
      </c>
      <c r="L586" s="2">
        <v>45492.609560185185</v>
      </c>
      <c r="M586" t="s">
        <v>1975</v>
      </c>
      <c r="N586" t="s">
        <v>1970</v>
      </c>
      <c r="O586" s="2">
        <v>45533.730783738429</v>
      </c>
      <c r="P586" s="2">
        <v>45533.84069315972</v>
      </c>
      <c r="Q586" s="7">
        <f t="shared" si="9"/>
        <v>1</v>
      </c>
    </row>
    <row r="587" spans="1:17" x14ac:dyDescent="0.35">
      <c r="A587" t="s">
        <v>1908</v>
      </c>
      <c r="B587" t="s">
        <v>23</v>
      </c>
      <c r="C587" t="s">
        <v>44</v>
      </c>
      <c r="D587" t="s">
        <v>76</v>
      </c>
      <c r="E587" t="s">
        <v>32</v>
      </c>
      <c r="F587" t="s">
        <v>30</v>
      </c>
      <c r="G587" t="s">
        <v>1719</v>
      </c>
      <c r="I587" t="s">
        <v>81</v>
      </c>
      <c r="J587" s="2"/>
      <c r="K587" s="2">
        <v>45636.785163877314</v>
      </c>
      <c r="L587" s="2">
        <v>45496.779270833336</v>
      </c>
      <c r="M587" t="s">
        <v>1981</v>
      </c>
      <c r="N587" t="s">
        <v>1970</v>
      </c>
      <c r="O587" s="2">
        <v>45503.769376840275</v>
      </c>
      <c r="P587" s="2">
        <v>45506.689850844909</v>
      </c>
      <c r="Q587" s="7">
        <f t="shared" si="9"/>
        <v>4</v>
      </c>
    </row>
    <row r="588" spans="1:17" x14ac:dyDescent="0.35">
      <c r="A588" t="s">
        <v>1908</v>
      </c>
      <c r="B588" t="s">
        <v>23</v>
      </c>
      <c r="C588" t="s">
        <v>44</v>
      </c>
      <c r="D588" t="s">
        <v>76</v>
      </c>
      <c r="E588" t="s">
        <v>32</v>
      </c>
      <c r="F588" t="s">
        <v>30</v>
      </c>
      <c r="G588" t="s">
        <v>1719</v>
      </c>
      <c r="I588" t="s">
        <v>81</v>
      </c>
      <c r="J588" s="2"/>
      <c r="K588" s="2">
        <v>45636.785163877314</v>
      </c>
      <c r="L588" s="2">
        <v>45496.779270833336</v>
      </c>
      <c r="M588" t="s">
        <v>1975</v>
      </c>
      <c r="N588" t="s">
        <v>1974</v>
      </c>
      <c r="O588" s="2">
        <v>45558.639559166666</v>
      </c>
      <c r="P588" s="2">
        <v>45562.633880983798</v>
      </c>
      <c r="Q588" s="7">
        <f t="shared" si="9"/>
        <v>5</v>
      </c>
    </row>
    <row r="589" spans="1:17" x14ac:dyDescent="0.35">
      <c r="A589" t="s">
        <v>837</v>
      </c>
      <c r="B589" t="s">
        <v>23</v>
      </c>
      <c r="C589" t="s">
        <v>44</v>
      </c>
      <c r="D589" t="s">
        <v>76</v>
      </c>
      <c r="E589" t="s">
        <v>48</v>
      </c>
      <c r="F589" t="s">
        <v>30</v>
      </c>
      <c r="G589" t="s">
        <v>28</v>
      </c>
      <c r="H589">
        <v>16</v>
      </c>
      <c r="I589" t="s">
        <v>81</v>
      </c>
      <c r="J589" s="2">
        <v>45701.208333333336</v>
      </c>
      <c r="K589" s="2">
        <v>45694.879341053238</v>
      </c>
      <c r="L589" s="2">
        <v>45498.641087962962</v>
      </c>
      <c r="M589" t="s">
        <v>1981</v>
      </c>
      <c r="N589" t="s">
        <v>1970</v>
      </c>
      <c r="O589" s="2">
        <v>45510.816892824078</v>
      </c>
      <c r="P589" s="2">
        <v>45520.757872268521</v>
      </c>
      <c r="Q589" s="7">
        <f t="shared" si="9"/>
        <v>9.9409794444436557</v>
      </c>
    </row>
    <row r="590" spans="1:17" x14ac:dyDescent="0.35">
      <c r="A590" t="s">
        <v>837</v>
      </c>
      <c r="B590" t="s">
        <v>23</v>
      </c>
      <c r="C590" t="s">
        <v>44</v>
      </c>
      <c r="D590" t="s">
        <v>76</v>
      </c>
      <c r="E590" t="s">
        <v>48</v>
      </c>
      <c r="F590" t="s">
        <v>30</v>
      </c>
      <c r="G590" t="s">
        <v>28</v>
      </c>
      <c r="H590">
        <v>16</v>
      </c>
      <c r="I590" t="s">
        <v>81</v>
      </c>
      <c r="J590" s="2">
        <v>45701.208333333336</v>
      </c>
      <c r="K590" s="2">
        <v>45694.879341053238</v>
      </c>
      <c r="L590" s="2">
        <v>45498.641087962962</v>
      </c>
      <c r="M590" t="s">
        <v>1981</v>
      </c>
      <c r="N590" t="s">
        <v>1970</v>
      </c>
      <c r="O590" s="2">
        <v>45524.78089199074</v>
      </c>
      <c r="P590" s="2">
        <v>45527.787667430559</v>
      </c>
      <c r="Q590" s="7">
        <f t="shared" si="9"/>
        <v>3.006775439818739</v>
      </c>
    </row>
    <row r="591" spans="1:17" x14ac:dyDescent="0.35">
      <c r="A591" t="s">
        <v>837</v>
      </c>
      <c r="B591" t="s">
        <v>23</v>
      </c>
      <c r="C591" t="s">
        <v>44</v>
      </c>
      <c r="D591" t="s">
        <v>76</v>
      </c>
      <c r="E591" t="s">
        <v>48</v>
      </c>
      <c r="F591" t="s">
        <v>30</v>
      </c>
      <c r="G591" t="s">
        <v>28</v>
      </c>
      <c r="H591">
        <v>16</v>
      </c>
      <c r="I591" t="s">
        <v>81</v>
      </c>
      <c r="J591" s="2">
        <v>45701.208333333336</v>
      </c>
      <c r="K591" s="2">
        <v>45694.879341053238</v>
      </c>
      <c r="L591" s="2">
        <v>45498.641087962962</v>
      </c>
      <c r="M591" t="s">
        <v>1981</v>
      </c>
      <c r="N591" t="s">
        <v>1970</v>
      </c>
      <c r="O591" s="2">
        <v>45531.65706208333</v>
      </c>
      <c r="P591" s="2">
        <v>45548.797428275466</v>
      </c>
      <c r="Q591" s="7">
        <f t="shared" si="9"/>
        <v>17.140366192135843</v>
      </c>
    </row>
    <row r="592" spans="1:17" x14ac:dyDescent="0.35">
      <c r="A592" t="s">
        <v>885</v>
      </c>
      <c r="B592" t="s">
        <v>23</v>
      </c>
      <c r="C592" t="s">
        <v>44</v>
      </c>
      <c r="D592" t="s">
        <v>409</v>
      </c>
      <c r="E592" t="s">
        <v>48</v>
      </c>
      <c r="F592" t="s">
        <v>30</v>
      </c>
      <c r="G592" t="s">
        <v>28</v>
      </c>
      <c r="H592">
        <v>18</v>
      </c>
      <c r="I592" t="s">
        <v>81</v>
      </c>
      <c r="J592" s="2">
        <v>45757.166666666664</v>
      </c>
      <c r="K592" s="2">
        <v>45758.600686192127</v>
      </c>
      <c r="L592" s="2">
        <v>45503.747662037036</v>
      </c>
      <c r="M592" t="s">
        <v>1981</v>
      </c>
      <c r="N592" t="s">
        <v>1970</v>
      </c>
      <c r="O592" s="2">
        <v>45510.818700821757</v>
      </c>
      <c r="P592" s="2">
        <v>45520.759178877313</v>
      </c>
      <c r="Q592" s="7">
        <f t="shared" si="9"/>
        <v>9.9404780555560137</v>
      </c>
    </row>
    <row r="593" spans="1:17" x14ac:dyDescent="0.35">
      <c r="A593" t="s">
        <v>1177</v>
      </c>
      <c r="B593" t="s">
        <v>23</v>
      </c>
      <c r="C593" t="s">
        <v>44</v>
      </c>
      <c r="D593" t="s">
        <v>54</v>
      </c>
      <c r="E593" t="s">
        <v>174</v>
      </c>
      <c r="F593" t="s">
        <v>30</v>
      </c>
      <c r="G593" t="s">
        <v>28</v>
      </c>
      <c r="I593" t="s">
        <v>33</v>
      </c>
      <c r="J593" s="2">
        <v>45628.208333333336</v>
      </c>
      <c r="K593" s="2">
        <v>45565.772803229163</v>
      </c>
      <c r="L593" s="2">
        <v>45505.590763888889</v>
      </c>
      <c r="M593" t="s">
        <v>1981</v>
      </c>
      <c r="N593" t="s">
        <v>1970</v>
      </c>
      <c r="O593" s="2">
        <v>45516.735216909721</v>
      </c>
      <c r="P593" s="2">
        <v>45540.713241493053</v>
      </c>
      <c r="Q593" s="7">
        <f t="shared" si="9"/>
        <v>19</v>
      </c>
    </row>
    <row r="594" spans="1:17" x14ac:dyDescent="0.35">
      <c r="A594" t="s">
        <v>1210</v>
      </c>
      <c r="B594" t="s">
        <v>23</v>
      </c>
      <c r="C594" t="s">
        <v>44</v>
      </c>
      <c r="D594" t="s">
        <v>409</v>
      </c>
      <c r="E594" t="s">
        <v>48</v>
      </c>
      <c r="F594" t="s">
        <v>30</v>
      </c>
      <c r="G594" t="s">
        <v>28</v>
      </c>
      <c r="I594" t="s">
        <v>81</v>
      </c>
      <c r="J594" s="2">
        <v>45777.166666666664</v>
      </c>
      <c r="K594" s="2">
        <v>45832.859897997689</v>
      </c>
      <c r="L594" s="2">
        <v>45506.88480324074</v>
      </c>
      <c r="M594" t="s">
        <v>1981</v>
      </c>
      <c r="N594" t="s">
        <v>1970</v>
      </c>
      <c r="O594" s="2">
        <v>45510.817972326389</v>
      </c>
      <c r="P594" s="2">
        <v>45520.758506469909</v>
      </c>
      <c r="Q594" s="7">
        <f t="shared" si="9"/>
        <v>9.9405341435194714</v>
      </c>
    </row>
    <row r="595" spans="1:17" x14ac:dyDescent="0.35">
      <c r="A595" t="s">
        <v>1905</v>
      </c>
      <c r="B595" t="s">
        <v>23</v>
      </c>
      <c r="C595" t="s">
        <v>44</v>
      </c>
      <c r="D595" t="s">
        <v>43</v>
      </c>
      <c r="E595" t="s">
        <v>48</v>
      </c>
      <c r="F595" t="s">
        <v>30</v>
      </c>
      <c r="G595" t="s">
        <v>1719</v>
      </c>
      <c r="I595" t="s">
        <v>33</v>
      </c>
      <c r="J595" s="2"/>
      <c r="K595" s="2">
        <v>45602.849276284724</v>
      </c>
      <c r="L595" s="2">
        <v>45509.48946759259</v>
      </c>
      <c r="M595" t="s">
        <v>1981</v>
      </c>
      <c r="N595" t="s">
        <v>1970</v>
      </c>
      <c r="O595" s="2">
        <v>45518.875537037035</v>
      </c>
      <c r="P595" s="2">
        <v>45519.858688055552</v>
      </c>
      <c r="Q595" s="7">
        <f t="shared" si="9"/>
        <v>0.98315101851767395</v>
      </c>
    </row>
    <row r="596" spans="1:17" x14ac:dyDescent="0.35">
      <c r="A596" t="s">
        <v>1924</v>
      </c>
      <c r="B596" t="s">
        <v>23</v>
      </c>
      <c r="C596" t="s">
        <v>44</v>
      </c>
      <c r="D596" t="s">
        <v>76</v>
      </c>
      <c r="E596" t="s">
        <v>48</v>
      </c>
      <c r="F596" t="s">
        <v>30</v>
      </c>
      <c r="G596" t="s">
        <v>1719</v>
      </c>
      <c r="I596" t="s">
        <v>33</v>
      </c>
      <c r="J596" s="2"/>
      <c r="K596" s="2">
        <v>45601.588344629628</v>
      </c>
      <c r="L596" s="2">
        <v>45511.721226851849</v>
      </c>
      <c r="M596" t="s">
        <v>1979</v>
      </c>
      <c r="N596" t="s">
        <v>1970</v>
      </c>
      <c r="O596" s="2">
        <v>45567.662855057868</v>
      </c>
      <c r="P596" s="2">
        <v>45572.656686527778</v>
      </c>
      <c r="Q596" s="7">
        <f t="shared" si="9"/>
        <v>4.9938314699102193</v>
      </c>
    </row>
    <row r="597" spans="1:17" x14ac:dyDescent="0.35">
      <c r="A597" t="s">
        <v>1924</v>
      </c>
      <c r="B597" t="s">
        <v>23</v>
      </c>
      <c r="C597" t="s">
        <v>44</v>
      </c>
      <c r="D597" t="s">
        <v>76</v>
      </c>
      <c r="E597" t="s">
        <v>48</v>
      </c>
      <c r="F597" t="s">
        <v>30</v>
      </c>
      <c r="G597" t="s">
        <v>1719</v>
      </c>
      <c r="I597" t="s">
        <v>33</v>
      </c>
      <c r="J597" s="2"/>
      <c r="K597" s="2">
        <v>45601.588344629628</v>
      </c>
      <c r="L597" s="2">
        <v>45511.721226851849</v>
      </c>
      <c r="M597" t="s">
        <v>1989</v>
      </c>
      <c r="N597" t="s">
        <v>1990</v>
      </c>
      <c r="O597" s="2">
        <v>45595.858742233795</v>
      </c>
      <c r="P597" s="2">
        <v>45600.733464560188</v>
      </c>
      <c r="Q597" s="7">
        <f t="shared" si="9"/>
        <v>4.8747223263926571</v>
      </c>
    </row>
    <row r="598" spans="1:17" x14ac:dyDescent="0.35">
      <c r="A598" t="s">
        <v>1156</v>
      </c>
      <c r="B598" t="s">
        <v>23</v>
      </c>
      <c r="C598" t="s">
        <v>44</v>
      </c>
      <c r="D598" t="s">
        <v>54</v>
      </c>
      <c r="E598" t="s">
        <v>174</v>
      </c>
      <c r="F598" t="s">
        <v>30</v>
      </c>
      <c r="G598" t="s">
        <v>28</v>
      </c>
      <c r="I598" t="s">
        <v>33</v>
      </c>
      <c r="J598" s="2">
        <v>45617.208333333336</v>
      </c>
      <c r="K598" s="2">
        <v>45595.732365034724</v>
      </c>
      <c r="L598" s="2">
        <v>45512.560578703706</v>
      </c>
      <c r="M598" t="s">
        <v>1980</v>
      </c>
      <c r="N598" t="s">
        <v>1970</v>
      </c>
      <c r="O598" s="2">
        <v>45540.673027013887</v>
      </c>
      <c r="P598" s="2">
        <v>45547.628295925926</v>
      </c>
      <c r="Q598" s="7">
        <f t="shared" si="9"/>
        <v>6</v>
      </c>
    </row>
    <row r="599" spans="1:17" x14ac:dyDescent="0.35">
      <c r="A599" t="s">
        <v>1625</v>
      </c>
      <c r="B599" t="s">
        <v>23</v>
      </c>
      <c r="C599" t="s">
        <v>44</v>
      </c>
      <c r="D599" t="s">
        <v>43</v>
      </c>
      <c r="E599" t="s">
        <v>174</v>
      </c>
      <c r="F599" t="s">
        <v>30</v>
      </c>
      <c r="G599" t="s">
        <v>1441</v>
      </c>
      <c r="J599" s="2">
        <v>45657.208333333336</v>
      </c>
      <c r="K599" s="2">
        <v>45594.666151620368</v>
      </c>
      <c r="L599" s="2">
        <v>45512.587939814817</v>
      </c>
      <c r="M599" t="s">
        <v>1975</v>
      </c>
      <c r="N599" t="s">
        <v>1970</v>
      </c>
      <c r="O599" s="2">
        <v>45530.791781840278</v>
      </c>
      <c r="P599" s="2">
        <v>45531.72837621528</v>
      </c>
      <c r="Q599" s="7">
        <f t="shared" si="9"/>
        <v>2</v>
      </c>
    </row>
    <row r="600" spans="1:17" x14ac:dyDescent="0.35">
      <c r="A600" t="s">
        <v>1625</v>
      </c>
      <c r="B600" t="s">
        <v>23</v>
      </c>
      <c r="C600" t="s">
        <v>44</v>
      </c>
      <c r="D600" t="s">
        <v>43</v>
      </c>
      <c r="E600" t="s">
        <v>174</v>
      </c>
      <c r="F600" t="s">
        <v>30</v>
      </c>
      <c r="G600" t="s">
        <v>1441</v>
      </c>
      <c r="J600" s="2">
        <v>45657.208333333336</v>
      </c>
      <c r="K600" s="2">
        <v>45594.666151620368</v>
      </c>
      <c r="L600" s="2">
        <v>45512.587939814817</v>
      </c>
      <c r="M600" t="s">
        <v>1980</v>
      </c>
      <c r="N600" t="s">
        <v>1987</v>
      </c>
      <c r="O600" s="2">
        <v>45540.565642824076</v>
      </c>
      <c r="P600" s="2">
        <v>45547.710495011575</v>
      </c>
      <c r="Q600" s="7">
        <f t="shared" si="9"/>
        <v>6</v>
      </c>
    </row>
    <row r="601" spans="1:17" x14ac:dyDescent="0.35">
      <c r="A601" t="s">
        <v>1169</v>
      </c>
      <c r="B601" t="s">
        <v>23</v>
      </c>
      <c r="C601" t="s">
        <v>44</v>
      </c>
      <c r="D601" t="s">
        <v>36</v>
      </c>
      <c r="E601" t="s">
        <v>48</v>
      </c>
      <c r="F601" t="s">
        <v>30</v>
      </c>
      <c r="G601" t="s">
        <v>28</v>
      </c>
      <c r="I601" t="s">
        <v>33</v>
      </c>
      <c r="J601" s="2">
        <v>45747.166666666664</v>
      </c>
      <c r="K601" s="2">
        <v>45727.744363020836</v>
      </c>
      <c r="L601" s="2">
        <v>45512.750034722223</v>
      </c>
      <c r="M601" t="s">
        <v>1980</v>
      </c>
      <c r="N601" t="s">
        <v>1970</v>
      </c>
      <c r="O601" s="2">
        <v>45586.785442453707</v>
      </c>
      <c r="P601" s="2">
        <v>45715.659054317133</v>
      </c>
      <c r="Q601" s="7">
        <f t="shared" si="9"/>
        <v>128.87361186342605</v>
      </c>
    </row>
    <row r="602" spans="1:17" x14ac:dyDescent="0.35">
      <c r="A602" t="s">
        <v>1169</v>
      </c>
      <c r="B602" t="s">
        <v>23</v>
      </c>
      <c r="C602" t="s">
        <v>44</v>
      </c>
      <c r="D602" t="s">
        <v>36</v>
      </c>
      <c r="E602" t="s">
        <v>48</v>
      </c>
      <c r="F602" t="s">
        <v>30</v>
      </c>
      <c r="G602" t="s">
        <v>28</v>
      </c>
      <c r="I602" t="s">
        <v>33</v>
      </c>
      <c r="J602" s="2">
        <v>45747.166666666664</v>
      </c>
      <c r="K602" s="2">
        <v>45727.744363020836</v>
      </c>
      <c r="L602" s="2">
        <v>45512.750034722223</v>
      </c>
      <c r="M602" t="s">
        <v>1980</v>
      </c>
      <c r="N602" t="s">
        <v>1970</v>
      </c>
      <c r="O602" s="2">
        <v>45716.580932141202</v>
      </c>
      <c r="P602" s="2">
        <v>45720.611338356481</v>
      </c>
      <c r="Q602" s="7">
        <f t="shared" si="9"/>
        <v>4.0304062152790721</v>
      </c>
    </row>
    <row r="603" spans="1:17" x14ac:dyDescent="0.35">
      <c r="A603" t="s">
        <v>1159</v>
      </c>
      <c r="B603" t="s">
        <v>23</v>
      </c>
      <c r="C603" t="s">
        <v>44</v>
      </c>
      <c r="D603" t="s">
        <v>43</v>
      </c>
      <c r="E603" t="s">
        <v>48</v>
      </c>
      <c r="F603" t="s">
        <v>30</v>
      </c>
      <c r="G603" t="s">
        <v>28</v>
      </c>
      <c r="J603" s="2">
        <v>45527.166666666664</v>
      </c>
      <c r="K603" s="2">
        <v>45530.677382106478</v>
      </c>
      <c r="L603" s="2">
        <v>45517.538090277776</v>
      </c>
      <c r="M603" t="s">
        <v>1975</v>
      </c>
      <c r="N603" t="s">
        <v>1970</v>
      </c>
      <c r="O603" s="2">
        <v>45518.536151597225</v>
      </c>
      <c r="P603" s="2">
        <v>45518.870733680553</v>
      </c>
      <c r="Q603" s="7">
        <f t="shared" si="9"/>
        <v>0.33458208332740469</v>
      </c>
    </row>
    <row r="604" spans="1:17" x14ac:dyDescent="0.35">
      <c r="A604" t="s">
        <v>1191</v>
      </c>
      <c r="B604" t="s">
        <v>23</v>
      </c>
      <c r="C604" t="s">
        <v>44</v>
      </c>
      <c r="D604" t="s">
        <v>130</v>
      </c>
      <c r="E604" t="s">
        <v>38</v>
      </c>
      <c r="F604" t="s">
        <v>30</v>
      </c>
      <c r="G604" t="s">
        <v>28</v>
      </c>
      <c r="I604" t="s">
        <v>33</v>
      </c>
      <c r="J604" s="2">
        <v>45728.166666666664</v>
      </c>
      <c r="K604" s="2">
        <v>45735.066336203701</v>
      </c>
      <c r="L604" s="2">
        <v>45524.370416666665</v>
      </c>
      <c r="M604" t="s">
        <v>1980</v>
      </c>
      <c r="N604" t="s">
        <v>1976</v>
      </c>
      <c r="O604" s="2">
        <v>45572.552045034725</v>
      </c>
      <c r="P604" s="2">
        <v>45597.654950509263</v>
      </c>
      <c r="Q604" s="7">
        <f t="shared" si="9"/>
        <v>20</v>
      </c>
    </row>
    <row r="605" spans="1:17" x14ac:dyDescent="0.35">
      <c r="A605" t="s">
        <v>1193</v>
      </c>
      <c r="B605" t="s">
        <v>23</v>
      </c>
      <c r="C605" t="s">
        <v>44</v>
      </c>
      <c r="D605" t="s">
        <v>76</v>
      </c>
      <c r="E605" t="s">
        <v>38</v>
      </c>
      <c r="F605" t="s">
        <v>30</v>
      </c>
      <c r="G605" t="s">
        <v>28</v>
      </c>
      <c r="I605" t="s">
        <v>33</v>
      </c>
      <c r="J605" s="2">
        <v>45715.208333333336</v>
      </c>
      <c r="K605" s="2">
        <v>45742.832181574071</v>
      </c>
      <c r="L605" s="2">
        <v>45525.769236111111</v>
      </c>
      <c r="M605" t="s">
        <v>1979</v>
      </c>
      <c r="N605" t="s">
        <v>1970</v>
      </c>
      <c r="O605" s="2">
        <v>45573.557157175928</v>
      </c>
      <c r="P605" s="2">
        <v>45573.571235416668</v>
      </c>
      <c r="Q605" s="7">
        <f t="shared" si="9"/>
        <v>1</v>
      </c>
    </row>
    <row r="606" spans="1:17" x14ac:dyDescent="0.35">
      <c r="A606" t="s">
        <v>604</v>
      </c>
      <c r="B606" t="s">
        <v>23</v>
      </c>
      <c r="C606" t="s">
        <v>44</v>
      </c>
      <c r="D606" t="s">
        <v>25</v>
      </c>
      <c r="E606" t="s">
        <v>32</v>
      </c>
      <c r="F606" t="s">
        <v>30</v>
      </c>
      <c r="G606" t="s">
        <v>28</v>
      </c>
      <c r="H606">
        <v>10</v>
      </c>
      <c r="I606" t="s">
        <v>81</v>
      </c>
      <c r="J606" s="2">
        <v>45772.166666666664</v>
      </c>
      <c r="K606" s="2">
        <v>45847.621017395832</v>
      </c>
      <c r="L606" s="2">
        <v>45526.692800925928</v>
      </c>
      <c r="M606" t="s">
        <v>1973</v>
      </c>
      <c r="N606" t="s">
        <v>1984</v>
      </c>
      <c r="O606" s="2">
        <v>45687.839290138887</v>
      </c>
      <c r="P606" s="2">
        <v>45688.73876310185</v>
      </c>
      <c r="Q606" s="7">
        <f t="shared" si="9"/>
        <v>2</v>
      </c>
    </row>
    <row r="607" spans="1:17" x14ac:dyDescent="0.35">
      <c r="A607" t="s">
        <v>1534</v>
      </c>
      <c r="B607" t="s">
        <v>23</v>
      </c>
      <c r="C607" t="s">
        <v>44</v>
      </c>
      <c r="D607" t="s">
        <v>76</v>
      </c>
      <c r="E607" t="s">
        <v>32</v>
      </c>
      <c r="F607" t="s">
        <v>30</v>
      </c>
      <c r="G607" t="s">
        <v>1441</v>
      </c>
      <c r="H607">
        <v>6</v>
      </c>
      <c r="I607" t="s">
        <v>33</v>
      </c>
      <c r="J607" s="2">
        <v>45687.208333333336</v>
      </c>
      <c r="K607" s="2">
        <v>45667.627466701386</v>
      </c>
      <c r="L607" s="2">
        <v>45530.698958333334</v>
      </c>
      <c r="M607" t="s">
        <v>1981</v>
      </c>
      <c r="N607" t="s">
        <v>1970</v>
      </c>
      <c r="O607" s="2">
        <v>45538.713725590278</v>
      </c>
      <c r="P607" s="2">
        <v>45548.796483923608</v>
      </c>
      <c r="Q607" s="7">
        <f t="shared" si="9"/>
        <v>9</v>
      </c>
    </row>
    <row r="608" spans="1:17" x14ac:dyDescent="0.35">
      <c r="A608" t="s">
        <v>1534</v>
      </c>
      <c r="B608" t="s">
        <v>23</v>
      </c>
      <c r="C608" t="s">
        <v>44</v>
      </c>
      <c r="D608" t="s">
        <v>76</v>
      </c>
      <c r="E608" t="s">
        <v>32</v>
      </c>
      <c r="F608" t="s">
        <v>30</v>
      </c>
      <c r="G608" t="s">
        <v>1441</v>
      </c>
      <c r="H608">
        <v>6</v>
      </c>
      <c r="I608" t="s">
        <v>33</v>
      </c>
      <c r="J608" s="2">
        <v>45687.208333333336</v>
      </c>
      <c r="K608" s="2">
        <v>45667.627466701386</v>
      </c>
      <c r="L608" s="2">
        <v>45530.698958333334</v>
      </c>
      <c r="M608" t="s">
        <v>1981</v>
      </c>
      <c r="N608" t="s">
        <v>1970</v>
      </c>
      <c r="O608" s="2">
        <v>45552.690766550928</v>
      </c>
      <c r="P608" s="2">
        <v>45555.752987939813</v>
      </c>
      <c r="Q608" s="7">
        <f t="shared" si="9"/>
        <v>4</v>
      </c>
    </row>
    <row r="609" spans="1:17" x14ac:dyDescent="0.35">
      <c r="A609" t="s">
        <v>1534</v>
      </c>
      <c r="B609" t="s">
        <v>23</v>
      </c>
      <c r="C609" t="s">
        <v>44</v>
      </c>
      <c r="D609" t="s">
        <v>76</v>
      </c>
      <c r="E609" t="s">
        <v>32</v>
      </c>
      <c r="F609" t="s">
        <v>30</v>
      </c>
      <c r="G609" t="s">
        <v>1441</v>
      </c>
      <c r="H609">
        <v>6</v>
      </c>
      <c r="I609" t="s">
        <v>33</v>
      </c>
      <c r="J609" s="2">
        <v>45687.208333333336</v>
      </c>
      <c r="K609" s="2">
        <v>45667.627466701386</v>
      </c>
      <c r="L609" s="2">
        <v>45530.698958333334</v>
      </c>
      <c r="M609" t="s">
        <v>1979</v>
      </c>
      <c r="N609" t="s">
        <v>1970</v>
      </c>
      <c r="O609" s="2">
        <v>45574.568614791664</v>
      </c>
      <c r="P609" s="2">
        <v>45574.766216539349</v>
      </c>
      <c r="Q609" s="7">
        <f t="shared" si="9"/>
        <v>1</v>
      </c>
    </row>
    <row r="610" spans="1:17" x14ac:dyDescent="0.35">
      <c r="A610" t="s">
        <v>979</v>
      </c>
      <c r="B610" t="s">
        <v>23</v>
      </c>
      <c r="C610" t="s">
        <v>44</v>
      </c>
      <c r="D610" t="s">
        <v>76</v>
      </c>
      <c r="E610" t="s">
        <v>48</v>
      </c>
      <c r="F610" t="s">
        <v>30</v>
      </c>
      <c r="G610" t="s">
        <v>28</v>
      </c>
      <c r="H610">
        <v>24</v>
      </c>
      <c r="I610" t="s">
        <v>81</v>
      </c>
      <c r="J610" s="2">
        <v>45756.166666666664</v>
      </c>
      <c r="K610" s="2">
        <v>45747.721655069443</v>
      </c>
      <c r="L610" s="2">
        <v>45532.588587962964</v>
      </c>
      <c r="M610" t="s">
        <v>1981</v>
      </c>
      <c r="N610" t="s">
        <v>1970</v>
      </c>
      <c r="O610" s="2">
        <v>45538.716674895833</v>
      </c>
      <c r="P610" s="2">
        <v>45548.79690854167</v>
      </c>
      <c r="Q610" s="7">
        <f t="shared" si="9"/>
        <v>10.080233645836415</v>
      </c>
    </row>
    <row r="611" spans="1:17" x14ac:dyDescent="0.35">
      <c r="A611" t="s">
        <v>979</v>
      </c>
      <c r="B611" t="s">
        <v>23</v>
      </c>
      <c r="C611" t="s">
        <v>44</v>
      </c>
      <c r="D611" t="s">
        <v>76</v>
      </c>
      <c r="E611" t="s">
        <v>48</v>
      </c>
      <c r="F611" t="s">
        <v>30</v>
      </c>
      <c r="G611" t="s">
        <v>28</v>
      </c>
      <c r="H611">
        <v>24</v>
      </c>
      <c r="I611" t="s">
        <v>81</v>
      </c>
      <c r="J611" s="2">
        <v>45756.166666666664</v>
      </c>
      <c r="K611" s="2">
        <v>45747.721655069443</v>
      </c>
      <c r="L611" s="2">
        <v>45532.588587962964</v>
      </c>
      <c r="M611" t="s">
        <v>1981</v>
      </c>
      <c r="N611" t="s">
        <v>1970</v>
      </c>
      <c r="O611" s="2">
        <v>45552.768119293978</v>
      </c>
      <c r="P611" s="2">
        <v>45555.750500023147</v>
      </c>
      <c r="Q611" s="7">
        <f t="shared" si="9"/>
        <v>2.9823807291686535</v>
      </c>
    </row>
    <row r="612" spans="1:17" x14ac:dyDescent="0.35">
      <c r="A612" t="s">
        <v>1195</v>
      </c>
      <c r="B612" t="s">
        <v>23</v>
      </c>
      <c r="C612" t="s">
        <v>44</v>
      </c>
      <c r="D612" t="s">
        <v>135</v>
      </c>
      <c r="E612" t="s">
        <v>32</v>
      </c>
      <c r="F612" t="s">
        <v>30</v>
      </c>
      <c r="G612" t="s">
        <v>28</v>
      </c>
      <c r="I612" t="s">
        <v>33</v>
      </c>
      <c r="J612" s="2">
        <v>45586.166666666664</v>
      </c>
      <c r="K612" s="2">
        <v>45588.123778703703</v>
      </c>
      <c r="L612" s="2">
        <v>45533.325127314813</v>
      </c>
      <c r="M612" t="s">
        <v>1979</v>
      </c>
      <c r="N612" t="s">
        <v>1970</v>
      </c>
      <c r="O612" s="2">
        <v>45547.064910277775</v>
      </c>
      <c r="P612" s="2">
        <v>45553.515316435187</v>
      </c>
      <c r="Q612" s="7">
        <f t="shared" si="9"/>
        <v>5</v>
      </c>
    </row>
    <row r="613" spans="1:17" x14ac:dyDescent="0.35">
      <c r="A613" t="s">
        <v>1180</v>
      </c>
      <c r="B613" t="s">
        <v>23</v>
      </c>
      <c r="C613" t="s">
        <v>44</v>
      </c>
      <c r="D613" t="s">
        <v>409</v>
      </c>
      <c r="E613" t="s">
        <v>32</v>
      </c>
      <c r="F613" t="s">
        <v>30</v>
      </c>
      <c r="G613" t="s">
        <v>28</v>
      </c>
      <c r="J613" s="2">
        <v>45569.166666666664</v>
      </c>
      <c r="K613" s="2">
        <v>45576.527018067129</v>
      </c>
      <c r="L613" s="2">
        <v>45537.326620370368</v>
      </c>
      <c r="M613" t="s">
        <v>1979</v>
      </c>
      <c r="N613" t="s">
        <v>1970</v>
      </c>
      <c r="O613" s="2">
        <v>45547.590707916665</v>
      </c>
      <c r="P613" s="2">
        <v>45547.77123903935</v>
      </c>
      <c r="Q613" s="7">
        <f t="shared" si="9"/>
        <v>1</v>
      </c>
    </row>
    <row r="614" spans="1:17" x14ac:dyDescent="0.35">
      <c r="A614" t="s">
        <v>276</v>
      </c>
      <c r="B614" t="s">
        <v>23</v>
      </c>
      <c r="C614" t="s">
        <v>44</v>
      </c>
      <c r="D614" t="s">
        <v>43</v>
      </c>
      <c r="E614" t="s">
        <v>38</v>
      </c>
      <c r="F614" t="s">
        <v>30</v>
      </c>
      <c r="G614" t="s">
        <v>28</v>
      </c>
      <c r="H614">
        <v>1</v>
      </c>
      <c r="J614" s="2">
        <v>45657.208333333336</v>
      </c>
      <c r="K614" s="2">
        <v>45558.617635659721</v>
      </c>
      <c r="L614" s="2">
        <v>45539.785046296296</v>
      </c>
      <c r="M614" t="s">
        <v>1980</v>
      </c>
      <c r="N614" t="s">
        <v>1970</v>
      </c>
      <c r="O614" s="2">
        <v>45545.433862303238</v>
      </c>
      <c r="P614" s="2">
        <v>45551.707561446761</v>
      </c>
      <c r="Q614" s="7">
        <f t="shared" si="9"/>
        <v>5</v>
      </c>
    </row>
    <row r="615" spans="1:17" x14ac:dyDescent="0.35">
      <c r="A615" t="s">
        <v>276</v>
      </c>
      <c r="B615" t="s">
        <v>23</v>
      </c>
      <c r="C615" t="s">
        <v>44</v>
      </c>
      <c r="D615" t="s">
        <v>43</v>
      </c>
      <c r="E615" t="s">
        <v>38</v>
      </c>
      <c r="F615" t="s">
        <v>30</v>
      </c>
      <c r="G615" t="s">
        <v>28</v>
      </c>
      <c r="H615">
        <v>1</v>
      </c>
      <c r="J615" s="2">
        <v>45657.208333333336</v>
      </c>
      <c r="K615" s="2">
        <v>45558.617635659721</v>
      </c>
      <c r="L615" s="2">
        <v>45539.785046296296</v>
      </c>
      <c r="M615" t="s">
        <v>1980</v>
      </c>
      <c r="N615" t="s">
        <v>1970</v>
      </c>
      <c r="O615" s="2">
        <v>45553.754568032411</v>
      </c>
      <c r="P615" s="2">
        <v>45555.510470486108</v>
      </c>
      <c r="Q615" s="7">
        <f t="shared" si="9"/>
        <v>3</v>
      </c>
    </row>
    <row r="616" spans="1:17" x14ac:dyDescent="0.35">
      <c r="A616" t="s">
        <v>1265</v>
      </c>
      <c r="B616" t="s">
        <v>23</v>
      </c>
      <c r="C616" t="s">
        <v>44</v>
      </c>
      <c r="D616" t="s">
        <v>76</v>
      </c>
      <c r="E616" t="s">
        <v>32</v>
      </c>
      <c r="F616" t="s">
        <v>30</v>
      </c>
      <c r="G616" t="s">
        <v>28</v>
      </c>
      <c r="I616" t="s">
        <v>81</v>
      </c>
      <c r="J616" s="2">
        <v>45715.208333333336</v>
      </c>
      <c r="K616" s="2">
        <v>45709.674272222219</v>
      </c>
      <c r="L616" s="2">
        <v>45540.549502314818</v>
      </c>
      <c r="M616" t="s">
        <v>1981</v>
      </c>
      <c r="N616" t="s">
        <v>1970</v>
      </c>
      <c r="O616" s="2">
        <v>45555.733109409724</v>
      </c>
      <c r="P616" s="2">
        <v>45601.541391701387</v>
      </c>
      <c r="Q616" s="7">
        <f t="shared" si="9"/>
        <v>33</v>
      </c>
    </row>
    <row r="617" spans="1:17" x14ac:dyDescent="0.35">
      <c r="A617" t="s">
        <v>1265</v>
      </c>
      <c r="B617" t="s">
        <v>23</v>
      </c>
      <c r="C617" t="s">
        <v>44</v>
      </c>
      <c r="D617" t="s">
        <v>76</v>
      </c>
      <c r="E617" t="s">
        <v>32</v>
      </c>
      <c r="F617" t="s">
        <v>30</v>
      </c>
      <c r="G617" t="s">
        <v>28</v>
      </c>
      <c r="I617" t="s">
        <v>81</v>
      </c>
      <c r="J617" s="2">
        <v>45715.208333333336</v>
      </c>
      <c r="K617" s="2">
        <v>45709.674272222219</v>
      </c>
      <c r="L617" s="2">
        <v>45540.549502314818</v>
      </c>
      <c r="M617" t="s">
        <v>1980</v>
      </c>
      <c r="N617" t="s">
        <v>1970</v>
      </c>
      <c r="O617" s="2">
        <v>45645.844821261577</v>
      </c>
      <c r="P617" s="2">
        <v>45660.739643831017</v>
      </c>
      <c r="Q617" s="7">
        <f t="shared" si="9"/>
        <v>12</v>
      </c>
    </row>
    <row r="618" spans="1:17" x14ac:dyDescent="0.35">
      <c r="A618" t="s">
        <v>1220</v>
      </c>
      <c r="B618" t="s">
        <v>23</v>
      </c>
      <c r="C618" t="s">
        <v>44</v>
      </c>
      <c r="D618" t="s">
        <v>76</v>
      </c>
      <c r="E618" t="s">
        <v>38</v>
      </c>
      <c r="F618" t="s">
        <v>30</v>
      </c>
      <c r="G618" t="s">
        <v>28</v>
      </c>
      <c r="I618" t="s">
        <v>33</v>
      </c>
      <c r="J618" s="2">
        <v>45716.208333333336</v>
      </c>
      <c r="K618" s="2">
        <v>45698.66295539352</v>
      </c>
      <c r="L618" s="2">
        <v>45541.648680555554</v>
      </c>
      <c r="M618" t="s">
        <v>1981</v>
      </c>
      <c r="N618" t="s">
        <v>1970</v>
      </c>
      <c r="O618" s="2">
        <v>45545.854718368057</v>
      </c>
      <c r="P618" s="2">
        <v>45566.500613101853</v>
      </c>
      <c r="Q618" s="7">
        <f t="shared" si="9"/>
        <v>16</v>
      </c>
    </row>
    <row r="619" spans="1:17" x14ac:dyDescent="0.35">
      <c r="A619" t="s">
        <v>1936</v>
      </c>
      <c r="B619" t="s">
        <v>23</v>
      </c>
      <c r="C619" t="s">
        <v>44</v>
      </c>
      <c r="D619" t="s">
        <v>76</v>
      </c>
      <c r="E619" t="s">
        <v>38</v>
      </c>
      <c r="F619" t="s">
        <v>30</v>
      </c>
      <c r="G619" t="s">
        <v>1719</v>
      </c>
      <c r="I619" t="s">
        <v>140</v>
      </c>
      <c r="J619" s="2"/>
      <c r="K619" s="2">
        <v>45608.831553194446</v>
      </c>
      <c r="L619" s="2">
        <v>45547.869305555556</v>
      </c>
      <c r="M619" t="s">
        <v>1981</v>
      </c>
      <c r="N619" t="s">
        <v>1970</v>
      </c>
      <c r="O619" s="2">
        <v>45552.782639351855</v>
      </c>
      <c r="P619" s="2">
        <v>45555.749677870372</v>
      </c>
      <c r="Q619" s="7">
        <f t="shared" si="9"/>
        <v>4</v>
      </c>
    </row>
    <row r="620" spans="1:17" x14ac:dyDescent="0.35">
      <c r="A620" t="s">
        <v>1227</v>
      </c>
      <c r="B620" t="s">
        <v>23</v>
      </c>
      <c r="C620" t="s">
        <v>44</v>
      </c>
      <c r="D620" t="s">
        <v>130</v>
      </c>
      <c r="E620" t="s">
        <v>38</v>
      </c>
      <c r="F620" t="s">
        <v>30</v>
      </c>
      <c r="G620" t="s">
        <v>28</v>
      </c>
      <c r="I620" t="s">
        <v>81</v>
      </c>
      <c r="J620" s="2">
        <v>45804.166666666664</v>
      </c>
      <c r="K620" s="2">
        <v>45810.633619178239</v>
      </c>
      <c r="L620" s="2">
        <v>45554.738819444443</v>
      </c>
      <c r="M620" t="s">
        <v>1981</v>
      </c>
      <c r="N620" t="s">
        <v>1970</v>
      </c>
      <c r="O620" s="2">
        <v>45559.712447708334</v>
      </c>
      <c r="P620" s="2">
        <v>45566.501626921294</v>
      </c>
      <c r="Q620" s="7">
        <f t="shared" si="9"/>
        <v>6</v>
      </c>
    </row>
    <row r="621" spans="1:17" x14ac:dyDescent="0.35">
      <c r="A621" t="s">
        <v>1227</v>
      </c>
      <c r="B621" t="s">
        <v>23</v>
      </c>
      <c r="C621" t="s">
        <v>44</v>
      </c>
      <c r="D621" t="s">
        <v>130</v>
      </c>
      <c r="E621" t="s">
        <v>38</v>
      </c>
      <c r="F621" t="s">
        <v>30</v>
      </c>
      <c r="G621" t="s">
        <v>28</v>
      </c>
      <c r="I621" t="s">
        <v>81</v>
      </c>
      <c r="J621" s="2">
        <v>45804.166666666664</v>
      </c>
      <c r="K621" s="2">
        <v>45810.633619178239</v>
      </c>
      <c r="L621" s="2">
        <v>45554.738819444443</v>
      </c>
      <c r="M621" t="s">
        <v>1975</v>
      </c>
      <c r="N621" t="s">
        <v>1970</v>
      </c>
      <c r="O621" s="2">
        <v>45667.717188472219</v>
      </c>
      <c r="P621" s="2">
        <v>45695.599105138892</v>
      </c>
      <c r="Q621" s="7">
        <f t="shared" si="9"/>
        <v>21</v>
      </c>
    </row>
    <row r="622" spans="1:17" x14ac:dyDescent="0.35">
      <c r="A622" t="s">
        <v>1227</v>
      </c>
      <c r="B622" t="s">
        <v>23</v>
      </c>
      <c r="C622" t="s">
        <v>44</v>
      </c>
      <c r="D622" t="s">
        <v>130</v>
      </c>
      <c r="E622" t="s">
        <v>38</v>
      </c>
      <c r="F622" t="s">
        <v>30</v>
      </c>
      <c r="G622" t="s">
        <v>28</v>
      </c>
      <c r="I622" t="s">
        <v>81</v>
      </c>
      <c r="J622" s="2">
        <v>45804.166666666664</v>
      </c>
      <c r="K622" s="2">
        <v>45810.633619178239</v>
      </c>
      <c r="L622" s="2">
        <v>45554.738819444443</v>
      </c>
      <c r="M622" t="s">
        <v>1975</v>
      </c>
      <c r="N622" t="s">
        <v>1974</v>
      </c>
      <c r="O622" s="2">
        <v>45698.732937187502</v>
      </c>
      <c r="P622" s="2">
        <v>45748.759003032406</v>
      </c>
      <c r="Q622" s="7">
        <f t="shared" si="9"/>
        <v>37</v>
      </c>
    </row>
    <row r="623" spans="1:17" x14ac:dyDescent="0.35">
      <c r="A623" t="s">
        <v>1227</v>
      </c>
      <c r="B623" t="s">
        <v>23</v>
      </c>
      <c r="C623" t="s">
        <v>44</v>
      </c>
      <c r="D623" t="s">
        <v>130</v>
      </c>
      <c r="E623" t="s">
        <v>38</v>
      </c>
      <c r="F623" t="s">
        <v>30</v>
      </c>
      <c r="G623" t="s">
        <v>28</v>
      </c>
      <c r="I623" t="s">
        <v>81</v>
      </c>
      <c r="J623" s="2">
        <v>45804.166666666664</v>
      </c>
      <c r="K623" s="2">
        <v>45810.633619178239</v>
      </c>
      <c r="L623" s="2">
        <v>45554.738819444443</v>
      </c>
      <c r="M623" t="s">
        <v>1988</v>
      </c>
      <c r="N623" t="s">
        <v>1970</v>
      </c>
      <c r="O623" s="2">
        <v>45722.815699502316</v>
      </c>
      <c r="P623" s="2">
        <v>45748.770013055553</v>
      </c>
      <c r="Q623" s="7">
        <f t="shared" si="9"/>
        <v>19</v>
      </c>
    </row>
    <row r="624" spans="1:17" x14ac:dyDescent="0.35">
      <c r="A624" t="s">
        <v>1227</v>
      </c>
      <c r="B624" t="s">
        <v>23</v>
      </c>
      <c r="C624" t="s">
        <v>44</v>
      </c>
      <c r="D624" t="s">
        <v>130</v>
      </c>
      <c r="E624" t="s">
        <v>38</v>
      </c>
      <c r="F624" t="s">
        <v>30</v>
      </c>
      <c r="G624" t="s">
        <v>28</v>
      </c>
      <c r="I624" t="s">
        <v>81</v>
      </c>
      <c r="J624" s="2">
        <v>45804.166666666664</v>
      </c>
      <c r="K624" s="2">
        <v>45810.633619178239</v>
      </c>
      <c r="L624" s="2">
        <v>45554.738819444443</v>
      </c>
      <c r="M624" t="s">
        <v>1975</v>
      </c>
      <c r="N624" t="s">
        <v>1974</v>
      </c>
      <c r="O624" s="2">
        <v>45748.773600578701</v>
      </c>
      <c r="P624" s="2">
        <v>45758.561416493052</v>
      </c>
      <c r="Q624" s="7">
        <f t="shared" si="9"/>
        <v>9</v>
      </c>
    </row>
    <row r="625" spans="1:17" x14ac:dyDescent="0.35">
      <c r="A625" t="s">
        <v>987</v>
      </c>
      <c r="B625" t="s">
        <v>23</v>
      </c>
      <c r="C625" t="s">
        <v>44</v>
      </c>
      <c r="D625" t="s">
        <v>36</v>
      </c>
      <c r="E625" t="s">
        <v>38</v>
      </c>
      <c r="F625" t="s">
        <v>30</v>
      </c>
      <c r="G625" t="s">
        <v>28</v>
      </c>
      <c r="H625">
        <v>25</v>
      </c>
      <c r="I625" t="s">
        <v>33</v>
      </c>
      <c r="J625" s="2">
        <v>45709.208333333336</v>
      </c>
      <c r="K625" s="2">
        <v>45747.668148842589</v>
      </c>
      <c r="L625" s="2">
        <v>45555.47583333333</v>
      </c>
      <c r="M625" t="s">
        <v>1977</v>
      </c>
      <c r="N625" t="s">
        <v>1970</v>
      </c>
      <c r="O625" s="2">
        <v>45573.851658449072</v>
      </c>
      <c r="P625" s="2">
        <v>45576.550382407404</v>
      </c>
      <c r="Q625" s="7">
        <f t="shared" si="9"/>
        <v>4</v>
      </c>
    </row>
    <row r="626" spans="1:17" x14ac:dyDescent="0.35">
      <c r="A626" t="s">
        <v>1233</v>
      </c>
      <c r="B626" t="s">
        <v>23</v>
      </c>
      <c r="C626" t="s">
        <v>44</v>
      </c>
      <c r="D626" t="s">
        <v>130</v>
      </c>
      <c r="E626" t="s">
        <v>38</v>
      </c>
      <c r="F626" t="s">
        <v>30</v>
      </c>
      <c r="G626" t="s">
        <v>28</v>
      </c>
      <c r="I626" t="s">
        <v>33</v>
      </c>
      <c r="J626" s="2">
        <v>45741.166666666664</v>
      </c>
      <c r="K626" s="2">
        <v>45761.66193746528</v>
      </c>
      <c r="L626" s="2">
        <v>45555.561030092591</v>
      </c>
      <c r="M626" t="s">
        <v>1981</v>
      </c>
      <c r="N626" t="s">
        <v>1970</v>
      </c>
      <c r="O626" s="2">
        <v>45559.713015671296</v>
      </c>
      <c r="P626" s="2">
        <v>45562.854019965278</v>
      </c>
      <c r="Q626" s="7">
        <f t="shared" si="9"/>
        <v>4</v>
      </c>
    </row>
    <row r="627" spans="1:17" x14ac:dyDescent="0.35">
      <c r="A627" t="s">
        <v>1233</v>
      </c>
      <c r="B627" t="s">
        <v>23</v>
      </c>
      <c r="C627" t="s">
        <v>44</v>
      </c>
      <c r="D627" t="s">
        <v>130</v>
      </c>
      <c r="E627" t="s">
        <v>38</v>
      </c>
      <c r="F627" t="s">
        <v>30</v>
      </c>
      <c r="G627" t="s">
        <v>28</v>
      </c>
      <c r="I627" t="s">
        <v>33</v>
      </c>
      <c r="J627" s="2">
        <v>45741.166666666664</v>
      </c>
      <c r="K627" s="2">
        <v>45761.66193746528</v>
      </c>
      <c r="L627" s="2">
        <v>45555.561030092591</v>
      </c>
      <c r="M627" t="s">
        <v>1979</v>
      </c>
      <c r="N627" t="s">
        <v>1970</v>
      </c>
      <c r="O627" s="2">
        <v>45597.645837534721</v>
      </c>
      <c r="P627" s="2">
        <v>45618.803250416669</v>
      </c>
      <c r="Q627" s="7">
        <f t="shared" si="9"/>
        <v>16</v>
      </c>
    </row>
    <row r="628" spans="1:17" x14ac:dyDescent="0.35">
      <c r="A628" t="s">
        <v>1237</v>
      </c>
      <c r="B628" t="s">
        <v>23</v>
      </c>
      <c r="C628" t="s">
        <v>44</v>
      </c>
      <c r="D628" t="s">
        <v>76</v>
      </c>
      <c r="E628" t="s">
        <v>38</v>
      </c>
      <c r="F628" t="s">
        <v>30</v>
      </c>
      <c r="G628" t="s">
        <v>28</v>
      </c>
      <c r="I628" t="s">
        <v>81</v>
      </c>
      <c r="J628" s="2">
        <v>45699.208333333336</v>
      </c>
      <c r="K628" s="2">
        <v>45699.601004467593</v>
      </c>
      <c r="L628" s="2">
        <v>45555.620868055557</v>
      </c>
      <c r="M628" t="s">
        <v>1981</v>
      </c>
      <c r="N628" t="s">
        <v>1970</v>
      </c>
      <c r="O628" s="2">
        <v>45559.830549050923</v>
      </c>
      <c r="P628" s="2">
        <v>45562.854829178243</v>
      </c>
      <c r="Q628" s="7">
        <f t="shared" si="9"/>
        <v>4</v>
      </c>
    </row>
    <row r="629" spans="1:17" x14ac:dyDescent="0.35">
      <c r="A629" t="s">
        <v>1237</v>
      </c>
      <c r="B629" t="s">
        <v>23</v>
      </c>
      <c r="C629" t="s">
        <v>44</v>
      </c>
      <c r="D629" t="s">
        <v>76</v>
      </c>
      <c r="E629" t="s">
        <v>38</v>
      </c>
      <c r="F629" t="s">
        <v>30</v>
      </c>
      <c r="G629" t="s">
        <v>28</v>
      </c>
      <c r="I629" t="s">
        <v>81</v>
      </c>
      <c r="J629" s="2">
        <v>45699.208333333336</v>
      </c>
      <c r="K629" s="2">
        <v>45699.601004467593</v>
      </c>
      <c r="L629" s="2">
        <v>45555.620868055557</v>
      </c>
      <c r="M629" t="s">
        <v>1979</v>
      </c>
      <c r="N629" t="s">
        <v>1970</v>
      </c>
      <c r="O629" s="2">
        <v>45628.638658645832</v>
      </c>
      <c r="P629" s="2">
        <v>45637.616264675926</v>
      </c>
      <c r="Q629" s="7">
        <f t="shared" si="9"/>
        <v>8</v>
      </c>
    </row>
    <row r="630" spans="1:17" x14ac:dyDescent="0.35">
      <c r="A630" t="s">
        <v>1237</v>
      </c>
      <c r="B630" t="s">
        <v>23</v>
      </c>
      <c r="C630" t="s">
        <v>44</v>
      </c>
      <c r="D630" t="s">
        <v>76</v>
      </c>
      <c r="E630" t="s">
        <v>38</v>
      </c>
      <c r="F630" t="s">
        <v>30</v>
      </c>
      <c r="G630" t="s">
        <v>28</v>
      </c>
      <c r="I630" t="s">
        <v>81</v>
      </c>
      <c r="J630" s="2">
        <v>45699.208333333336</v>
      </c>
      <c r="K630" s="2">
        <v>45699.601004467593</v>
      </c>
      <c r="L630" s="2">
        <v>45555.620868055557</v>
      </c>
      <c r="M630" t="s">
        <v>1982</v>
      </c>
      <c r="N630" t="s">
        <v>1970</v>
      </c>
      <c r="O630" s="2">
        <v>45638.579941851851</v>
      </c>
      <c r="P630" s="2">
        <v>45638.60842759259</v>
      </c>
      <c r="Q630" s="7">
        <f t="shared" si="9"/>
        <v>1</v>
      </c>
    </row>
    <row r="631" spans="1:17" x14ac:dyDescent="0.35">
      <c r="A631" t="s">
        <v>1237</v>
      </c>
      <c r="B631" t="s">
        <v>23</v>
      </c>
      <c r="C631" t="s">
        <v>44</v>
      </c>
      <c r="D631" t="s">
        <v>76</v>
      </c>
      <c r="E631" t="s">
        <v>38</v>
      </c>
      <c r="F631" t="s">
        <v>30</v>
      </c>
      <c r="G631" t="s">
        <v>28</v>
      </c>
      <c r="I631" t="s">
        <v>81</v>
      </c>
      <c r="J631" s="2">
        <v>45699.208333333336</v>
      </c>
      <c r="K631" s="2">
        <v>45699.601004467593</v>
      </c>
      <c r="L631" s="2">
        <v>45555.620868055557</v>
      </c>
      <c r="M631" t="s">
        <v>1977</v>
      </c>
      <c r="N631" t="s">
        <v>1970</v>
      </c>
      <c r="O631" s="2">
        <v>45639.761619675926</v>
      </c>
      <c r="P631" s="2">
        <v>45645.697201539355</v>
      </c>
      <c r="Q631" s="7">
        <f t="shared" si="9"/>
        <v>5</v>
      </c>
    </row>
    <row r="632" spans="1:17" x14ac:dyDescent="0.35">
      <c r="A632" t="s">
        <v>1237</v>
      </c>
      <c r="B632" t="s">
        <v>23</v>
      </c>
      <c r="C632" t="s">
        <v>44</v>
      </c>
      <c r="D632" t="s">
        <v>76</v>
      </c>
      <c r="E632" t="s">
        <v>38</v>
      </c>
      <c r="F632" t="s">
        <v>30</v>
      </c>
      <c r="G632" t="s">
        <v>28</v>
      </c>
      <c r="I632" t="s">
        <v>81</v>
      </c>
      <c r="J632" s="2">
        <v>45699.208333333336</v>
      </c>
      <c r="K632" s="2">
        <v>45699.601004467593</v>
      </c>
      <c r="L632" s="2">
        <v>45555.620868055557</v>
      </c>
      <c r="M632" t="s">
        <v>1975</v>
      </c>
      <c r="N632" t="s">
        <v>1970</v>
      </c>
      <c r="O632" s="2">
        <v>45645.697825081021</v>
      </c>
      <c r="P632" s="2">
        <v>45646.769693437498</v>
      </c>
      <c r="Q632" s="7">
        <f t="shared" si="9"/>
        <v>2</v>
      </c>
    </row>
    <row r="633" spans="1:17" x14ac:dyDescent="0.35">
      <c r="A633" t="s">
        <v>1237</v>
      </c>
      <c r="B633" t="s">
        <v>23</v>
      </c>
      <c r="C633" t="s">
        <v>44</v>
      </c>
      <c r="D633" t="s">
        <v>76</v>
      </c>
      <c r="E633" t="s">
        <v>38</v>
      </c>
      <c r="F633" t="s">
        <v>30</v>
      </c>
      <c r="G633" t="s">
        <v>28</v>
      </c>
      <c r="I633" t="s">
        <v>81</v>
      </c>
      <c r="J633" s="2">
        <v>45699.208333333336</v>
      </c>
      <c r="K633" s="2">
        <v>45699.601004467593</v>
      </c>
      <c r="L633" s="2">
        <v>45555.620868055557</v>
      </c>
      <c r="M633" t="s">
        <v>1975</v>
      </c>
      <c r="N633" t="s">
        <v>1970</v>
      </c>
      <c r="O633" s="2">
        <v>45665.644772731481</v>
      </c>
      <c r="P633" s="2">
        <v>45672.802055949076</v>
      </c>
      <c r="Q633" s="7">
        <f t="shared" si="9"/>
        <v>6</v>
      </c>
    </row>
    <row r="634" spans="1:17" x14ac:dyDescent="0.35">
      <c r="A634" t="s">
        <v>843</v>
      </c>
      <c r="B634" t="s">
        <v>23</v>
      </c>
      <c r="C634" t="s">
        <v>44</v>
      </c>
      <c r="D634" t="s">
        <v>76</v>
      </c>
      <c r="E634" t="s">
        <v>38</v>
      </c>
      <c r="F634" t="s">
        <v>30</v>
      </c>
      <c r="G634" t="s">
        <v>28</v>
      </c>
      <c r="H634">
        <v>16</v>
      </c>
      <c r="I634" t="s">
        <v>33</v>
      </c>
      <c r="J634" s="2">
        <v>45720.208333333336</v>
      </c>
      <c r="K634" s="2">
        <v>45679.782243402777</v>
      </c>
      <c r="L634" s="2">
        <v>45559.854490740741</v>
      </c>
      <c r="M634" t="s">
        <v>1981</v>
      </c>
      <c r="N634" t="s">
        <v>1970</v>
      </c>
      <c r="O634" s="2">
        <v>45566.831157638888</v>
      </c>
      <c r="P634" s="2">
        <v>45611.681803460648</v>
      </c>
      <c r="Q634" s="7">
        <f t="shared" si="9"/>
        <v>34</v>
      </c>
    </row>
    <row r="635" spans="1:17" x14ac:dyDescent="0.35">
      <c r="A635" t="s">
        <v>981</v>
      </c>
      <c r="B635" t="s">
        <v>23</v>
      </c>
      <c r="C635" t="s">
        <v>44</v>
      </c>
      <c r="D635" t="s">
        <v>76</v>
      </c>
      <c r="E635" t="s">
        <v>38</v>
      </c>
      <c r="F635" t="s">
        <v>30</v>
      </c>
      <c r="G635" t="s">
        <v>28</v>
      </c>
      <c r="H635">
        <v>24</v>
      </c>
      <c r="I635" t="s">
        <v>33</v>
      </c>
      <c r="J635" s="2">
        <v>45728.166666666664</v>
      </c>
      <c r="K635" s="2">
        <v>45691.681123946757</v>
      </c>
      <c r="L635" s="2">
        <v>45561.621157407404</v>
      </c>
      <c r="M635" t="s">
        <v>1981</v>
      </c>
      <c r="N635" t="s">
        <v>1970</v>
      </c>
      <c r="O635" s="2">
        <v>45566.831754212966</v>
      </c>
      <c r="P635" s="2">
        <v>45573.521577465275</v>
      </c>
      <c r="Q635" s="7">
        <f t="shared" si="9"/>
        <v>6</v>
      </c>
    </row>
    <row r="636" spans="1:17" x14ac:dyDescent="0.35">
      <c r="A636" t="s">
        <v>752</v>
      </c>
      <c r="B636" t="s">
        <v>23</v>
      </c>
      <c r="C636" t="s">
        <v>44</v>
      </c>
      <c r="D636" t="s">
        <v>36</v>
      </c>
      <c r="E636" t="s">
        <v>38</v>
      </c>
      <c r="F636" t="s">
        <v>30</v>
      </c>
      <c r="G636" t="s">
        <v>28</v>
      </c>
      <c r="H636">
        <v>13</v>
      </c>
      <c r="I636" t="s">
        <v>33</v>
      </c>
      <c r="J636" s="2">
        <v>45667.208333333336</v>
      </c>
      <c r="K636" s="2">
        <v>45632.654087326388</v>
      </c>
      <c r="L636" s="2">
        <v>45562.759444444448</v>
      </c>
      <c r="M636" t="s">
        <v>1980</v>
      </c>
      <c r="N636" t="s">
        <v>1985</v>
      </c>
      <c r="O636" s="2">
        <v>45581.716198680559</v>
      </c>
      <c r="P636" s="2">
        <v>45609.871697210649</v>
      </c>
      <c r="Q636" s="7">
        <f t="shared" si="9"/>
        <v>21</v>
      </c>
    </row>
    <row r="637" spans="1:17" x14ac:dyDescent="0.35">
      <c r="A637" t="s">
        <v>677</v>
      </c>
      <c r="B637" t="s">
        <v>23</v>
      </c>
      <c r="C637" t="s">
        <v>44</v>
      </c>
      <c r="D637" t="s">
        <v>54</v>
      </c>
      <c r="E637" t="s">
        <v>174</v>
      </c>
      <c r="F637" t="s">
        <v>30</v>
      </c>
      <c r="G637" t="s">
        <v>28</v>
      </c>
      <c r="H637">
        <v>11</v>
      </c>
      <c r="I637" t="s">
        <v>81</v>
      </c>
      <c r="J637" s="2">
        <v>45791.166666666664</v>
      </c>
      <c r="K637" s="2">
        <v>45786.666363796299</v>
      </c>
      <c r="L637" s="2">
        <v>45566.678541666668</v>
      </c>
      <c r="M637" t="s">
        <v>1981</v>
      </c>
      <c r="N637" t="s">
        <v>1978</v>
      </c>
      <c r="O637" s="2">
        <v>45567.777181192127</v>
      </c>
      <c r="P637" s="2">
        <v>45576.838050081016</v>
      </c>
      <c r="Q637" s="7">
        <f t="shared" si="9"/>
        <v>8</v>
      </c>
    </row>
    <row r="638" spans="1:17" x14ac:dyDescent="0.35">
      <c r="A638" t="s">
        <v>677</v>
      </c>
      <c r="B638" t="s">
        <v>23</v>
      </c>
      <c r="C638" t="s">
        <v>44</v>
      </c>
      <c r="D638" t="s">
        <v>54</v>
      </c>
      <c r="E638" t="s">
        <v>174</v>
      </c>
      <c r="F638" t="s">
        <v>30</v>
      </c>
      <c r="G638" t="s">
        <v>28</v>
      </c>
      <c r="H638">
        <v>11</v>
      </c>
      <c r="I638" t="s">
        <v>81</v>
      </c>
      <c r="J638" s="2">
        <v>45791.166666666664</v>
      </c>
      <c r="K638" s="2">
        <v>45786.666363796299</v>
      </c>
      <c r="L638" s="2">
        <v>45566.678541666668</v>
      </c>
      <c r="M638" t="s">
        <v>1981</v>
      </c>
      <c r="N638" t="s">
        <v>1970</v>
      </c>
      <c r="O638" s="2">
        <v>45580.758671469906</v>
      </c>
      <c r="P638" s="2">
        <v>45590.751145289352</v>
      </c>
      <c r="Q638" s="7">
        <f t="shared" si="9"/>
        <v>9</v>
      </c>
    </row>
    <row r="639" spans="1:17" x14ac:dyDescent="0.35">
      <c r="A639" t="s">
        <v>677</v>
      </c>
      <c r="B639" t="s">
        <v>23</v>
      </c>
      <c r="C639" t="s">
        <v>44</v>
      </c>
      <c r="D639" t="s">
        <v>54</v>
      </c>
      <c r="E639" t="s">
        <v>174</v>
      </c>
      <c r="F639" t="s">
        <v>30</v>
      </c>
      <c r="G639" t="s">
        <v>28</v>
      </c>
      <c r="H639">
        <v>11</v>
      </c>
      <c r="I639" t="s">
        <v>81</v>
      </c>
      <c r="J639" s="2">
        <v>45791.166666666664</v>
      </c>
      <c r="K639" s="2">
        <v>45786.666363796299</v>
      </c>
      <c r="L639" s="2">
        <v>45566.678541666668</v>
      </c>
      <c r="M639" t="s">
        <v>1979</v>
      </c>
      <c r="N639" t="s">
        <v>1970</v>
      </c>
      <c r="O639" s="2">
        <v>45695.814729027778</v>
      </c>
      <c r="P639" s="2">
        <v>45709.766121354165</v>
      </c>
      <c r="Q639" s="7">
        <f t="shared" si="9"/>
        <v>11</v>
      </c>
    </row>
    <row r="640" spans="1:17" x14ac:dyDescent="0.35">
      <c r="A640" t="s">
        <v>677</v>
      </c>
      <c r="B640" t="s">
        <v>23</v>
      </c>
      <c r="C640" t="s">
        <v>44</v>
      </c>
      <c r="D640" t="s">
        <v>54</v>
      </c>
      <c r="E640" t="s">
        <v>174</v>
      </c>
      <c r="F640" t="s">
        <v>30</v>
      </c>
      <c r="G640" t="s">
        <v>28</v>
      </c>
      <c r="H640">
        <v>11</v>
      </c>
      <c r="I640" t="s">
        <v>81</v>
      </c>
      <c r="J640" s="2">
        <v>45791.166666666664</v>
      </c>
      <c r="K640" s="2">
        <v>45786.666363796299</v>
      </c>
      <c r="L640" s="2">
        <v>45566.678541666668</v>
      </c>
      <c r="M640" t="s">
        <v>1979</v>
      </c>
      <c r="N640" t="s">
        <v>1970</v>
      </c>
      <c r="O640" s="2">
        <v>45709.95453934028</v>
      </c>
      <c r="P640" s="2">
        <v>45712.555995162038</v>
      </c>
      <c r="Q640" s="7">
        <f t="shared" si="9"/>
        <v>2</v>
      </c>
    </row>
    <row r="641" spans="1:17" x14ac:dyDescent="0.35">
      <c r="A641" t="s">
        <v>1269</v>
      </c>
      <c r="B641" t="s">
        <v>23</v>
      </c>
      <c r="C641" t="s">
        <v>44</v>
      </c>
      <c r="D641" t="s">
        <v>409</v>
      </c>
      <c r="E641" t="s">
        <v>48</v>
      </c>
      <c r="F641" t="s">
        <v>30</v>
      </c>
      <c r="G641" t="s">
        <v>28</v>
      </c>
      <c r="I641" t="s">
        <v>81</v>
      </c>
      <c r="J641" s="2">
        <v>45751.166666666664</v>
      </c>
      <c r="K641" s="2">
        <v>45833.821790312497</v>
      </c>
      <c r="L641" s="2">
        <v>45565.84233796296</v>
      </c>
      <c r="M641" t="s">
        <v>1981</v>
      </c>
      <c r="N641" t="s">
        <v>1970</v>
      </c>
      <c r="O641" s="2">
        <v>45573.839112939815</v>
      </c>
      <c r="P641" s="2">
        <v>45608.550247488427</v>
      </c>
      <c r="Q641" s="7">
        <f t="shared" si="9"/>
        <v>34.711134548611881</v>
      </c>
    </row>
    <row r="642" spans="1:17" x14ac:dyDescent="0.35">
      <c r="A642" t="s">
        <v>791</v>
      </c>
      <c r="B642" t="s">
        <v>23</v>
      </c>
      <c r="C642" t="s">
        <v>44</v>
      </c>
      <c r="D642" t="s">
        <v>76</v>
      </c>
      <c r="E642" t="s">
        <v>38</v>
      </c>
      <c r="F642" t="s">
        <v>30</v>
      </c>
      <c r="G642" t="s">
        <v>28</v>
      </c>
      <c r="H642">
        <v>14</v>
      </c>
      <c r="I642" t="s">
        <v>33</v>
      </c>
      <c r="J642" s="2">
        <v>45707.208333333336</v>
      </c>
      <c r="K642" s="2">
        <v>45730.734268819448</v>
      </c>
      <c r="L642" s="2">
        <v>45566.603738425925</v>
      </c>
      <c r="M642" t="s">
        <v>1981</v>
      </c>
      <c r="N642" t="s">
        <v>1970</v>
      </c>
      <c r="O642" s="2">
        <v>45573.837014050929</v>
      </c>
      <c r="P642" s="2">
        <v>45580.515470150465</v>
      </c>
      <c r="Q642" s="7">
        <f t="shared" si="9"/>
        <v>6</v>
      </c>
    </row>
    <row r="643" spans="1:17" x14ac:dyDescent="0.35">
      <c r="A643" t="s">
        <v>637</v>
      </c>
      <c r="B643" t="s">
        <v>23</v>
      </c>
      <c r="C643" t="s">
        <v>44</v>
      </c>
      <c r="D643" t="s">
        <v>54</v>
      </c>
      <c r="E643" t="s">
        <v>174</v>
      </c>
      <c r="F643" t="s">
        <v>30</v>
      </c>
      <c r="G643" t="s">
        <v>28</v>
      </c>
      <c r="H643">
        <v>10</v>
      </c>
      <c r="I643" t="s">
        <v>81</v>
      </c>
      <c r="J643" s="2">
        <v>45768.166666666664</v>
      </c>
      <c r="K643" s="2">
        <v>45785.564407199076</v>
      </c>
      <c r="L643" s="2">
        <v>45566.876145833332</v>
      </c>
      <c r="M643" t="s">
        <v>1981</v>
      </c>
      <c r="N643" t="s">
        <v>1978</v>
      </c>
      <c r="O643" s="2">
        <v>45567.777965694448</v>
      </c>
      <c r="P643" s="2">
        <v>45576.838099618057</v>
      </c>
      <c r="Q643" s="7">
        <f t="shared" ref="Q643:Q706" si="10">IF(OR(O643="", P643=""), "", IF(OR(E643="PW1000G", E643="PW800"), P643 - O643, NETWORKDAYS(O643, P643)))</f>
        <v>8</v>
      </c>
    </row>
    <row r="644" spans="1:17" x14ac:dyDescent="0.35">
      <c r="A644" t="s">
        <v>637</v>
      </c>
      <c r="B644" t="s">
        <v>23</v>
      </c>
      <c r="C644" t="s">
        <v>44</v>
      </c>
      <c r="D644" t="s">
        <v>54</v>
      </c>
      <c r="E644" t="s">
        <v>174</v>
      </c>
      <c r="F644" t="s">
        <v>30</v>
      </c>
      <c r="G644" t="s">
        <v>28</v>
      </c>
      <c r="H644">
        <v>10</v>
      </c>
      <c r="I644" t="s">
        <v>81</v>
      </c>
      <c r="J644" s="2">
        <v>45768.166666666664</v>
      </c>
      <c r="K644" s="2">
        <v>45785.564407199076</v>
      </c>
      <c r="L644" s="2">
        <v>45566.876145833332</v>
      </c>
      <c r="M644" t="s">
        <v>1981</v>
      </c>
      <c r="N644" t="s">
        <v>1970</v>
      </c>
      <c r="O644" s="2">
        <v>45580.75776453704</v>
      </c>
      <c r="P644" s="2">
        <v>45632.82768008102</v>
      </c>
      <c r="Q644" s="7">
        <f t="shared" si="10"/>
        <v>39</v>
      </c>
    </row>
    <row r="645" spans="1:17" x14ac:dyDescent="0.35">
      <c r="A645" t="s">
        <v>637</v>
      </c>
      <c r="B645" t="s">
        <v>23</v>
      </c>
      <c r="C645" t="s">
        <v>44</v>
      </c>
      <c r="D645" t="s">
        <v>54</v>
      </c>
      <c r="E645" t="s">
        <v>174</v>
      </c>
      <c r="F645" t="s">
        <v>30</v>
      </c>
      <c r="G645" t="s">
        <v>28</v>
      </c>
      <c r="H645">
        <v>10</v>
      </c>
      <c r="I645" t="s">
        <v>81</v>
      </c>
      <c r="J645" s="2">
        <v>45768.166666666664</v>
      </c>
      <c r="K645" s="2">
        <v>45785.564407199076</v>
      </c>
      <c r="L645" s="2">
        <v>45566.876145833332</v>
      </c>
      <c r="M645" t="s">
        <v>1981</v>
      </c>
      <c r="N645" t="s">
        <v>1970</v>
      </c>
      <c r="O645" s="2">
        <v>45636.724451574075</v>
      </c>
      <c r="P645" s="2">
        <v>45681.760096979167</v>
      </c>
      <c r="Q645" s="7">
        <f t="shared" si="10"/>
        <v>34</v>
      </c>
    </row>
    <row r="646" spans="1:17" x14ac:dyDescent="0.35">
      <c r="A646" t="s">
        <v>637</v>
      </c>
      <c r="B646" t="s">
        <v>23</v>
      </c>
      <c r="C646" t="s">
        <v>44</v>
      </c>
      <c r="D646" t="s">
        <v>54</v>
      </c>
      <c r="E646" t="s">
        <v>174</v>
      </c>
      <c r="F646" t="s">
        <v>30</v>
      </c>
      <c r="G646" t="s">
        <v>28</v>
      </c>
      <c r="H646">
        <v>10</v>
      </c>
      <c r="I646" t="s">
        <v>81</v>
      </c>
      <c r="J646" s="2">
        <v>45768.166666666664</v>
      </c>
      <c r="K646" s="2">
        <v>45785.564407199076</v>
      </c>
      <c r="L646" s="2">
        <v>45566.876145833332</v>
      </c>
      <c r="M646" t="s">
        <v>1981</v>
      </c>
      <c r="N646" t="s">
        <v>1970</v>
      </c>
      <c r="O646" s="2">
        <v>45686.580634872684</v>
      </c>
      <c r="P646" s="2">
        <v>45692.545618553238</v>
      </c>
      <c r="Q646" s="7">
        <f t="shared" si="10"/>
        <v>5</v>
      </c>
    </row>
    <row r="647" spans="1:17" x14ac:dyDescent="0.35">
      <c r="A647" t="s">
        <v>755</v>
      </c>
      <c r="B647" t="s">
        <v>23</v>
      </c>
      <c r="C647" t="s">
        <v>44</v>
      </c>
      <c r="D647" t="s">
        <v>54</v>
      </c>
      <c r="E647" t="s">
        <v>38</v>
      </c>
      <c r="F647" t="s">
        <v>30</v>
      </c>
      <c r="G647" t="s">
        <v>28</v>
      </c>
      <c r="H647">
        <v>13</v>
      </c>
      <c r="I647" t="s">
        <v>33</v>
      </c>
      <c r="J647" s="2">
        <v>45762.166666666664</v>
      </c>
      <c r="K647" s="2">
        <v>45740.730767881942</v>
      </c>
      <c r="L647" s="2">
        <v>45567.556331018517</v>
      </c>
      <c r="M647" t="s">
        <v>1977</v>
      </c>
      <c r="N647" t="s">
        <v>1970</v>
      </c>
      <c r="O647" s="2">
        <v>45588.287188101851</v>
      </c>
      <c r="P647" s="2">
        <v>45604.240387268517</v>
      </c>
      <c r="Q647" s="7">
        <f t="shared" si="10"/>
        <v>13</v>
      </c>
    </row>
    <row r="648" spans="1:17" x14ac:dyDescent="0.35">
      <c r="A648" t="s">
        <v>755</v>
      </c>
      <c r="B648" t="s">
        <v>23</v>
      </c>
      <c r="C648" t="s">
        <v>44</v>
      </c>
      <c r="D648" t="s">
        <v>54</v>
      </c>
      <c r="E648" t="s">
        <v>38</v>
      </c>
      <c r="F648" t="s">
        <v>30</v>
      </c>
      <c r="G648" t="s">
        <v>28</v>
      </c>
      <c r="H648">
        <v>13</v>
      </c>
      <c r="I648" t="s">
        <v>33</v>
      </c>
      <c r="J648" s="2">
        <v>45762.166666666664</v>
      </c>
      <c r="K648" s="2">
        <v>45740.730767881942</v>
      </c>
      <c r="L648" s="2">
        <v>45567.556331018517</v>
      </c>
      <c r="M648" t="s">
        <v>1977</v>
      </c>
      <c r="N648" t="s">
        <v>1970</v>
      </c>
      <c r="O648" s="2">
        <v>45607.421239444448</v>
      </c>
      <c r="P648" s="2">
        <v>45610.124261122684</v>
      </c>
      <c r="Q648" s="7">
        <f t="shared" si="10"/>
        <v>4</v>
      </c>
    </row>
    <row r="649" spans="1:17" x14ac:dyDescent="0.35">
      <c r="A649" t="s">
        <v>725</v>
      </c>
      <c r="B649" t="s">
        <v>23</v>
      </c>
      <c r="C649" t="s">
        <v>44</v>
      </c>
      <c r="D649" t="s">
        <v>130</v>
      </c>
      <c r="E649" t="s">
        <v>38</v>
      </c>
      <c r="F649" t="s">
        <v>30</v>
      </c>
      <c r="G649" t="s">
        <v>28</v>
      </c>
      <c r="H649">
        <v>12</v>
      </c>
      <c r="I649" t="s">
        <v>33</v>
      </c>
      <c r="J649" s="2">
        <v>45796.166666666664</v>
      </c>
      <c r="K649" s="2">
        <v>45758.858688171298</v>
      </c>
      <c r="L649" s="2">
        <v>45569.863761574074</v>
      </c>
      <c r="M649" t="s">
        <v>1981</v>
      </c>
      <c r="N649" t="s">
        <v>1970</v>
      </c>
      <c r="O649" s="2">
        <v>45576.696018310184</v>
      </c>
      <c r="P649" s="2">
        <v>45618.816614398151</v>
      </c>
      <c r="Q649" s="7">
        <f t="shared" si="10"/>
        <v>31</v>
      </c>
    </row>
    <row r="650" spans="1:17" x14ac:dyDescent="0.35">
      <c r="A650" t="s">
        <v>1201</v>
      </c>
      <c r="B650" t="s">
        <v>23</v>
      </c>
      <c r="C650" t="s">
        <v>44</v>
      </c>
      <c r="D650" t="s">
        <v>36</v>
      </c>
      <c r="E650" t="s">
        <v>48</v>
      </c>
      <c r="F650" t="s">
        <v>30</v>
      </c>
      <c r="G650" t="s">
        <v>28</v>
      </c>
      <c r="I650" t="s">
        <v>33</v>
      </c>
      <c r="J650" s="2">
        <v>45618.208333333336</v>
      </c>
      <c r="K650" s="2">
        <v>45678.635284849537</v>
      </c>
      <c r="L650" s="2">
        <v>45568.624722222223</v>
      </c>
      <c r="M650" t="s">
        <v>1980</v>
      </c>
      <c r="N650" t="s">
        <v>1976</v>
      </c>
      <c r="O650" s="2">
        <v>45607.887076805557</v>
      </c>
      <c r="P650" s="2">
        <v>45643.881666516201</v>
      </c>
      <c r="Q650" s="7">
        <f t="shared" si="10"/>
        <v>35.994589710644505</v>
      </c>
    </row>
    <row r="651" spans="1:17" x14ac:dyDescent="0.35">
      <c r="A651" t="s">
        <v>1283</v>
      </c>
      <c r="B651" t="s">
        <v>23</v>
      </c>
      <c r="C651" t="s">
        <v>44</v>
      </c>
      <c r="D651" t="s">
        <v>409</v>
      </c>
      <c r="E651" t="s">
        <v>38</v>
      </c>
      <c r="F651" t="s">
        <v>30</v>
      </c>
      <c r="G651" t="s">
        <v>28</v>
      </c>
      <c r="I651" t="s">
        <v>81</v>
      </c>
      <c r="J651" s="2">
        <v>45856.166666666664</v>
      </c>
      <c r="K651" s="2">
        <v>45825.842340868054</v>
      </c>
      <c r="L651" s="2">
        <v>45572.754363425927</v>
      </c>
      <c r="M651" t="s">
        <v>1981</v>
      </c>
      <c r="N651" t="s">
        <v>1970</v>
      </c>
      <c r="O651" s="2">
        <v>45573.837842013891</v>
      </c>
      <c r="P651" s="2">
        <v>45597.651282881947</v>
      </c>
      <c r="Q651" s="7">
        <f t="shared" si="10"/>
        <v>19</v>
      </c>
    </row>
    <row r="652" spans="1:17" x14ac:dyDescent="0.35">
      <c r="A652" t="s">
        <v>1283</v>
      </c>
      <c r="B652" t="s">
        <v>23</v>
      </c>
      <c r="C652" t="s">
        <v>44</v>
      </c>
      <c r="D652" t="s">
        <v>409</v>
      </c>
      <c r="E652" t="s">
        <v>38</v>
      </c>
      <c r="F652" t="s">
        <v>30</v>
      </c>
      <c r="G652" t="s">
        <v>28</v>
      </c>
      <c r="I652" t="s">
        <v>81</v>
      </c>
      <c r="J652" s="2">
        <v>45856.166666666664</v>
      </c>
      <c r="K652" s="2">
        <v>45825.842340868054</v>
      </c>
      <c r="L652" s="2">
        <v>45572.754363425927</v>
      </c>
      <c r="M652" t="s">
        <v>1982</v>
      </c>
      <c r="N652" t="s">
        <v>1970</v>
      </c>
      <c r="O652" s="2">
        <v>45695.81372849537</v>
      </c>
      <c r="P652" s="2">
        <v>45715.547972604167</v>
      </c>
      <c r="Q652" s="7">
        <f t="shared" si="10"/>
        <v>15</v>
      </c>
    </row>
    <row r="653" spans="1:17" x14ac:dyDescent="0.35">
      <c r="A653" t="s">
        <v>1283</v>
      </c>
      <c r="B653" t="s">
        <v>23</v>
      </c>
      <c r="C653" t="s">
        <v>44</v>
      </c>
      <c r="D653" t="s">
        <v>409</v>
      </c>
      <c r="E653" t="s">
        <v>38</v>
      </c>
      <c r="F653" t="s">
        <v>30</v>
      </c>
      <c r="G653" t="s">
        <v>28</v>
      </c>
      <c r="I653" t="s">
        <v>81</v>
      </c>
      <c r="J653" s="2">
        <v>45856.166666666664</v>
      </c>
      <c r="K653" s="2">
        <v>45825.842340868054</v>
      </c>
      <c r="L653" s="2">
        <v>45572.754363425927</v>
      </c>
      <c r="M653" t="s">
        <v>1980</v>
      </c>
      <c r="N653" t="s">
        <v>1983</v>
      </c>
      <c r="O653" s="2">
        <v>45778.818220104164</v>
      </c>
      <c r="P653" s="2">
        <v>45782.541487858798</v>
      </c>
      <c r="Q653" s="7">
        <f t="shared" si="10"/>
        <v>3</v>
      </c>
    </row>
    <row r="654" spans="1:17" x14ac:dyDescent="0.35">
      <c r="A654" t="s">
        <v>614</v>
      </c>
      <c r="B654" t="s">
        <v>23</v>
      </c>
      <c r="C654" t="s">
        <v>44</v>
      </c>
      <c r="D654" t="s">
        <v>76</v>
      </c>
      <c r="E654" t="s">
        <v>174</v>
      </c>
      <c r="F654" t="s">
        <v>30</v>
      </c>
      <c r="G654" t="s">
        <v>28</v>
      </c>
      <c r="H654">
        <v>10</v>
      </c>
      <c r="I654" t="s">
        <v>33</v>
      </c>
      <c r="J654" s="2">
        <v>45680.208333333336</v>
      </c>
      <c r="K654" s="2">
        <v>45636.838017731483</v>
      </c>
      <c r="L654" s="2">
        <v>45573.51021990741</v>
      </c>
      <c r="M654" t="s">
        <v>1981</v>
      </c>
      <c r="N654" t="s">
        <v>1978</v>
      </c>
      <c r="O654" s="2">
        <v>45573.7013356713</v>
      </c>
      <c r="P654" s="2">
        <v>45576.785883067132</v>
      </c>
      <c r="Q654" s="7">
        <f t="shared" si="10"/>
        <v>4</v>
      </c>
    </row>
    <row r="655" spans="1:17" x14ac:dyDescent="0.35">
      <c r="A655" t="s">
        <v>1247</v>
      </c>
      <c r="B655" t="s">
        <v>23</v>
      </c>
      <c r="C655" t="s">
        <v>44</v>
      </c>
      <c r="D655" t="s">
        <v>76</v>
      </c>
      <c r="E655" t="s">
        <v>48</v>
      </c>
      <c r="F655" t="s">
        <v>30</v>
      </c>
      <c r="G655" t="s">
        <v>28</v>
      </c>
      <c r="I655" t="s">
        <v>33</v>
      </c>
      <c r="J655" s="2">
        <v>45707.208333333336</v>
      </c>
      <c r="K655" s="2">
        <v>45707.793843460648</v>
      </c>
      <c r="L655" s="2">
        <v>45573.612083333333</v>
      </c>
      <c r="M655" t="s">
        <v>1989</v>
      </c>
      <c r="N655" t="s">
        <v>1990</v>
      </c>
      <c r="O655" s="2">
        <v>45701.811101516207</v>
      </c>
      <c r="P655" s="2">
        <v>45707.652875949076</v>
      </c>
      <c r="Q655" s="7">
        <f t="shared" si="10"/>
        <v>5.8417744328689878</v>
      </c>
    </row>
    <row r="656" spans="1:17" x14ac:dyDescent="0.35">
      <c r="A656" t="s">
        <v>789</v>
      </c>
      <c r="B656" t="s">
        <v>23</v>
      </c>
      <c r="C656" t="s">
        <v>44</v>
      </c>
      <c r="D656" t="s">
        <v>461</v>
      </c>
      <c r="E656" t="s">
        <v>48</v>
      </c>
      <c r="F656" t="s">
        <v>30</v>
      </c>
      <c r="G656" t="s">
        <v>28</v>
      </c>
      <c r="H656">
        <v>14</v>
      </c>
      <c r="I656" t="s">
        <v>33</v>
      </c>
      <c r="J656" s="2">
        <v>45587.166666666664</v>
      </c>
      <c r="K656" s="2">
        <v>45615.807708229164</v>
      </c>
      <c r="L656" s="2">
        <v>45576.837604166663</v>
      </c>
      <c r="M656" t="s">
        <v>1980</v>
      </c>
      <c r="N656" t="s">
        <v>1970</v>
      </c>
      <c r="O656" s="2">
        <v>45581.66302886574</v>
      </c>
      <c r="P656" s="2">
        <v>45581.889861805554</v>
      </c>
      <c r="Q656" s="7">
        <f t="shared" si="10"/>
        <v>0.22683293981390307</v>
      </c>
    </row>
    <row r="657" spans="1:17" x14ac:dyDescent="0.35">
      <c r="A657" t="s">
        <v>669</v>
      </c>
      <c r="B657" t="s">
        <v>23</v>
      </c>
      <c r="C657" t="s">
        <v>44</v>
      </c>
      <c r="D657" t="s">
        <v>130</v>
      </c>
      <c r="E657" t="s">
        <v>38</v>
      </c>
      <c r="F657" t="s">
        <v>30</v>
      </c>
      <c r="G657" t="s">
        <v>28</v>
      </c>
      <c r="H657">
        <v>11</v>
      </c>
      <c r="I657" t="s">
        <v>81</v>
      </c>
      <c r="J657" s="2">
        <v>45778.166666666664</v>
      </c>
      <c r="K657" s="2">
        <v>45747.69961822917</v>
      </c>
      <c r="L657" s="2">
        <v>45575.638703703706</v>
      </c>
      <c r="M657" t="s">
        <v>1979</v>
      </c>
      <c r="N657" t="s">
        <v>1970</v>
      </c>
      <c r="O657" s="2">
        <v>45614.950439548615</v>
      </c>
      <c r="P657" s="2">
        <v>45688.837494305553</v>
      </c>
      <c r="Q657" s="7">
        <f t="shared" si="10"/>
        <v>55</v>
      </c>
    </row>
    <row r="658" spans="1:17" x14ac:dyDescent="0.35">
      <c r="A658" t="s">
        <v>1285</v>
      </c>
      <c r="B658" t="s">
        <v>23</v>
      </c>
      <c r="C658" t="s">
        <v>44</v>
      </c>
      <c r="D658" t="s">
        <v>76</v>
      </c>
      <c r="E658" t="s">
        <v>38</v>
      </c>
      <c r="F658" t="s">
        <v>30</v>
      </c>
      <c r="G658" t="s">
        <v>28</v>
      </c>
      <c r="I658" t="s">
        <v>81</v>
      </c>
      <c r="J658" s="2">
        <v>45764.166666666664</v>
      </c>
      <c r="K658" s="2">
        <v>45741.775690949071</v>
      </c>
      <c r="L658" s="2">
        <v>45582.740914351853</v>
      </c>
      <c r="M658" t="s">
        <v>1981</v>
      </c>
      <c r="N658" t="s">
        <v>1970</v>
      </c>
      <c r="O658" s="2">
        <v>45587.647339780095</v>
      </c>
      <c r="P658" s="2">
        <v>45608.551080520832</v>
      </c>
      <c r="Q658" s="7">
        <f t="shared" si="10"/>
        <v>16</v>
      </c>
    </row>
    <row r="659" spans="1:17" x14ac:dyDescent="0.35">
      <c r="A659" t="s">
        <v>1285</v>
      </c>
      <c r="B659" t="s">
        <v>23</v>
      </c>
      <c r="C659" t="s">
        <v>44</v>
      </c>
      <c r="D659" t="s">
        <v>76</v>
      </c>
      <c r="E659" t="s">
        <v>38</v>
      </c>
      <c r="F659" t="s">
        <v>30</v>
      </c>
      <c r="G659" t="s">
        <v>28</v>
      </c>
      <c r="I659" t="s">
        <v>81</v>
      </c>
      <c r="J659" s="2">
        <v>45764.166666666664</v>
      </c>
      <c r="K659" s="2">
        <v>45741.775690949071</v>
      </c>
      <c r="L659" s="2">
        <v>45582.740914351853</v>
      </c>
      <c r="M659" t="s">
        <v>1979</v>
      </c>
      <c r="N659" t="s">
        <v>1970</v>
      </c>
      <c r="O659" s="2">
        <v>45665.796164386571</v>
      </c>
      <c r="P659" s="2">
        <v>45714.551507696757</v>
      </c>
      <c r="Q659" s="7">
        <f t="shared" si="10"/>
        <v>36</v>
      </c>
    </row>
    <row r="660" spans="1:17" x14ac:dyDescent="0.35">
      <c r="A660" t="s">
        <v>809</v>
      </c>
      <c r="B660" t="s">
        <v>23</v>
      </c>
      <c r="C660" t="s">
        <v>44</v>
      </c>
      <c r="D660" t="s">
        <v>54</v>
      </c>
      <c r="E660" t="s">
        <v>38</v>
      </c>
      <c r="F660" t="s">
        <v>30</v>
      </c>
      <c r="G660" t="s">
        <v>28</v>
      </c>
      <c r="H660">
        <v>15</v>
      </c>
      <c r="I660" t="s">
        <v>33</v>
      </c>
      <c r="J660" s="2">
        <v>45757.166666666664</v>
      </c>
      <c r="K660" s="2">
        <v>45609.782689733795</v>
      </c>
      <c r="L660" s="2">
        <v>45583.476875</v>
      </c>
      <c r="M660" t="s">
        <v>1981</v>
      </c>
      <c r="N660" t="s">
        <v>1970</v>
      </c>
      <c r="O660" s="2">
        <v>45587.799280706022</v>
      </c>
      <c r="P660" s="2">
        <v>45590.664671701386</v>
      </c>
      <c r="Q660" s="7">
        <f t="shared" si="10"/>
        <v>4</v>
      </c>
    </row>
    <row r="661" spans="1:17" x14ac:dyDescent="0.35">
      <c r="A661" t="s">
        <v>1224</v>
      </c>
      <c r="B661" t="s">
        <v>23</v>
      </c>
      <c r="C661" t="s">
        <v>44</v>
      </c>
      <c r="D661" t="s">
        <v>135</v>
      </c>
      <c r="E661" t="s">
        <v>32</v>
      </c>
      <c r="F661" t="s">
        <v>30</v>
      </c>
      <c r="G661" t="s">
        <v>28</v>
      </c>
      <c r="I661" t="s">
        <v>33</v>
      </c>
      <c r="J661" s="2">
        <v>45750.166666666664</v>
      </c>
      <c r="K661" s="2">
        <v>45741.094628090279</v>
      </c>
      <c r="L661" s="2">
        <v>45583.557673611111</v>
      </c>
      <c r="M661" t="s">
        <v>1979</v>
      </c>
      <c r="N661" t="s">
        <v>1970</v>
      </c>
      <c r="O661" s="2">
        <v>45601.844997326392</v>
      </c>
      <c r="P661" s="2">
        <v>45664.836497268516</v>
      </c>
      <c r="Q661" s="7">
        <f t="shared" si="10"/>
        <v>46</v>
      </c>
    </row>
    <row r="662" spans="1:17" x14ac:dyDescent="0.35">
      <c r="A662" t="s">
        <v>1224</v>
      </c>
      <c r="B662" t="s">
        <v>23</v>
      </c>
      <c r="C662" t="s">
        <v>44</v>
      </c>
      <c r="D662" t="s">
        <v>135</v>
      </c>
      <c r="E662" t="s">
        <v>32</v>
      </c>
      <c r="F662" t="s">
        <v>30</v>
      </c>
      <c r="G662" t="s">
        <v>28</v>
      </c>
      <c r="I662" t="s">
        <v>33</v>
      </c>
      <c r="J662" s="2">
        <v>45750.166666666664</v>
      </c>
      <c r="K662" s="2">
        <v>45741.094628090279</v>
      </c>
      <c r="L662" s="2">
        <v>45583.557673611111</v>
      </c>
      <c r="M662" t="s">
        <v>1988</v>
      </c>
      <c r="N662" t="s">
        <v>1984</v>
      </c>
      <c r="O662" s="2">
        <v>45705.582985428242</v>
      </c>
      <c r="P662" s="2">
        <v>45709.800610208331</v>
      </c>
      <c r="Q662" s="7">
        <f t="shared" si="10"/>
        <v>5</v>
      </c>
    </row>
    <row r="663" spans="1:17" x14ac:dyDescent="0.35">
      <c r="A663" t="s">
        <v>1016</v>
      </c>
      <c r="B663" t="s">
        <v>23</v>
      </c>
      <c r="C663" t="s">
        <v>44</v>
      </c>
      <c r="D663" t="s">
        <v>36</v>
      </c>
      <c r="E663" t="s">
        <v>38</v>
      </c>
      <c r="F663" t="s">
        <v>30</v>
      </c>
      <c r="G663" t="s">
        <v>28</v>
      </c>
      <c r="H663">
        <v>28</v>
      </c>
      <c r="J663" s="2">
        <v>45625.208333333336</v>
      </c>
      <c r="K663" s="2">
        <v>45825.514416493053</v>
      </c>
      <c r="L663" s="2">
        <v>45586.706365740742</v>
      </c>
      <c r="M663" t="s">
        <v>1975</v>
      </c>
      <c r="N663" t="s">
        <v>1974</v>
      </c>
      <c r="O663" s="2">
        <v>45600.634916817129</v>
      </c>
      <c r="P663" s="2">
        <v>45609.554046087964</v>
      </c>
      <c r="Q663" s="7">
        <f t="shared" si="10"/>
        <v>8</v>
      </c>
    </row>
    <row r="664" spans="1:17" x14ac:dyDescent="0.35">
      <c r="A664" t="s">
        <v>1261</v>
      </c>
      <c r="B664" t="s">
        <v>23</v>
      </c>
      <c r="C664" t="s">
        <v>44</v>
      </c>
      <c r="D664" t="s">
        <v>76</v>
      </c>
      <c r="E664" t="s">
        <v>38</v>
      </c>
      <c r="F664" t="s">
        <v>30</v>
      </c>
      <c r="G664" t="s">
        <v>28</v>
      </c>
      <c r="I664" t="s">
        <v>33</v>
      </c>
      <c r="J664" s="2">
        <v>45701.208333333336</v>
      </c>
      <c r="K664" s="2">
        <v>45692.880762129629</v>
      </c>
      <c r="L664" s="2">
        <v>45587.549189814818</v>
      </c>
      <c r="M664" t="s">
        <v>1981</v>
      </c>
      <c r="N664" t="s">
        <v>1970</v>
      </c>
      <c r="O664" s="2">
        <v>45587.649882962964</v>
      </c>
      <c r="P664" s="2">
        <v>45594.505487858798</v>
      </c>
      <c r="Q664" s="7">
        <f t="shared" si="10"/>
        <v>6</v>
      </c>
    </row>
    <row r="665" spans="1:17" x14ac:dyDescent="0.35">
      <c r="A665" t="s">
        <v>767</v>
      </c>
      <c r="B665" t="s">
        <v>23</v>
      </c>
      <c r="C665" t="s">
        <v>44</v>
      </c>
      <c r="D665" t="s">
        <v>409</v>
      </c>
      <c r="E665" t="s">
        <v>38</v>
      </c>
      <c r="F665" t="s">
        <v>30</v>
      </c>
      <c r="G665" t="s">
        <v>28</v>
      </c>
      <c r="H665">
        <v>13</v>
      </c>
      <c r="I665" t="s">
        <v>33</v>
      </c>
      <c r="J665" s="2">
        <v>45790.166666666664</v>
      </c>
      <c r="K665" s="2">
        <v>45757.844470995369</v>
      </c>
      <c r="L665" s="2">
        <v>45588.571909722225</v>
      </c>
      <c r="M665" t="s">
        <v>1981</v>
      </c>
      <c r="N665" t="s">
        <v>1970</v>
      </c>
      <c r="O665" s="2">
        <v>45594.699029351854</v>
      </c>
      <c r="P665" s="2">
        <v>45632.828194108799</v>
      </c>
      <c r="Q665" s="7">
        <f t="shared" si="10"/>
        <v>29</v>
      </c>
    </row>
    <row r="666" spans="1:17" x14ac:dyDescent="0.35">
      <c r="A666" t="s">
        <v>989</v>
      </c>
      <c r="B666" t="s">
        <v>23</v>
      </c>
      <c r="C666" t="s">
        <v>44</v>
      </c>
      <c r="D666" t="s">
        <v>409</v>
      </c>
      <c r="E666" t="s">
        <v>38</v>
      </c>
      <c r="F666" t="s">
        <v>30</v>
      </c>
      <c r="G666" t="s">
        <v>28</v>
      </c>
      <c r="H666">
        <v>25</v>
      </c>
      <c r="I666" t="s">
        <v>33</v>
      </c>
      <c r="J666" s="2">
        <v>45735.166666666664</v>
      </c>
      <c r="K666" s="2">
        <v>45768.78450559028</v>
      </c>
      <c r="L666" s="2">
        <v>45588.617268518516</v>
      </c>
      <c r="M666" t="s">
        <v>1981</v>
      </c>
      <c r="N666" t="s">
        <v>1970</v>
      </c>
      <c r="O666" s="2">
        <v>45594.699620520834</v>
      </c>
      <c r="P666" s="2">
        <v>45611.680416111114</v>
      </c>
      <c r="Q666" s="7">
        <f t="shared" si="10"/>
        <v>14</v>
      </c>
    </row>
    <row r="667" spans="1:17" x14ac:dyDescent="0.35">
      <c r="A667" t="s">
        <v>989</v>
      </c>
      <c r="B667" t="s">
        <v>23</v>
      </c>
      <c r="C667" t="s">
        <v>44</v>
      </c>
      <c r="D667" t="s">
        <v>409</v>
      </c>
      <c r="E667" t="s">
        <v>38</v>
      </c>
      <c r="F667" t="s">
        <v>30</v>
      </c>
      <c r="G667" t="s">
        <v>28</v>
      </c>
      <c r="H667">
        <v>25</v>
      </c>
      <c r="I667" t="s">
        <v>33</v>
      </c>
      <c r="J667" s="2">
        <v>45735.166666666664</v>
      </c>
      <c r="K667" s="2">
        <v>45768.78450559028</v>
      </c>
      <c r="L667" s="2">
        <v>45588.617268518516</v>
      </c>
      <c r="M667" t="s">
        <v>1981</v>
      </c>
      <c r="N667" t="s">
        <v>1970</v>
      </c>
      <c r="O667" s="2">
        <v>45615.770483113425</v>
      </c>
      <c r="P667" s="2">
        <v>45632.829366655089</v>
      </c>
      <c r="Q667" s="7">
        <f t="shared" si="10"/>
        <v>14</v>
      </c>
    </row>
    <row r="668" spans="1:17" x14ac:dyDescent="0.35">
      <c r="A668" t="s">
        <v>989</v>
      </c>
      <c r="B668" t="s">
        <v>23</v>
      </c>
      <c r="C668" t="s">
        <v>44</v>
      </c>
      <c r="D668" t="s">
        <v>409</v>
      </c>
      <c r="E668" t="s">
        <v>38</v>
      </c>
      <c r="F668" t="s">
        <v>30</v>
      </c>
      <c r="G668" t="s">
        <v>28</v>
      </c>
      <c r="H668">
        <v>25</v>
      </c>
      <c r="I668" t="s">
        <v>33</v>
      </c>
      <c r="J668" s="2">
        <v>45735.166666666664</v>
      </c>
      <c r="K668" s="2">
        <v>45768.78450559028</v>
      </c>
      <c r="L668" s="2">
        <v>45588.617268518516</v>
      </c>
      <c r="M668" t="s">
        <v>1979</v>
      </c>
      <c r="N668" t="s">
        <v>1970</v>
      </c>
      <c r="O668" s="2">
        <v>45666.768864768521</v>
      </c>
      <c r="P668" s="2">
        <v>45667.884724074072</v>
      </c>
      <c r="Q668" s="7">
        <f t="shared" si="10"/>
        <v>2</v>
      </c>
    </row>
    <row r="669" spans="1:17" x14ac:dyDescent="0.35">
      <c r="A669" t="s">
        <v>889</v>
      </c>
      <c r="B669" t="s">
        <v>23</v>
      </c>
      <c r="C669" t="s">
        <v>44</v>
      </c>
      <c r="D669" t="s">
        <v>130</v>
      </c>
      <c r="E669" t="s">
        <v>48</v>
      </c>
      <c r="F669" t="s">
        <v>30</v>
      </c>
      <c r="G669" t="s">
        <v>28</v>
      </c>
      <c r="H669">
        <v>18</v>
      </c>
      <c r="I669" t="s">
        <v>81</v>
      </c>
      <c r="J669" s="2">
        <v>45700.208333333336</v>
      </c>
      <c r="K669" s="2">
        <v>45807.548437812497</v>
      </c>
      <c r="L669" s="2">
        <v>45588.691331018519</v>
      </c>
      <c r="M669" t="s">
        <v>1981</v>
      </c>
      <c r="N669" t="s">
        <v>1970</v>
      </c>
      <c r="O669" s="2">
        <v>45594.701304722221</v>
      </c>
      <c r="P669" s="2">
        <v>45604.618496261573</v>
      </c>
      <c r="Q669" s="7">
        <f t="shared" si="10"/>
        <v>9.9171915393526433</v>
      </c>
    </row>
    <row r="670" spans="1:17" x14ac:dyDescent="0.35">
      <c r="A670" t="s">
        <v>1235</v>
      </c>
      <c r="B670" t="s">
        <v>23</v>
      </c>
      <c r="C670" t="s">
        <v>44</v>
      </c>
      <c r="D670" t="s">
        <v>135</v>
      </c>
      <c r="E670" t="s">
        <v>32</v>
      </c>
      <c r="F670" t="s">
        <v>30</v>
      </c>
      <c r="G670" t="s">
        <v>28</v>
      </c>
      <c r="I670" t="s">
        <v>33</v>
      </c>
      <c r="J670" s="2">
        <v>45744.166666666664</v>
      </c>
      <c r="K670" s="2">
        <v>45763.596988530095</v>
      </c>
      <c r="L670" s="2">
        <v>45589.584837962961</v>
      </c>
      <c r="M670" t="s">
        <v>1979</v>
      </c>
      <c r="N670" t="s">
        <v>1970</v>
      </c>
      <c r="O670" s="2">
        <v>45602.754201932868</v>
      </c>
      <c r="P670" s="2">
        <v>45687.669971006944</v>
      </c>
      <c r="Q670" s="7">
        <f t="shared" si="10"/>
        <v>62</v>
      </c>
    </row>
    <row r="671" spans="1:17" x14ac:dyDescent="0.35">
      <c r="A671" t="s">
        <v>1235</v>
      </c>
      <c r="B671" t="s">
        <v>23</v>
      </c>
      <c r="C671" t="s">
        <v>44</v>
      </c>
      <c r="D671" t="s">
        <v>135</v>
      </c>
      <c r="E671" t="s">
        <v>32</v>
      </c>
      <c r="F671" t="s">
        <v>30</v>
      </c>
      <c r="G671" t="s">
        <v>28</v>
      </c>
      <c r="I671" t="s">
        <v>33</v>
      </c>
      <c r="J671" s="2">
        <v>45744.166666666664</v>
      </c>
      <c r="K671" s="2">
        <v>45763.596988530095</v>
      </c>
      <c r="L671" s="2">
        <v>45589.584837962961</v>
      </c>
      <c r="M671" t="s">
        <v>1979</v>
      </c>
      <c r="N671" t="s">
        <v>1970</v>
      </c>
      <c r="O671" s="2">
        <v>45688.601596597226</v>
      </c>
      <c r="P671" s="2">
        <v>45692.550352337959</v>
      </c>
      <c r="Q671" s="7">
        <f t="shared" si="10"/>
        <v>3</v>
      </c>
    </row>
    <row r="672" spans="1:17" x14ac:dyDescent="0.35">
      <c r="A672" t="s">
        <v>1235</v>
      </c>
      <c r="B672" t="s">
        <v>23</v>
      </c>
      <c r="C672" t="s">
        <v>44</v>
      </c>
      <c r="D672" t="s">
        <v>135</v>
      </c>
      <c r="E672" t="s">
        <v>32</v>
      </c>
      <c r="F672" t="s">
        <v>30</v>
      </c>
      <c r="G672" t="s">
        <v>28</v>
      </c>
      <c r="I672" t="s">
        <v>33</v>
      </c>
      <c r="J672" s="2">
        <v>45744.166666666664</v>
      </c>
      <c r="K672" s="2">
        <v>45763.596988530095</v>
      </c>
      <c r="L672" s="2">
        <v>45589.584837962961</v>
      </c>
      <c r="M672" t="s">
        <v>1980</v>
      </c>
      <c r="N672" t="s">
        <v>1970</v>
      </c>
      <c r="O672" s="2">
        <v>45692.703937754632</v>
      </c>
      <c r="P672" s="2">
        <v>45694.757360601849</v>
      </c>
      <c r="Q672" s="7">
        <f t="shared" si="10"/>
        <v>3</v>
      </c>
    </row>
    <row r="673" spans="1:17" x14ac:dyDescent="0.35">
      <c r="A673" t="s">
        <v>1287</v>
      </c>
      <c r="B673" t="s">
        <v>23</v>
      </c>
      <c r="C673" t="s">
        <v>44</v>
      </c>
      <c r="D673" t="s">
        <v>130</v>
      </c>
      <c r="E673" t="s">
        <v>38</v>
      </c>
      <c r="F673" t="s">
        <v>30</v>
      </c>
      <c r="G673" t="s">
        <v>28</v>
      </c>
      <c r="I673" t="s">
        <v>33</v>
      </c>
      <c r="J673" s="2">
        <v>45789.166666666664</v>
      </c>
      <c r="K673" s="2">
        <v>45742.828143379629</v>
      </c>
      <c r="L673" s="2">
        <v>45589.649062500001</v>
      </c>
      <c r="M673" t="s">
        <v>1981</v>
      </c>
      <c r="N673" t="s">
        <v>1970</v>
      </c>
      <c r="O673" s="2">
        <v>45594.700690069447</v>
      </c>
      <c r="P673" s="2">
        <v>45615.772892442132</v>
      </c>
      <c r="Q673" s="7">
        <f t="shared" si="10"/>
        <v>16</v>
      </c>
    </row>
    <row r="674" spans="1:17" x14ac:dyDescent="0.35">
      <c r="A674" t="s">
        <v>609</v>
      </c>
      <c r="B674" t="s">
        <v>23</v>
      </c>
      <c r="C674" t="s">
        <v>44</v>
      </c>
      <c r="D674" t="s">
        <v>461</v>
      </c>
      <c r="E674" t="s">
        <v>174</v>
      </c>
      <c r="F674" t="s">
        <v>30</v>
      </c>
      <c r="G674" t="s">
        <v>28</v>
      </c>
      <c r="H674">
        <v>10</v>
      </c>
      <c r="I674" t="s">
        <v>33</v>
      </c>
      <c r="J674" s="2">
        <v>45614.208333333336</v>
      </c>
      <c r="K674" s="2">
        <v>45629.526772604164</v>
      </c>
      <c r="L674" s="2">
        <v>45590.590520833335</v>
      </c>
      <c r="M674" t="s">
        <v>1980</v>
      </c>
      <c r="N674" t="s">
        <v>1987</v>
      </c>
      <c r="O674" s="2">
        <v>45604.596917372684</v>
      </c>
      <c r="P674" s="2">
        <v>45604.78812114583</v>
      </c>
      <c r="Q674" s="7">
        <f t="shared" si="10"/>
        <v>1</v>
      </c>
    </row>
    <row r="675" spans="1:17" x14ac:dyDescent="0.35">
      <c r="A675" t="s">
        <v>813</v>
      </c>
      <c r="B675" t="s">
        <v>23</v>
      </c>
      <c r="C675" t="s">
        <v>44</v>
      </c>
      <c r="D675" t="s">
        <v>409</v>
      </c>
      <c r="E675" t="s">
        <v>38</v>
      </c>
      <c r="F675" t="s">
        <v>30</v>
      </c>
      <c r="G675" t="s">
        <v>28</v>
      </c>
      <c r="H675">
        <v>15</v>
      </c>
      <c r="I675" t="s">
        <v>81</v>
      </c>
      <c r="J675" s="2">
        <v>45770.166666666664</v>
      </c>
      <c r="K675" s="2">
        <v>45762.840074247688</v>
      </c>
      <c r="L675" s="2">
        <v>45596.847141203703</v>
      </c>
      <c r="M675" t="s">
        <v>1981</v>
      </c>
      <c r="N675" t="s">
        <v>1970</v>
      </c>
      <c r="O675" s="2">
        <v>45601.790986030093</v>
      </c>
      <c r="P675" s="2">
        <v>45614.835581886575</v>
      </c>
      <c r="Q675" s="7">
        <f t="shared" si="10"/>
        <v>10</v>
      </c>
    </row>
    <row r="676" spans="1:17" x14ac:dyDescent="0.35">
      <c r="A676" t="s">
        <v>813</v>
      </c>
      <c r="B676" t="s">
        <v>23</v>
      </c>
      <c r="C676" t="s">
        <v>44</v>
      </c>
      <c r="D676" t="s">
        <v>409</v>
      </c>
      <c r="E676" t="s">
        <v>38</v>
      </c>
      <c r="F676" t="s">
        <v>30</v>
      </c>
      <c r="G676" t="s">
        <v>28</v>
      </c>
      <c r="H676">
        <v>15</v>
      </c>
      <c r="I676" t="s">
        <v>81</v>
      </c>
      <c r="J676" s="2">
        <v>45770.166666666664</v>
      </c>
      <c r="K676" s="2">
        <v>45762.840074247688</v>
      </c>
      <c r="L676" s="2">
        <v>45596.847141203703</v>
      </c>
      <c r="M676" t="s">
        <v>1981</v>
      </c>
      <c r="N676" t="s">
        <v>1970</v>
      </c>
      <c r="O676" s="2">
        <v>45615.611109039353</v>
      </c>
      <c r="P676" s="2">
        <v>45629.792491701388</v>
      </c>
      <c r="Q676" s="7">
        <f t="shared" si="10"/>
        <v>11</v>
      </c>
    </row>
    <row r="677" spans="1:17" x14ac:dyDescent="0.35">
      <c r="A677" t="s">
        <v>936</v>
      </c>
      <c r="B677" t="s">
        <v>23</v>
      </c>
      <c r="C677" t="s">
        <v>44</v>
      </c>
      <c r="D677" t="s">
        <v>54</v>
      </c>
      <c r="E677" t="s">
        <v>38</v>
      </c>
      <c r="F677" t="s">
        <v>30</v>
      </c>
      <c r="G677" t="s">
        <v>28</v>
      </c>
      <c r="H677">
        <v>20</v>
      </c>
      <c r="I677" t="s">
        <v>81</v>
      </c>
      <c r="J677" s="2">
        <v>45721.208333333336</v>
      </c>
      <c r="K677" s="2">
        <v>45810.105127870367</v>
      </c>
      <c r="L677" s="2">
        <v>45601.440243055556</v>
      </c>
      <c r="M677" t="s">
        <v>1979</v>
      </c>
      <c r="N677" t="s">
        <v>1970</v>
      </c>
      <c r="O677" s="2">
        <v>45637.114220613425</v>
      </c>
      <c r="P677" s="2">
        <v>45642.140817569445</v>
      </c>
      <c r="Q677" s="7">
        <f t="shared" si="10"/>
        <v>4</v>
      </c>
    </row>
    <row r="678" spans="1:17" x14ac:dyDescent="0.35">
      <c r="A678" t="s">
        <v>936</v>
      </c>
      <c r="B678" t="s">
        <v>23</v>
      </c>
      <c r="C678" t="s">
        <v>44</v>
      </c>
      <c r="D678" t="s">
        <v>54</v>
      </c>
      <c r="E678" t="s">
        <v>38</v>
      </c>
      <c r="F678" t="s">
        <v>30</v>
      </c>
      <c r="G678" t="s">
        <v>28</v>
      </c>
      <c r="H678">
        <v>20</v>
      </c>
      <c r="I678" t="s">
        <v>81</v>
      </c>
      <c r="J678" s="2">
        <v>45721.208333333336</v>
      </c>
      <c r="K678" s="2">
        <v>45810.105127870367</v>
      </c>
      <c r="L678" s="2">
        <v>45601.440243055556</v>
      </c>
      <c r="M678" t="s">
        <v>1979</v>
      </c>
      <c r="N678" t="s">
        <v>1970</v>
      </c>
      <c r="O678" s="2">
        <v>45650.012891747683</v>
      </c>
      <c r="P678" s="2">
        <v>45679.03196252315</v>
      </c>
      <c r="Q678" s="7">
        <f t="shared" si="10"/>
        <v>22</v>
      </c>
    </row>
    <row r="679" spans="1:17" x14ac:dyDescent="0.35">
      <c r="A679" t="s">
        <v>1009</v>
      </c>
      <c r="B679" t="s">
        <v>23</v>
      </c>
      <c r="C679" t="s">
        <v>44</v>
      </c>
      <c r="D679" t="s">
        <v>409</v>
      </c>
      <c r="E679" t="s">
        <v>38</v>
      </c>
      <c r="F679" t="s">
        <v>30</v>
      </c>
      <c r="G679" t="s">
        <v>28</v>
      </c>
      <c r="H679">
        <v>27</v>
      </c>
      <c r="I679" t="s">
        <v>81</v>
      </c>
      <c r="J679" s="2">
        <v>45764.166666666664</v>
      </c>
      <c r="K679" s="2">
        <v>45755.621485833333</v>
      </c>
      <c r="L679" s="2">
        <v>45601.892245370371</v>
      </c>
      <c r="M679" t="s">
        <v>1981</v>
      </c>
      <c r="N679" t="s">
        <v>1970</v>
      </c>
      <c r="O679" s="2">
        <v>45609.788882152781</v>
      </c>
      <c r="P679" s="2">
        <v>45614.836587187499</v>
      </c>
      <c r="Q679" s="7">
        <f t="shared" si="10"/>
        <v>4</v>
      </c>
    </row>
    <row r="680" spans="1:17" x14ac:dyDescent="0.35">
      <c r="A680" t="s">
        <v>1009</v>
      </c>
      <c r="B680" t="s">
        <v>23</v>
      </c>
      <c r="C680" t="s">
        <v>44</v>
      </c>
      <c r="D680" t="s">
        <v>409</v>
      </c>
      <c r="E680" t="s">
        <v>38</v>
      </c>
      <c r="F680" t="s">
        <v>30</v>
      </c>
      <c r="G680" t="s">
        <v>28</v>
      </c>
      <c r="H680">
        <v>27</v>
      </c>
      <c r="I680" t="s">
        <v>81</v>
      </c>
      <c r="J680" s="2">
        <v>45764.166666666664</v>
      </c>
      <c r="K680" s="2">
        <v>45755.621485833333</v>
      </c>
      <c r="L680" s="2">
        <v>45601.892245370371</v>
      </c>
      <c r="M680" t="s">
        <v>1981</v>
      </c>
      <c r="N680" t="s">
        <v>1970</v>
      </c>
      <c r="O680" s="2">
        <v>45615.770926724537</v>
      </c>
      <c r="P680" s="2">
        <v>45636.564622094906</v>
      </c>
      <c r="Q680" s="7">
        <f t="shared" si="10"/>
        <v>16</v>
      </c>
    </row>
    <row r="681" spans="1:17" x14ac:dyDescent="0.35">
      <c r="A681" t="s">
        <v>1263</v>
      </c>
      <c r="B681" t="s">
        <v>23</v>
      </c>
      <c r="C681" t="s">
        <v>44</v>
      </c>
      <c r="D681" t="s">
        <v>135</v>
      </c>
      <c r="E681" t="s">
        <v>32</v>
      </c>
      <c r="F681" t="s">
        <v>30</v>
      </c>
      <c r="G681" t="s">
        <v>28</v>
      </c>
      <c r="I681" t="s">
        <v>33</v>
      </c>
      <c r="J681" s="2">
        <v>45804.166666666664</v>
      </c>
      <c r="K681" s="2">
        <v>45770.695007175927</v>
      </c>
      <c r="L681" s="2">
        <v>45602.368923611109</v>
      </c>
      <c r="M681" t="s">
        <v>1979</v>
      </c>
      <c r="N681" t="s">
        <v>1970</v>
      </c>
      <c r="O681" s="2">
        <v>45635.766601631942</v>
      </c>
      <c r="P681" s="2">
        <v>45687.694233657407</v>
      </c>
      <c r="Q681" s="7">
        <f t="shared" si="10"/>
        <v>39</v>
      </c>
    </row>
    <row r="682" spans="1:17" x14ac:dyDescent="0.35">
      <c r="A682" t="s">
        <v>1263</v>
      </c>
      <c r="B682" t="s">
        <v>23</v>
      </c>
      <c r="C682" t="s">
        <v>44</v>
      </c>
      <c r="D682" t="s">
        <v>135</v>
      </c>
      <c r="E682" t="s">
        <v>32</v>
      </c>
      <c r="F682" t="s">
        <v>30</v>
      </c>
      <c r="G682" t="s">
        <v>28</v>
      </c>
      <c r="I682" t="s">
        <v>33</v>
      </c>
      <c r="J682" s="2">
        <v>45804.166666666664</v>
      </c>
      <c r="K682" s="2">
        <v>45770.695007175927</v>
      </c>
      <c r="L682" s="2">
        <v>45602.368923611109</v>
      </c>
      <c r="M682" t="s">
        <v>1980</v>
      </c>
      <c r="N682" t="s">
        <v>1970</v>
      </c>
      <c r="O682" s="2">
        <v>45636.7030930787</v>
      </c>
      <c r="P682" s="2">
        <v>45687.771884212962</v>
      </c>
      <c r="Q682" s="7">
        <f t="shared" si="10"/>
        <v>38</v>
      </c>
    </row>
    <row r="683" spans="1:17" x14ac:dyDescent="0.35">
      <c r="A683" t="s">
        <v>1325</v>
      </c>
      <c r="B683" t="s">
        <v>23</v>
      </c>
      <c r="C683" t="s">
        <v>44</v>
      </c>
      <c r="D683" t="s">
        <v>76</v>
      </c>
      <c r="E683" t="s">
        <v>32</v>
      </c>
      <c r="F683" t="s">
        <v>30</v>
      </c>
      <c r="G683" t="s">
        <v>28</v>
      </c>
      <c r="I683" t="s">
        <v>81</v>
      </c>
      <c r="J683" s="2">
        <v>45742.166666666664</v>
      </c>
      <c r="K683" s="2">
        <v>45730.835542858797</v>
      </c>
      <c r="L683" s="2">
        <v>45607.554699074077</v>
      </c>
      <c r="M683" t="s">
        <v>1981</v>
      </c>
      <c r="N683" t="s">
        <v>1970</v>
      </c>
      <c r="O683" s="2">
        <v>45609.789354780092</v>
      </c>
      <c r="P683" s="2">
        <v>45614.774678055554</v>
      </c>
      <c r="Q683" s="7">
        <f t="shared" si="10"/>
        <v>4</v>
      </c>
    </row>
    <row r="684" spans="1:17" x14ac:dyDescent="0.35">
      <c r="A684" t="s">
        <v>757</v>
      </c>
      <c r="B684" t="s">
        <v>23</v>
      </c>
      <c r="C684" t="s">
        <v>44</v>
      </c>
      <c r="D684" t="s">
        <v>135</v>
      </c>
      <c r="E684" t="s">
        <v>32</v>
      </c>
      <c r="F684" t="s">
        <v>30</v>
      </c>
      <c r="G684" t="s">
        <v>28</v>
      </c>
      <c r="H684">
        <v>13</v>
      </c>
      <c r="I684" t="s">
        <v>33</v>
      </c>
      <c r="J684" s="2">
        <v>45702.208333333336</v>
      </c>
      <c r="K684" s="2">
        <v>45678.832151921299</v>
      </c>
      <c r="L684" s="2">
        <v>45609.855798611112</v>
      </c>
      <c r="M684" t="s">
        <v>1973</v>
      </c>
      <c r="N684" t="s">
        <v>1970</v>
      </c>
      <c r="O684" s="2">
        <v>45670.8075521875</v>
      </c>
      <c r="P684" s="2">
        <v>45671.724175717594</v>
      </c>
      <c r="Q684" s="7">
        <f t="shared" si="10"/>
        <v>2</v>
      </c>
    </row>
    <row r="685" spans="1:17" x14ac:dyDescent="0.35">
      <c r="A685" t="s">
        <v>147</v>
      </c>
      <c r="B685" t="s">
        <v>23</v>
      </c>
      <c r="C685" t="s">
        <v>44</v>
      </c>
      <c r="D685" t="s">
        <v>54</v>
      </c>
      <c r="E685" t="s">
        <v>38</v>
      </c>
      <c r="F685" t="s">
        <v>30</v>
      </c>
      <c r="G685" t="s">
        <v>46</v>
      </c>
      <c r="I685" t="s">
        <v>81</v>
      </c>
      <c r="J685" s="2">
        <v>45625.208333333336</v>
      </c>
      <c r="K685" s="2">
        <v>45643.796377546299</v>
      </c>
      <c r="L685" s="2">
        <v>45610.579479166663</v>
      </c>
      <c r="M685" t="s">
        <v>1973</v>
      </c>
      <c r="N685" t="s">
        <v>1970</v>
      </c>
      <c r="O685" s="2">
        <v>45617.760428136571</v>
      </c>
      <c r="P685" s="2">
        <v>45637.633056192128</v>
      </c>
      <c r="Q685" s="7">
        <f t="shared" si="10"/>
        <v>15</v>
      </c>
    </row>
    <row r="686" spans="1:17" x14ac:dyDescent="0.35">
      <c r="A686" t="s">
        <v>1259</v>
      </c>
      <c r="B686" t="s">
        <v>23</v>
      </c>
      <c r="C686" t="s">
        <v>44</v>
      </c>
      <c r="D686" t="s">
        <v>36</v>
      </c>
      <c r="E686" t="s">
        <v>38</v>
      </c>
      <c r="F686" t="s">
        <v>30</v>
      </c>
      <c r="G686" t="s">
        <v>28</v>
      </c>
      <c r="J686" s="2">
        <v>45632.208333333336</v>
      </c>
      <c r="K686" s="2">
        <v>45622.70638033565</v>
      </c>
      <c r="L686" s="2">
        <v>45610.660243055558</v>
      </c>
      <c r="M686" t="s">
        <v>1979</v>
      </c>
      <c r="N686" t="s">
        <v>1970</v>
      </c>
      <c r="O686" s="2">
        <v>45616.805062500003</v>
      </c>
      <c r="P686" s="2">
        <v>45617.936844212963</v>
      </c>
      <c r="Q686" s="7">
        <f t="shared" si="10"/>
        <v>2</v>
      </c>
    </row>
    <row r="687" spans="1:17" x14ac:dyDescent="0.35">
      <c r="A687" t="s">
        <v>1305</v>
      </c>
      <c r="B687" t="s">
        <v>23</v>
      </c>
      <c r="C687" t="s">
        <v>44</v>
      </c>
      <c r="D687" t="s">
        <v>135</v>
      </c>
      <c r="E687" t="s">
        <v>32</v>
      </c>
      <c r="F687" t="s">
        <v>30</v>
      </c>
      <c r="G687" t="s">
        <v>28</v>
      </c>
      <c r="I687" t="s">
        <v>81</v>
      </c>
      <c r="J687" s="2">
        <v>45765.166666666664</v>
      </c>
      <c r="K687" s="2">
        <v>45750.093255844906</v>
      </c>
      <c r="L687" s="2">
        <v>45611.38863425926</v>
      </c>
      <c r="M687" t="s">
        <v>1988</v>
      </c>
      <c r="N687" t="s">
        <v>1984</v>
      </c>
      <c r="O687" s="2">
        <v>45705.579742997688</v>
      </c>
      <c r="P687" s="2">
        <v>45707.684778553237</v>
      </c>
      <c r="Q687" s="7">
        <f t="shared" si="10"/>
        <v>3</v>
      </c>
    </row>
    <row r="688" spans="1:17" x14ac:dyDescent="0.35">
      <c r="A688" t="s">
        <v>722</v>
      </c>
      <c r="B688" t="s">
        <v>23</v>
      </c>
      <c r="C688" t="s">
        <v>44</v>
      </c>
      <c r="D688" t="s">
        <v>54</v>
      </c>
      <c r="E688" t="s">
        <v>38</v>
      </c>
      <c r="F688" t="s">
        <v>30</v>
      </c>
      <c r="G688" t="s">
        <v>28</v>
      </c>
      <c r="H688">
        <v>12</v>
      </c>
      <c r="I688" t="s">
        <v>33</v>
      </c>
      <c r="J688" s="2">
        <v>45729.166666666664</v>
      </c>
      <c r="K688" s="2">
        <v>45785.220258726855</v>
      </c>
      <c r="L688" s="2">
        <v>45611.427789351852</v>
      </c>
      <c r="M688" t="s">
        <v>1979</v>
      </c>
      <c r="N688" t="s">
        <v>1995</v>
      </c>
      <c r="O688" s="2">
        <v>45623.783581261574</v>
      </c>
      <c r="P688" s="2">
        <v>45671.547598310186</v>
      </c>
      <c r="Q688" s="7">
        <f t="shared" si="10"/>
        <v>35</v>
      </c>
    </row>
    <row r="689" spans="1:17" x14ac:dyDescent="0.35">
      <c r="A689" t="s">
        <v>1295</v>
      </c>
      <c r="B689" t="s">
        <v>23</v>
      </c>
      <c r="C689" t="s">
        <v>44</v>
      </c>
      <c r="D689" t="s">
        <v>409</v>
      </c>
      <c r="E689" t="s">
        <v>48</v>
      </c>
      <c r="F689" t="s">
        <v>30</v>
      </c>
      <c r="G689" t="s">
        <v>28</v>
      </c>
      <c r="I689" t="s">
        <v>33</v>
      </c>
      <c r="J689" s="2">
        <v>45744.166666666664</v>
      </c>
      <c r="K689" s="2">
        <v>45833.771929884257</v>
      </c>
      <c r="L689" s="2">
        <v>45611.831631944442</v>
      </c>
      <c r="M689" t="s">
        <v>1981</v>
      </c>
      <c r="N689" t="s">
        <v>1970</v>
      </c>
      <c r="O689" s="2">
        <v>45622.709206307867</v>
      </c>
      <c r="P689" s="2">
        <v>45643.558633275461</v>
      </c>
      <c r="Q689" s="7">
        <f t="shared" si="10"/>
        <v>20.849426967593899</v>
      </c>
    </row>
    <row r="690" spans="1:17" x14ac:dyDescent="0.35">
      <c r="A690" t="s">
        <v>1297</v>
      </c>
      <c r="B690" t="s">
        <v>23</v>
      </c>
      <c r="C690" t="s">
        <v>44</v>
      </c>
      <c r="D690" t="s">
        <v>409</v>
      </c>
      <c r="E690" t="s">
        <v>48</v>
      </c>
      <c r="F690" t="s">
        <v>30</v>
      </c>
      <c r="G690" t="s">
        <v>28</v>
      </c>
      <c r="I690" t="s">
        <v>33</v>
      </c>
      <c r="J690" s="2">
        <v>45744.166666666664</v>
      </c>
      <c r="K690" s="2">
        <v>45833.779009108795</v>
      </c>
      <c r="L690" s="2">
        <v>45614.60428240741</v>
      </c>
      <c r="M690" t="s">
        <v>1981</v>
      </c>
      <c r="N690" t="s">
        <v>1970</v>
      </c>
      <c r="O690" s="2">
        <v>45622.708863518521</v>
      </c>
      <c r="P690" s="2">
        <v>45643.558998749999</v>
      </c>
      <c r="Q690" s="7">
        <f t="shared" si="10"/>
        <v>20.850135231477907</v>
      </c>
    </row>
    <row r="691" spans="1:17" x14ac:dyDescent="0.35">
      <c r="A691" t="s">
        <v>1309</v>
      </c>
      <c r="B691" t="s">
        <v>23</v>
      </c>
      <c r="C691" t="s">
        <v>44</v>
      </c>
      <c r="D691" t="s">
        <v>76</v>
      </c>
      <c r="E691" t="s">
        <v>48</v>
      </c>
      <c r="F691" t="s">
        <v>30</v>
      </c>
      <c r="G691" t="s">
        <v>28</v>
      </c>
      <c r="I691" t="s">
        <v>33</v>
      </c>
      <c r="J691" s="2">
        <v>45721.208333333336</v>
      </c>
      <c r="K691" s="2">
        <v>45707.689016608798</v>
      </c>
      <c r="L691" s="2">
        <v>45614.67015046296</v>
      </c>
      <c r="M691" t="s">
        <v>1981</v>
      </c>
      <c r="N691" t="s">
        <v>1970</v>
      </c>
      <c r="O691" s="2">
        <v>45629.691982245371</v>
      </c>
      <c r="P691" s="2">
        <v>45636.56645027778</v>
      </c>
      <c r="Q691" s="7">
        <f t="shared" si="10"/>
        <v>6.8744680324089131</v>
      </c>
    </row>
    <row r="692" spans="1:17" x14ac:dyDescent="0.35">
      <c r="A692" t="s">
        <v>1309</v>
      </c>
      <c r="B692" t="s">
        <v>23</v>
      </c>
      <c r="C692" t="s">
        <v>44</v>
      </c>
      <c r="D692" t="s">
        <v>76</v>
      </c>
      <c r="E692" t="s">
        <v>48</v>
      </c>
      <c r="F692" t="s">
        <v>30</v>
      </c>
      <c r="G692" t="s">
        <v>28</v>
      </c>
      <c r="I692" t="s">
        <v>33</v>
      </c>
      <c r="J692" s="2">
        <v>45721.208333333336</v>
      </c>
      <c r="K692" s="2">
        <v>45707.689016608798</v>
      </c>
      <c r="L692" s="2">
        <v>45614.67015046296</v>
      </c>
      <c r="M692" t="s">
        <v>1981</v>
      </c>
      <c r="N692" t="s">
        <v>1970</v>
      </c>
      <c r="O692" s="2">
        <v>45636.712889849536</v>
      </c>
      <c r="P692" s="2">
        <v>45671.542258831018</v>
      </c>
      <c r="Q692" s="7">
        <f t="shared" si="10"/>
        <v>34.829368981481821</v>
      </c>
    </row>
    <row r="693" spans="1:17" x14ac:dyDescent="0.35">
      <c r="A693" t="s">
        <v>1309</v>
      </c>
      <c r="B693" t="s">
        <v>23</v>
      </c>
      <c r="C693" t="s">
        <v>44</v>
      </c>
      <c r="D693" t="s">
        <v>76</v>
      </c>
      <c r="E693" t="s">
        <v>48</v>
      </c>
      <c r="F693" t="s">
        <v>30</v>
      </c>
      <c r="G693" t="s">
        <v>28</v>
      </c>
      <c r="I693" t="s">
        <v>33</v>
      </c>
      <c r="J693" s="2">
        <v>45721.208333333336</v>
      </c>
      <c r="K693" s="2">
        <v>45707.689016608798</v>
      </c>
      <c r="L693" s="2">
        <v>45614.67015046296</v>
      </c>
      <c r="M693" t="s">
        <v>1973</v>
      </c>
      <c r="N693" t="s">
        <v>1983</v>
      </c>
      <c r="O693" s="2">
        <v>45692.618964803238</v>
      </c>
      <c r="P693" s="2">
        <v>45693.661495868058</v>
      </c>
      <c r="Q693" s="7">
        <f t="shared" si="10"/>
        <v>1.0425310648206505</v>
      </c>
    </row>
    <row r="694" spans="1:17" x14ac:dyDescent="0.35">
      <c r="A694" t="s">
        <v>1309</v>
      </c>
      <c r="B694" t="s">
        <v>23</v>
      </c>
      <c r="C694" t="s">
        <v>44</v>
      </c>
      <c r="D694" t="s">
        <v>76</v>
      </c>
      <c r="E694" t="s">
        <v>48</v>
      </c>
      <c r="F694" t="s">
        <v>30</v>
      </c>
      <c r="G694" t="s">
        <v>28</v>
      </c>
      <c r="I694" t="s">
        <v>33</v>
      </c>
      <c r="J694" s="2">
        <v>45721.208333333336</v>
      </c>
      <c r="K694" s="2">
        <v>45707.689016608798</v>
      </c>
      <c r="L694" s="2">
        <v>45614.67015046296</v>
      </c>
      <c r="M694" t="s">
        <v>1989</v>
      </c>
      <c r="N694" t="s">
        <v>1990</v>
      </c>
      <c r="O694" s="2">
        <v>45701.89364415509</v>
      </c>
      <c r="P694" s="2">
        <v>45707.624823854167</v>
      </c>
      <c r="Q694" s="7">
        <f t="shared" si="10"/>
        <v>5.731179699076165</v>
      </c>
    </row>
    <row r="695" spans="1:17" x14ac:dyDescent="0.35">
      <c r="A695" t="s">
        <v>910</v>
      </c>
      <c r="B695" t="s">
        <v>23</v>
      </c>
      <c r="C695" t="s">
        <v>44</v>
      </c>
      <c r="D695" t="s">
        <v>36</v>
      </c>
      <c r="E695" t="s">
        <v>38</v>
      </c>
      <c r="F695" t="s">
        <v>30</v>
      </c>
      <c r="G695" t="s">
        <v>28</v>
      </c>
      <c r="H695">
        <v>19</v>
      </c>
      <c r="J695" s="2">
        <v>45699.208333333336</v>
      </c>
      <c r="K695" s="2">
        <v>45691.913074178243</v>
      </c>
      <c r="L695" s="2">
        <v>45617.59851851852</v>
      </c>
      <c r="M695" t="s">
        <v>1979</v>
      </c>
      <c r="N695" t="s">
        <v>1976</v>
      </c>
      <c r="O695" s="2">
        <v>45617.75374832176</v>
      </c>
      <c r="P695" s="2">
        <v>45677.682068009257</v>
      </c>
      <c r="Q695" s="7">
        <f t="shared" si="10"/>
        <v>43</v>
      </c>
    </row>
    <row r="696" spans="1:17" x14ac:dyDescent="0.35">
      <c r="A696" t="s">
        <v>1289</v>
      </c>
      <c r="B696" t="s">
        <v>23</v>
      </c>
      <c r="C696" t="s">
        <v>44</v>
      </c>
      <c r="D696" t="s">
        <v>130</v>
      </c>
      <c r="E696" t="s">
        <v>38</v>
      </c>
      <c r="F696" t="s">
        <v>30</v>
      </c>
      <c r="G696" t="s">
        <v>28</v>
      </c>
      <c r="I696" t="s">
        <v>81</v>
      </c>
      <c r="J696" s="2">
        <v>45789.166666666664</v>
      </c>
      <c r="K696" s="2">
        <v>45769.566847638889</v>
      </c>
      <c r="L696" s="2">
        <v>45617.866585648146</v>
      </c>
      <c r="M696" t="s">
        <v>1981</v>
      </c>
      <c r="N696" t="s">
        <v>1970</v>
      </c>
      <c r="O696" s="2">
        <v>45622.710453182874</v>
      </c>
      <c r="P696" s="2">
        <v>45639.751784143518</v>
      </c>
      <c r="Q696" s="7">
        <f t="shared" si="10"/>
        <v>14</v>
      </c>
    </row>
    <row r="697" spans="1:17" x14ac:dyDescent="0.35">
      <c r="A697" t="s">
        <v>900</v>
      </c>
      <c r="B697" t="s">
        <v>23</v>
      </c>
      <c r="C697" t="s">
        <v>44</v>
      </c>
      <c r="D697" t="s">
        <v>135</v>
      </c>
      <c r="E697" t="s">
        <v>32</v>
      </c>
      <c r="F697" t="s">
        <v>30</v>
      </c>
      <c r="G697" t="s">
        <v>28</v>
      </c>
      <c r="H697">
        <v>18</v>
      </c>
      <c r="I697" t="s">
        <v>33</v>
      </c>
      <c r="J697" s="2">
        <v>45772.166666666664</v>
      </c>
      <c r="K697" s="2">
        <v>45785.621645729167</v>
      </c>
      <c r="L697" s="2">
        <v>45618.560185185182</v>
      </c>
      <c r="M697" t="s">
        <v>1975</v>
      </c>
      <c r="N697" t="s">
        <v>1970</v>
      </c>
      <c r="O697" s="2">
        <v>45708.712771770835</v>
      </c>
      <c r="P697" s="2">
        <v>45721.573090625003</v>
      </c>
      <c r="Q697" s="7">
        <f t="shared" si="10"/>
        <v>10</v>
      </c>
    </row>
    <row r="698" spans="1:17" x14ac:dyDescent="0.35">
      <c r="A698" t="s">
        <v>759</v>
      </c>
      <c r="B698" t="s">
        <v>23</v>
      </c>
      <c r="C698" t="s">
        <v>44</v>
      </c>
      <c r="D698" t="s">
        <v>36</v>
      </c>
      <c r="E698" t="s">
        <v>48</v>
      </c>
      <c r="F698" t="s">
        <v>30</v>
      </c>
      <c r="G698" t="s">
        <v>28</v>
      </c>
      <c r="H698">
        <v>13</v>
      </c>
      <c r="J698" s="2">
        <v>45646.208333333336</v>
      </c>
      <c r="K698" s="2">
        <v>45688.923865937497</v>
      </c>
      <c r="L698" s="2">
        <v>45621.587951388887</v>
      </c>
      <c r="M698" t="s">
        <v>1975</v>
      </c>
      <c r="N698" t="s">
        <v>1970</v>
      </c>
      <c r="O698" s="2">
        <v>45631.702861574071</v>
      </c>
      <c r="P698" s="2">
        <v>45631.833821689812</v>
      </c>
      <c r="Q698" s="7">
        <f t="shared" si="10"/>
        <v>0.13096011574089061</v>
      </c>
    </row>
    <row r="699" spans="1:17" x14ac:dyDescent="0.35">
      <c r="A699" t="s">
        <v>1035</v>
      </c>
      <c r="B699" t="s">
        <v>23</v>
      </c>
      <c r="C699" t="s">
        <v>44</v>
      </c>
      <c r="D699" t="s">
        <v>130</v>
      </c>
      <c r="E699" t="s">
        <v>48</v>
      </c>
      <c r="F699" t="s">
        <v>30</v>
      </c>
      <c r="G699" t="s">
        <v>28</v>
      </c>
      <c r="H699">
        <v>31</v>
      </c>
      <c r="I699" t="s">
        <v>81</v>
      </c>
      <c r="J699" s="2">
        <v>45812.166666666664</v>
      </c>
      <c r="K699" s="2">
        <v>45791.558683136573</v>
      </c>
      <c r="L699" s="2">
        <v>45629.708923611113</v>
      </c>
      <c r="M699" t="s">
        <v>1981</v>
      </c>
      <c r="N699" t="s">
        <v>1970</v>
      </c>
      <c r="O699" s="2">
        <v>45636.725944108795</v>
      </c>
      <c r="P699" s="2">
        <v>45674.773548333331</v>
      </c>
      <c r="Q699" s="7">
        <f t="shared" si="10"/>
        <v>38.047604224535462</v>
      </c>
    </row>
    <row r="700" spans="1:17" x14ac:dyDescent="0.35">
      <c r="A700" t="s">
        <v>1035</v>
      </c>
      <c r="B700" t="s">
        <v>23</v>
      </c>
      <c r="C700" t="s">
        <v>44</v>
      </c>
      <c r="D700" t="s">
        <v>130</v>
      </c>
      <c r="E700" t="s">
        <v>48</v>
      </c>
      <c r="F700" t="s">
        <v>30</v>
      </c>
      <c r="G700" t="s">
        <v>28</v>
      </c>
      <c r="H700">
        <v>31</v>
      </c>
      <c r="I700" t="s">
        <v>81</v>
      </c>
      <c r="J700" s="2">
        <v>45812.166666666664</v>
      </c>
      <c r="K700" s="2">
        <v>45791.558683136573</v>
      </c>
      <c r="L700" s="2">
        <v>45629.708923611113</v>
      </c>
      <c r="M700" t="s">
        <v>1981</v>
      </c>
      <c r="N700" t="s">
        <v>1970</v>
      </c>
      <c r="O700" s="2">
        <v>45678.876774386576</v>
      </c>
      <c r="P700" s="2">
        <v>45681.769611469907</v>
      </c>
      <c r="Q700" s="7">
        <f t="shared" si="10"/>
        <v>2.89283708333096</v>
      </c>
    </row>
    <row r="701" spans="1:17" x14ac:dyDescent="0.35">
      <c r="A701" t="s">
        <v>1035</v>
      </c>
      <c r="B701" t="s">
        <v>23</v>
      </c>
      <c r="C701" t="s">
        <v>44</v>
      </c>
      <c r="D701" t="s">
        <v>130</v>
      </c>
      <c r="E701" t="s">
        <v>48</v>
      </c>
      <c r="F701" t="s">
        <v>30</v>
      </c>
      <c r="G701" t="s">
        <v>28</v>
      </c>
      <c r="H701">
        <v>31</v>
      </c>
      <c r="I701" t="s">
        <v>81</v>
      </c>
      <c r="J701" s="2">
        <v>45812.166666666664</v>
      </c>
      <c r="K701" s="2">
        <v>45791.558683136573</v>
      </c>
      <c r="L701" s="2">
        <v>45629.708923611113</v>
      </c>
      <c r="M701" t="s">
        <v>1981</v>
      </c>
      <c r="N701" t="s">
        <v>1970</v>
      </c>
      <c r="O701" s="2">
        <v>45692.550703912035</v>
      </c>
      <c r="P701" s="2">
        <v>45693.647638298607</v>
      </c>
      <c r="Q701" s="7">
        <f t="shared" si="10"/>
        <v>1.0969343865726842</v>
      </c>
    </row>
    <row r="702" spans="1:17" x14ac:dyDescent="0.35">
      <c r="A702" t="s">
        <v>1035</v>
      </c>
      <c r="B702" t="s">
        <v>23</v>
      </c>
      <c r="C702" t="s">
        <v>44</v>
      </c>
      <c r="D702" t="s">
        <v>130</v>
      </c>
      <c r="E702" t="s">
        <v>48</v>
      </c>
      <c r="F702" t="s">
        <v>30</v>
      </c>
      <c r="G702" t="s">
        <v>28</v>
      </c>
      <c r="H702">
        <v>31</v>
      </c>
      <c r="I702" t="s">
        <v>81</v>
      </c>
      <c r="J702" s="2">
        <v>45812.166666666664</v>
      </c>
      <c r="K702" s="2">
        <v>45791.558683136573</v>
      </c>
      <c r="L702" s="2">
        <v>45629.708923611113</v>
      </c>
      <c r="M702" t="s">
        <v>1980</v>
      </c>
      <c r="N702" t="s">
        <v>1970</v>
      </c>
      <c r="O702" s="2">
        <v>45709.541118981484</v>
      </c>
      <c r="P702" s="2">
        <v>45715.771890243057</v>
      </c>
      <c r="Q702" s="7">
        <f t="shared" si="10"/>
        <v>6.2307712615729542</v>
      </c>
    </row>
    <row r="703" spans="1:17" x14ac:dyDescent="0.35">
      <c r="A703" t="s">
        <v>1033</v>
      </c>
      <c r="B703" t="s">
        <v>23</v>
      </c>
      <c r="C703" t="s">
        <v>44</v>
      </c>
      <c r="D703" t="s">
        <v>36</v>
      </c>
      <c r="E703" t="s">
        <v>48</v>
      </c>
      <c r="F703" t="s">
        <v>30</v>
      </c>
      <c r="G703" t="s">
        <v>28</v>
      </c>
      <c r="H703">
        <v>31</v>
      </c>
      <c r="J703" s="2">
        <v>45687.208333333336</v>
      </c>
      <c r="K703" s="2">
        <v>45709.743491944442</v>
      </c>
      <c r="L703" s="2">
        <v>45635.595104166663</v>
      </c>
      <c r="M703" t="s">
        <v>1973</v>
      </c>
      <c r="N703" t="s">
        <v>1992</v>
      </c>
      <c r="O703" s="2">
        <v>45638.839241006943</v>
      </c>
      <c r="P703" s="2">
        <v>45644.85510252315</v>
      </c>
      <c r="Q703" s="7">
        <f t="shared" si="10"/>
        <v>6.0158615162072238</v>
      </c>
    </row>
    <row r="704" spans="1:17" x14ac:dyDescent="0.35">
      <c r="A704" t="s">
        <v>1033</v>
      </c>
      <c r="B704" t="s">
        <v>23</v>
      </c>
      <c r="C704" t="s">
        <v>44</v>
      </c>
      <c r="D704" t="s">
        <v>36</v>
      </c>
      <c r="E704" t="s">
        <v>48</v>
      </c>
      <c r="F704" t="s">
        <v>30</v>
      </c>
      <c r="G704" t="s">
        <v>28</v>
      </c>
      <c r="H704">
        <v>31</v>
      </c>
      <c r="J704" s="2">
        <v>45687.208333333336</v>
      </c>
      <c r="K704" s="2">
        <v>45709.743491944442</v>
      </c>
      <c r="L704" s="2">
        <v>45635.595104166663</v>
      </c>
      <c r="M704" t="s">
        <v>1988</v>
      </c>
      <c r="N704" t="s">
        <v>1992</v>
      </c>
      <c r="O704" s="2">
        <v>45649.933445254632</v>
      </c>
      <c r="P704" s="2">
        <v>45671.706168819444</v>
      </c>
      <c r="Q704" s="7">
        <f t="shared" si="10"/>
        <v>21.772723564812622</v>
      </c>
    </row>
    <row r="705" spans="1:17" x14ac:dyDescent="0.35">
      <c r="A705" t="s">
        <v>975</v>
      </c>
      <c r="B705" t="s">
        <v>23</v>
      </c>
      <c r="C705" t="s">
        <v>44</v>
      </c>
      <c r="D705" t="s">
        <v>130</v>
      </c>
      <c r="E705" t="s">
        <v>38</v>
      </c>
      <c r="F705" t="s">
        <v>30</v>
      </c>
      <c r="G705" t="s">
        <v>28</v>
      </c>
      <c r="H705">
        <v>23</v>
      </c>
      <c r="I705" t="s">
        <v>33</v>
      </c>
      <c r="J705" s="2">
        <v>45805.166666666664</v>
      </c>
      <c r="K705" s="2">
        <v>45777.608563298614</v>
      </c>
      <c r="L705" s="2">
        <v>45636.800000000003</v>
      </c>
      <c r="M705" t="s">
        <v>1981</v>
      </c>
      <c r="N705" t="s">
        <v>1970</v>
      </c>
      <c r="O705" s="2">
        <v>45643.714888842595</v>
      </c>
      <c r="P705" s="2">
        <v>45695.799789259261</v>
      </c>
      <c r="Q705" s="7">
        <f t="shared" si="10"/>
        <v>39</v>
      </c>
    </row>
    <row r="706" spans="1:17" x14ac:dyDescent="0.35">
      <c r="A706" t="s">
        <v>963</v>
      </c>
      <c r="B706" t="s">
        <v>23</v>
      </c>
      <c r="C706" t="s">
        <v>44</v>
      </c>
      <c r="D706" t="s">
        <v>409</v>
      </c>
      <c r="E706" t="s">
        <v>38</v>
      </c>
      <c r="F706" t="s">
        <v>30</v>
      </c>
      <c r="G706" t="s">
        <v>28</v>
      </c>
      <c r="H706">
        <v>22</v>
      </c>
      <c r="I706" t="s">
        <v>33</v>
      </c>
      <c r="J706" s="2">
        <v>45799.166666666664</v>
      </c>
      <c r="K706" s="2">
        <v>45755.541161446759</v>
      </c>
      <c r="L706" s="2">
        <v>45636.803935185184</v>
      </c>
      <c r="M706" t="s">
        <v>1981</v>
      </c>
      <c r="N706" t="s">
        <v>1970</v>
      </c>
      <c r="O706" s="2">
        <v>45664.750309386574</v>
      </c>
      <c r="P706" s="2">
        <v>45664.750380127312</v>
      </c>
      <c r="Q706" s="7">
        <f t="shared" si="10"/>
        <v>1</v>
      </c>
    </row>
    <row r="707" spans="1:17" x14ac:dyDescent="0.35">
      <c r="A707" t="s">
        <v>963</v>
      </c>
      <c r="B707" t="s">
        <v>23</v>
      </c>
      <c r="C707" t="s">
        <v>44</v>
      </c>
      <c r="D707" t="s">
        <v>409</v>
      </c>
      <c r="E707" t="s">
        <v>38</v>
      </c>
      <c r="F707" t="s">
        <v>30</v>
      </c>
      <c r="G707" t="s">
        <v>28</v>
      </c>
      <c r="H707">
        <v>22</v>
      </c>
      <c r="I707" t="s">
        <v>33</v>
      </c>
      <c r="J707" s="2">
        <v>45799.166666666664</v>
      </c>
      <c r="K707" s="2">
        <v>45755.541161446759</v>
      </c>
      <c r="L707" s="2">
        <v>45636.803935185184</v>
      </c>
      <c r="M707" t="s">
        <v>1981</v>
      </c>
      <c r="N707" t="s">
        <v>1970</v>
      </c>
      <c r="O707" s="2">
        <v>45664.750573460646</v>
      </c>
      <c r="P707" s="2">
        <v>45678.545881909726</v>
      </c>
      <c r="Q707" s="7">
        <f t="shared" ref="Q707:Q770" si="11">IF(OR(O707="", P707=""), "", IF(OR(E707="PW1000G", E707="PW800"), P707 - O707, NETWORKDAYS(O707, P707)))</f>
        <v>11</v>
      </c>
    </row>
    <row r="708" spans="1:17" x14ac:dyDescent="0.35">
      <c r="A708" t="s">
        <v>940</v>
      </c>
      <c r="B708" t="s">
        <v>23</v>
      </c>
      <c r="C708" t="s">
        <v>44</v>
      </c>
      <c r="D708" t="s">
        <v>130</v>
      </c>
      <c r="E708" t="s">
        <v>38</v>
      </c>
      <c r="F708" t="s">
        <v>30</v>
      </c>
      <c r="G708" t="s">
        <v>28</v>
      </c>
      <c r="H708">
        <v>20</v>
      </c>
      <c r="I708" t="s">
        <v>81</v>
      </c>
      <c r="J708" s="2">
        <v>45775.166666666664</v>
      </c>
      <c r="K708" s="2">
        <v>45754.684765347221</v>
      </c>
      <c r="L708" s="2">
        <v>45638.585428240738</v>
      </c>
      <c r="M708" t="s">
        <v>1981</v>
      </c>
      <c r="N708" t="s">
        <v>1970</v>
      </c>
      <c r="O708" s="2">
        <v>45643.714106504631</v>
      </c>
      <c r="P708" s="2">
        <v>45660.738873946757</v>
      </c>
      <c r="Q708" s="7">
        <f t="shared" si="11"/>
        <v>14</v>
      </c>
    </row>
    <row r="709" spans="1:17" x14ac:dyDescent="0.35">
      <c r="A709" t="s">
        <v>1390</v>
      </c>
      <c r="B709" t="s">
        <v>23</v>
      </c>
      <c r="C709" t="s">
        <v>44</v>
      </c>
      <c r="D709" t="s">
        <v>409</v>
      </c>
      <c r="E709" t="s">
        <v>38</v>
      </c>
      <c r="F709" t="s">
        <v>30</v>
      </c>
      <c r="G709" t="s">
        <v>28</v>
      </c>
      <c r="I709" t="s">
        <v>33</v>
      </c>
      <c r="J709" s="2">
        <v>45842.166666666664</v>
      </c>
      <c r="K709" s="2">
        <v>45817.837487743054</v>
      </c>
      <c r="L709" s="2">
        <v>45646.652928240743</v>
      </c>
      <c r="M709" t="s">
        <v>1981</v>
      </c>
      <c r="N709" t="s">
        <v>1970</v>
      </c>
      <c r="O709" s="2">
        <v>45664.749662905095</v>
      </c>
      <c r="P709" s="2">
        <v>45681.762289143517</v>
      </c>
      <c r="Q709" s="7">
        <f t="shared" si="11"/>
        <v>14</v>
      </c>
    </row>
    <row r="710" spans="1:17" x14ac:dyDescent="0.35">
      <c r="A710" t="s">
        <v>1390</v>
      </c>
      <c r="B710" t="s">
        <v>23</v>
      </c>
      <c r="C710" t="s">
        <v>44</v>
      </c>
      <c r="D710" t="s">
        <v>409</v>
      </c>
      <c r="E710" t="s">
        <v>38</v>
      </c>
      <c r="F710" t="s">
        <v>30</v>
      </c>
      <c r="G710" t="s">
        <v>28</v>
      </c>
      <c r="I710" t="s">
        <v>33</v>
      </c>
      <c r="J710" s="2">
        <v>45842.166666666664</v>
      </c>
      <c r="K710" s="2">
        <v>45817.837487743054</v>
      </c>
      <c r="L710" s="2">
        <v>45646.652928240743</v>
      </c>
      <c r="M710" t="s">
        <v>1981</v>
      </c>
      <c r="N710" t="s">
        <v>1970</v>
      </c>
      <c r="O710" s="2">
        <v>45686.581932141205</v>
      </c>
      <c r="P710" s="2">
        <v>45692.547592291667</v>
      </c>
      <c r="Q710" s="7">
        <f t="shared" si="11"/>
        <v>5</v>
      </c>
    </row>
    <row r="711" spans="1:17" x14ac:dyDescent="0.35">
      <c r="A711" t="s">
        <v>1390</v>
      </c>
      <c r="B711" t="s">
        <v>23</v>
      </c>
      <c r="C711" t="s">
        <v>44</v>
      </c>
      <c r="D711" t="s">
        <v>409</v>
      </c>
      <c r="E711" t="s">
        <v>38</v>
      </c>
      <c r="F711" t="s">
        <v>30</v>
      </c>
      <c r="G711" t="s">
        <v>28</v>
      </c>
      <c r="I711" t="s">
        <v>33</v>
      </c>
      <c r="J711" s="2">
        <v>45842.166666666664</v>
      </c>
      <c r="K711" s="2">
        <v>45817.837487743054</v>
      </c>
      <c r="L711" s="2">
        <v>45646.652928240743</v>
      </c>
      <c r="M711" t="s">
        <v>1981</v>
      </c>
      <c r="N711" t="s">
        <v>1970</v>
      </c>
      <c r="O711" s="2">
        <v>45695.801143275465</v>
      </c>
      <c r="P711" s="2">
        <v>45716.787717997686</v>
      </c>
      <c r="Q711" s="7">
        <f t="shared" si="11"/>
        <v>16</v>
      </c>
    </row>
    <row r="712" spans="1:17" x14ac:dyDescent="0.35">
      <c r="A712" t="s">
        <v>1390</v>
      </c>
      <c r="B712" t="s">
        <v>23</v>
      </c>
      <c r="C712" t="s">
        <v>44</v>
      </c>
      <c r="D712" t="s">
        <v>409</v>
      </c>
      <c r="E712" t="s">
        <v>38</v>
      </c>
      <c r="F712" t="s">
        <v>30</v>
      </c>
      <c r="G712" t="s">
        <v>28</v>
      </c>
      <c r="I712" t="s">
        <v>33</v>
      </c>
      <c r="J712" s="2">
        <v>45842.166666666664</v>
      </c>
      <c r="K712" s="2">
        <v>45817.837487743054</v>
      </c>
      <c r="L712" s="2">
        <v>45646.652928240743</v>
      </c>
      <c r="M712" t="s">
        <v>1981</v>
      </c>
      <c r="N712" t="s">
        <v>1970</v>
      </c>
      <c r="O712" s="2">
        <v>45720.722235254631</v>
      </c>
      <c r="P712" s="2">
        <v>45737.804036493057</v>
      </c>
      <c r="Q712" s="7">
        <f t="shared" si="11"/>
        <v>14</v>
      </c>
    </row>
    <row r="713" spans="1:17" x14ac:dyDescent="0.35">
      <c r="A713" t="s">
        <v>819</v>
      </c>
      <c r="B713" t="s">
        <v>23</v>
      </c>
      <c r="C713" t="s">
        <v>44</v>
      </c>
      <c r="D713" t="s">
        <v>135</v>
      </c>
      <c r="E713" t="s">
        <v>32</v>
      </c>
      <c r="F713" t="s">
        <v>30</v>
      </c>
      <c r="G713" t="s">
        <v>28</v>
      </c>
      <c r="H713">
        <v>15</v>
      </c>
      <c r="I713" t="s">
        <v>33</v>
      </c>
      <c r="J713" s="2">
        <v>45838.166666666664</v>
      </c>
      <c r="K713" s="2">
        <v>45852.665945671295</v>
      </c>
      <c r="L713" s="2">
        <v>45664.512743055559</v>
      </c>
      <c r="M713" t="s">
        <v>1982</v>
      </c>
      <c r="N713" t="s">
        <v>1970</v>
      </c>
      <c r="O713" s="2">
        <v>45736.727090462962</v>
      </c>
      <c r="P713" s="2">
        <v>45754.735395972224</v>
      </c>
      <c r="Q713" s="7">
        <f t="shared" si="11"/>
        <v>13</v>
      </c>
    </row>
    <row r="714" spans="1:17" x14ac:dyDescent="0.35">
      <c r="A714" t="s">
        <v>819</v>
      </c>
      <c r="B714" t="s">
        <v>23</v>
      </c>
      <c r="C714" t="s">
        <v>44</v>
      </c>
      <c r="D714" t="s">
        <v>135</v>
      </c>
      <c r="E714" t="s">
        <v>32</v>
      </c>
      <c r="F714" t="s">
        <v>30</v>
      </c>
      <c r="G714" t="s">
        <v>28</v>
      </c>
      <c r="H714">
        <v>15</v>
      </c>
      <c r="I714" t="s">
        <v>33</v>
      </c>
      <c r="J714" s="2">
        <v>45838.166666666664</v>
      </c>
      <c r="K714" s="2">
        <v>45852.665945671295</v>
      </c>
      <c r="L714" s="2">
        <v>45664.512743055559</v>
      </c>
      <c r="M714" t="s">
        <v>1975</v>
      </c>
      <c r="N714" t="s">
        <v>1970</v>
      </c>
      <c r="O714" s="2">
        <v>45775.708325347223</v>
      </c>
      <c r="P714" s="2">
        <v>45796.546280127317</v>
      </c>
      <c r="Q714" s="7">
        <f t="shared" si="11"/>
        <v>16</v>
      </c>
    </row>
    <row r="715" spans="1:17" x14ac:dyDescent="0.35">
      <c r="A715" t="s">
        <v>2160</v>
      </c>
      <c r="B715" t="s">
        <v>23</v>
      </c>
      <c r="C715" t="s">
        <v>44</v>
      </c>
      <c r="D715" t="s">
        <v>54</v>
      </c>
      <c r="E715" t="s">
        <v>38</v>
      </c>
      <c r="F715" t="s">
        <v>30</v>
      </c>
      <c r="G715" t="s">
        <v>28</v>
      </c>
      <c r="J715" s="2">
        <v>45817.166666666664</v>
      </c>
      <c r="K715" s="2">
        <v>45868.830372916666</v>
      </c>
      <c r="L715" s="2">
        <v>45664.600370370368</v>
      </c>
      <c r="M715" t="s">
        <v>1981</v>
      </c>
      <c r="N715" t="s">
        <v>1995</v>
      </c>
      <c r="O715" s="2">
        <v>45681.716031111115</v>
      </c>
      <c r="P715" s="2">
        <v>45698.665659675928</v>
      </c>
      <c r="Q715" s="7">
        <f t="shared" si="11"/>
        <v>12</v>
      </c>
    </row>
    <row r="716" spans="1:17" x14ac:dyDescent="0.35">
      <c r="A716" t="s">
        <v>2160</v>
      </c>
      <c r="B716" t="s">
        <v>23</v>
      </c>
      <c r="C716" t="s">
        <v>44</v>
      </c>
      <c r="D716" t="s">
        <v>54</v>
      </c>
      <c r="E716" t="s">
        <v>38</v>
      </c>
      <c r="F716" t="s">
        <v>30</v>
      </c>
      <c r="G716" t="s">
        <v>28</v>
      </c>
      <c r="J716" s="2">
        <v>45817.166666666664</v>
      </c>
      <c r="K716" s="2">
        <v>45868.830372916666</v>
      </c>
      <c r="L716" s="2">
        <v>45664.600370370368</v>
      </c>
      <c r="M716" t="s">
        <v>1975</v>
      </c>
      <c r="N716" t="s">
        <v>1970</v>
      </c>
      <c r="O716" s="2">
        <v>45797.236795717596</v>
      </c>
      <c r="P716" s="2">
        <v>45825.564798807871</v>
      </c>
      <c r="Q716" s="7">
        <f t="shared" si="11"/>
        <v>21</v>
      </c>
    </row>
    <row r="717" spans="1:17" x14ac:dyDescent="0.35">
      <c r="A717" t="s">
        <v>2160</v>
      </c>
      <c r="B717" t="s">
        <v>23</v>
      </c>
      <c r="C717" t="s">
        <v>44</v>
      </c>
      <c r="D717" t="s">
        <v>54</v>
      </c>
      <c r="E717" t="s">
        <v>38</v>
      </c>
      <c r="F717" t="s">
        <v>30</v>
      </c>
      <c r="G717" t="s">
        <v>28</v>
      </c>
      <c r="J717" s="2">
        <v>45817.166666666664</v>
      </c>
      <c r="K717" s="2">
        <v>45868.830372916666</v>
      </c>
      <c r="L717" s="2">
        <v>45664.600370370368</v>
      </c>
      <c r="M717" t="s">
        <v>1973</v>
      </c>
      <c r="N717" t="s">
        <v>1970</v>
      </c>
      <c r="O717" s="2">
        <v>45811.658583564815</v>
      </c>
      <c r="P717" s="2">
        <v>45825.56495472222</v>
      </c>
      <c r="Q717" s="7">
        <f t="shared" si="11"/>
        <v>11</v>
      </c>
    </row>
    <row r="718" spans="1:17" x14ac:dyDescent="0.35">
      <c r="A718" t="s">
        <v>2160</v>
      </c>
      <c r="B718" t="s">
        <v>23</v>
      </c>
      <c r="C718" t="s">
        <v>44</v>
      </c>
      <c r="D718" t="s">
        <v>54</v>
      </c>
      <c r="E718" t="s">
        <v>38</v>
      </c>
      <c r="F718" t="s">
        <v>30</v>
      </c>
      <c r="G718" t="s">
        <v>28</v>
      </c>
      <c r="J718" s="2">
        <v>45817.166666666664</v>
      </c>
      <c r="K718" s="2">
        <v>45868.830372916666</v>
      </c>
      <c r="L718" s="2">
        <v>45664.600370370368</v>
      </c>
      <c r="M718" t="s">
        <v>1973</v>
      </c>
      <c r="N718" t="s">
        <v>1970</v>
      </c>
      <c r="O718" s="2">
        <v>45825.651732789353</v>
      </c>
      <c r="P718" s="2">
        <v>45832.510823738427</v>
      </c>
      <c r="Q718" s="7">
        <f t="shared" si="11"/>
        <v>6</v>
      </c>
    </row>
    <row r="719" spans="1:17" x14ac:dyDescent="0.35">
      <c r="A719" t="s">
        <v>629</v>
      </c>
      <c r="B719" t="s">
        <v>23</v>
      </c>
      <c r="C719" t="s">
        <v>44</v>
      </c>
      <c r="D719" t="s">
        <v>54</v>
      </c>
      <c r="E719" t="s">
        <v>174</v>
      </c>
      <c r="F719" t="s">
        <v>30</v>
      </c>
      <c r="G719" t="s">
        <v>28</v>
      </c>
      <c r="H719">
        <v>10</v>
      </c>
      <c r="I719" t="s">
        <v>81</v>
      </c>
      <c r="J719" s="2">
        <v>45750.166666666664</v>
      </c>
      <c r="K719" s="2">
        <v>45785.914445185183</v>
      </c>
      <c r="L719" s="2">
        <v>45670.623090277775</v>
      </c>
      <c r="M719" t="s">
        <v>1981</v>
      </c>
      <c r="N719" t="s">
        <v>1970</v>
      </c>
      <c r="O719" s="2">
        <v>45671.92388775463</v>
      </c>
      <c r="P719" s="2">
        <v>45674.776846030094</v>
      </c>
      <c r="Q719" s="7">
        <f t="shared" si="11"/>
        <v>4</v>
      </c>
    </row>
    <row r="720" spans="1:17" x14ac:dyDescent="0.35">
      <c r="A720" t="s">
        <v>1321</v>
      </c>
      <c r="B720" t="s">
        <v>23</v>
      </c>
      <c r="C720" t="s">
        <v>44</v>
      </c>
      <c r="D720" t="s">
        <v>135</v>
      </c>
      <c r="E720" t="s">
        <v>32</v>
      </c>
      <c r="F720" t="s">
        <v>30</v>
      </c>
      <c r="G720" t="s">
        <v>28</v>
      </c>
      <c r="I720" t="s">
        <v>33</v>
      </c>
      <c r="J720" s="2">
        <v>45714.208333333336</v>
      </c>
      <c r="K720" s="2">
        <v>45714.833809016207</v>
      </c>
      <c r="L720" s="2">
        <v>45680.456759259258</v>
      </c>
      <c r="M720" t="s">
        <v>1979</v>
      </c>
      <c r="N720" t="s">
        <v>1970</v>
      </c>
      <c r="O720" s="2">
        <v>45686.822511319442</v>
      </c>
      <c r="P720" s="2">
        <v>45691.575618402778</v>
      </c>
      <c r="Q720" s="7">
        <f t="shared" si="11"/>
        <v>4</v>
      </c>
    </row>
    <row r="721" spans="1:17" x14ac:dyDescent="0.35">
      <c r="A721" t="s">
        <v>1377</v>
      </c>
      <c r="B721" t="s">
        <v>23</v>
      </c>
      <c r="C721" t="s">
        <v>44</v>
      </c>
      <c r="D721" t="s">
        <v>54</v>
      </c>
      <c r="E721" t="s">
        <v>38</v>
      </c>
      <c r="F721" t="s">
        <v>30</v>
      </c>
      <c r="G721" t="s">
        <v>28</v>
      </c>
      <c r="I721" t="s">
        <v>81</v>
      </c>
      <c r="J721" s="2">
        <v>45856.166666666664</v>
      </c>
      <c r="K721" s="2">
        <v>45839.249318379632</v>
      </c>
      <c r="L721" s="2">
        <v>45685.49962962963</v>
      </c>
      <c r="M721" t="s">
        <v>1981</v>
      </c>
      <c r="N721" t="s">
        <v>1995</v>
      </c>
      <c r="O721" s="2">
        <v>45694.388477060187</v>
      </c>
      <c r="P721" s="2">
        <v>45707.065136712961</v>
      </c>
      <c r="Q721" s="7">
        <f t="shared" si="11"/>
        <v>10</v>
      </c>
    </row>
    <row r="722" spans="1:17" x14ac:dyDescent="0.35">
      <c r="A722" t="s">
        <v>1377</v>
      </c>
      <c r="B722" t="s">
        <v>23</v>
      </c>
      <c r="C722" t="s">
        <v>44</v>
      </c>
      <c r="D722" t="s">
        <v>54</v>
      </c>
      <c r="E722" t="s">
        <v>38</v>
      </c>
      <c r="F722" t="s">
        <v>30</v>
      </c>
      <c r="G722" t="s">
        <v>28</v>
      </c>
      <c r="I722" t="s">
        <v>81</v>
      </c>
      <c r="J722" s="2">
        <v>45856.166666666664</v>
      </c>
      <c r="K722" s="2">
        <v>45839.249318379632</v>
      </c>
      <c r="L722" s="2">
        <v>45685.49962962963</v>
      </c>
      <c r="M722" t="s">
        <v>1979</v>
      </c>
      <c r="N722" t="s">
        <v>1995</v>
      </c>
      <c r="O722" s="2">
        <v>45707.672850740739</v>
      </c>
      <c r="P722" s="2">
        <v>45728.718138159726</v>
      </c>
      <c r="Q722" s="7">
        <f t="shared" si="11"/>
        <v>16</v>
      </c>
    </row>
    <row r="723" spans="1:17" x14ac:dyDescent="0.35">
      <c r="A723" t="s">
        <v>464</v>
      </c>
      <c r="B723" t="s">
        <v>23</v>
      </c>
      <c r="C723" t="s">
        <v>44</v>
      </c>
      <c r="D723" t="s">
        <v>244</v>
      </c>
      <c r="E723" t="s">
        <v>38</v>
      </c>
      <c r="F723" t="s">
        <v>30</v>
      </c>
      <c r="G723" t="s">
        <v>28</v>
      </c>
      <c r="H723">
        <v>5</v>
      </c>
      <c r="I723" t="s">
        <v>33</v>
      </c>
      <c r="J723" s="2">
        <v>45744.166666666664</v>
      </c>
      <c r="K723" s="2">
        <v>45736.691733344909</v>
      </c>
      <c r="L723" s="2">
        <v>45686.624571759261</v>
      </c>
      <c r="M723" t="s">
        <v>1975</v>
      </c>
      <c r="N723" t="s">
        <v>1970</v>
      </c>
      <c r="O723" s="2">
        <v>45692.815681643522</v>
      </c>
      <c r="P723" s="2">
        <v>45699.718389629626</v>
      </c>
      <c r="Q723" s="7">
        <f t="shared" si="11"/>
        <v>6</v>
      </c>
    </row>
    <row r="724" spans="1:17" x14ac:dyDescent="0.35">
      <c r="A724" t="s">
        <v>1367</v>
      </c>
      <c r="B724" t="s">
        <v>23</v>
      </c>
      <c r="C724" t="s">
        <v>44</v>
      </c>
      <c r="D724" t="s">
        <v>130</v>
      </c>
      <c r="E724" t="s">
        <v>38</v>
      </c>
      <c r="F724" t="s">
        <v>30</v>
      </c>
      <c r="G724" t="s">
        <v>28</v>
      </c>
      <c r="I724" t="s">
        <v>33</v>
      </c>
      <c r="J724" s="2">
        <v>45876.166666666664</v>
      </c>
      <c r="K724" s="2">
        <v>45812.585670208333</v>
      </c>
      <c r="L724" s="2">
        <v>45687.808194444442</v>
      </c>
      <c r="M724" t="s">
        <v>1981</v>
      </c>
      <c r="N724" t="s">
        <v>1970</v>
      </c>
      <c r="O724" s="2">
        <v>45693.801266631941</v>
      </c>
      <c r="P724" s="2">
        <v>45715.64560103009</v>
      </c>
      <c r="Q724" s="7">
        <f t="shared" si="11"/>
        <v>17</v>
      </c>
    </row>
    <row r="725" spans="1:17" x14ac:dyDescent="0.35">
      <c r="A725" t="s">
        <v>966</v>
      </c>
      <c r="B725" t="s">
        <v>23</v>
      </c>
      <c r="C725" t="s">
        <v>44</v>
      </c>
      <c r="D725" t="s">
        <v>409</v>
      </c>
      <c r="E725" t="s">
        <v>38</v>
      </c>
      <c r="F725" t="s">
        <v>30</v>
      </c>
      <c r="G725" t="s">
        <v>28</v>
      </c>
      <c r="H725">
        <v>22</v>
      </c>
      <c r="I725" t="s">
        <v>81</v>
      </c>
      <c r="J725" s="2">
        <v>45839.166666666664</v>
      </c>
      <c r="K725" s="2">
        <v>45817.823263738428</v>
      </c>
      <c r="L725" s="2">
        <v>45688.834050925929</v>
      </c>
      <c r="M725" t="s">
        <v>1981</v>
      </c>
      <c r="N725" t="s">
        <v>1970</v>
      </c>
      <c r="O725" s="2">
        <v>45693.806066134261</v>
      </c>
      <c r="P725" s="2">
        <v>45706.552603946759</v>
      </c>
      <c r="Q725" s="7">
        <f t="shared" si="11"/>
        <v>10</v>
      </c>
    </row>
    <row r="726" spans="1:17" x14ac:dyDescent="0.35">
      <c r="A726" t="s">
        <v>966</v>
      </c>
      <c r="B726" t="s">
        <v>23</v>
      </c>
      <c r="C726" t="s">
        <v>44</v>
      </c>
      <c r="D726" t="s">
        <v>409</v>
      </c>
      <c r="E726" t="s">
        <v>38</v>
      </c>
      <c r="F726" t="s">
        <v>30</v>
      </c>
      <c r="G726" t="s">
        <v>28</v>
      </c>
      <c r="H726">
        <v>22</v>
      </c>
      <c r="I726" t="s">
        <v>81</v>
      </c>
      <c r="J726" s="2">
        <v>45839.166666666664</v>
      </c>
      <c r="K726" s="2">
        <v>45817.823263738428</v>
      </c>
      <c r="L726" s="2">
        <v>45688.834050925929</v>
      </c>
      <c r="M726" t="s">
        <v>1979</v>
      </c>
      <c r="N726" t="s">
        <v>1970</v>
      </c>
      <c r="O726" s="2">
        <v>45723.774023726852</v>
      </c>
      <c r="P726" s="2">
        <v>45729.696508472225</v>
      </c>
      <c r="Q726" s="7">
        <f t="shared" si="11"/>
        <v>5</v>
      </c>
    </row>
    <row r="727" spans="1:17" x14ac:dyDescent="0.35">
      <c r="A727" t="s">
        <v>1000</v>
      </c>
      <c r="B727" t="s">
        <v>23</v>
      </c>
      <c r="C727" t="s">
        <v>44</v>
      </c>
      <c r="D727" t="s">
        <v>130</v>
      </c>
      <c r="E727" t="s">
        <v>38</v>
      </c>
      <c r="F727" t="s">
        <v>30</v>
      </c>
      <c r="G727" t="s">
        <v>28</v>
      </c>
      <c r="H727">
        <v>26</v>
      </c>
      <c r="I727" t="s">
        <v>33</v>
      </c>
      <c r="J727" s="2">
        <v>45876.166666666664</v>
      </c>
      <c r="K727" s="2">
        <v>45776.75027193287</v>
      </c>
      <c r="L727" s="2">
        <v>45692.868402777778</v>
      </c>
      <c r="M727" t="s">
        <v>1981</v>
      </c>
      <c r="N727" t="s">
        <v>1970</v>
      </c>
      <c r="O727" s="2">
        <v>45699.753205636574</v>
      </c>
      <c r="P727" s="2">
        <v>45719.848377395836</v>
      </c>
      <c r="Q727" s="7">
        <f t="shared" si="11"/>
        <v>15</v>
      </c>
    </row>
    <row r="728" spans="1:17" x14ac:dyDescent="0.35">
      <c r="A728" t="s">
        <v>847</v>
      </c>
      <c r="B728" t="s">
        <v>23</v>
      </c>
      <c r="C728" t="s">
        <v>44</v>
      </c>
      <c r="D728" t="s">
        <v>130</v>
      </c>
      <c r="E728" t="s">
        <v>38</v>
      </c>
      <c r="F728" t="s">
        <v>30</v>
      </c>
      <c r="G728" t="s">
        <v>28</v>
      </c>
      <c r="H728">
        <v>16</v>
      </c>
      <c r="I728" t="s">
        <v>33</v>
      </c>
      <c r="J728" s="2">
        <v>45924.166666666664</v>
      </c>
      <c r="K728" s="2">
        <v>45786.837766643519</v>
      </c>
      <c r="L728" s="2">
        <v>45706.845254629632</v>
      </c>
      <c r="M728" t="s">
        <v>1981</v>
      </c>
      <c r="N728" t="s">
        <v>1970</v>
      </c>
      <c r="O728" s="2">
        <v>45713.714527418982</v>
      </c>
      <c r="P728" s="2">
        <v>45719.847280879629</v>
      </c>
      <c r="Q728" s="7">
        <f t="shared" si="11"/>
        <v>5</v>
      </c>
    </row>
    <row r="729" spans="1:17" x14ac:dyDescent="0.35">
      <c r="A729" t="s">
        <v>685</v>
      </c>
      <c r="B729" t="s">
        <v>23</v>
      </c>
      <c r="C729" t="s">
        <v>44</v>
      </c>
      <c r="D729" t="s">
        <v>244</v>
      </c>
      <c r="E729" t="s">
        <v>38</v>
      </c>
      <c r="F729" t="s">
        <v>30</v>
      </c>
      <c r="G729" t="s">
        <v>28</v>
      </c>
      <c r="H729">
        <v>11</v>
      </c>
      <c r="I729" t="s">
        <v>33</v>
      </c>
      <c r="J729" s="2">
        <v>45796.166666666664</v>
      </c>
      <c r="K729" s="2">
        <v>45783.9947841088</v>
      </c>
      <c r="L729" s="2">
        <v>45694.398506944446</v>
      </c>
      <c r="M729" t="s">
        <v>1981</v>
      </c>
      <c r="N729" t="s">
        <v>1995</v>
      </c>
      <c r="O729" s="2">
        <v>45699.101565578705</v>
      </c>
      <c r="P729" s="2">
        <v>45700.64487640046</v>
      </c>
      <c r="Q729" s="7">
        <f t="shared" si="11"/>
        <v>2</v>
      </c>
    </row>
    <row r="730" spans="1:17" x14ac:dyDescent="0.35">
      <c r="A730" t="s">
        <v>685</v>
      </c>
      <c r="B730" t="s">
        <v>23</v>
      </c>
      <c r="C730" t="s">
        <v>44</v>
      </c>
      <c r="D730" t="s">
        <v>244</v>
      </c>
      <c r="E730" t="s">
        <v>38</v>
      </c>
      <c r="F730" t="s">
        <v>30</v>
      </c>
      <c r="G730" t="s">
        <v>28</v>
      </c>
      <c r="H730">
        <v>11</v>
      </c>
      <c r="I730" t="s">
        <v>33</v>
      </c>
      <c r="J730" s="2">
        <v>45796.166666666664</v>
      </c>
      <c r="K730" s="2">
        <v>45783.9947841088</v>
      </c>
      <c r="L730" s="2">
        <v>45694.398506944446</v>
      </c>
      <c r="M730" t="s">
        <v>1979</v>
      </c>
      <c r="N730" t="s">
        <v>1970</v>
      </c>
      <c r="O730" s="2">
        <v>45702.077420046298</v>
      </c>
      <c r="P730" s="2">
        <v>45721.333060115743</v>
      </c>
      <c r="Q730" s="7">
        <f t="shared" si="11"/>
        <v>14</v>
      </c>
    </row>
    <row r="731" spans="1:17" x14ac:dyDescent="0.35">
      <c r="A731" t="s">
        <v>1343</v>
      </c>
      <c r="B731" t="s">
        <v>23</v>
      </c>
      <c r="C731" t="s">
        <v>44</v>
      </c>
      <c r="D731" t="s">
        <v>36</v>
      </c>
      <c r="E731" t="s">
        <v>48</v>
      </c>
      <c r="F731" t="s">
        <v>30</v>
      </c>
      <c r="G731" t="s">
        <v>28</v>
      </c>
      <c r="I731" t="s">
        <v>33</v>
      </c>
      <c r="J731" s="2">
        <v>45758.166666666664</v>
      </c>
      <c r="K731" s="2">
        <v>45813.58306138889</v>
      </c>
      <c r="L731" s="2">
        <v>45694.631643518522</v>
      </c>
      <c r="M731" t="s">
        <v>1980</v>
      </c>
      <c r="N731" t="s">
        <v>1987</v>
      </c>
      <c r="O731" s="2">
        <v>45729.712224328701</v>
      </c>
      <c r="P731" s="2">
        <v>45764.761582881947</v>
      </c>
      <c r="Q731" s="7">
        <f t="shared" si="11"/>
        <v>35.049358553245838</v>
      </c>
    </row>
    <row r="732" spans="1:17" x14ac:dyDescent="0.35">
      <c r="A732" t="s">
        <v>919</v>
      </c>
      <c r="B732" t="s">
        <v>23</v>
      </c>
      <c r="C732" t="s">
        <v>44</v>
      </c>
      <c r="D732" t="s">
        <v>54</v>
      </c>
      <c r="E732" t="s">
        <v>38</v>
      </c>
      <c r="F732" t="s">
        <v>30</v>
      </c>
      <c r="G732" t="s">
        <v>28</v>
      </c>
      <c r="H732">
        <v>19</v>
      </c>
      <c r="I732" t="s">
        <v>33</v>
      </c>
      <c r="J732" s="2">
        <v>45856.166666666664</v>
      </c>
      <c r="K732" s="2">
        <v>45859.766411226854</v>
      </c>
      <c r="L732" s="2">
        <v>45698.56585648148</v>
      </c>
      <c r="M732" t="s">
        <v>1981</v>
      </c>
      <c r="N732" t="s">
        <v>1995</v>
      </c>
      <c r="O732" s="2">
        <v>45701.057233020831</v>
      </c>
      <c r="P732" s="2">
        <v>45701.092471296295</v>
      </c>
      <c r="Q732" s="7">
        <f t="shared" si="11"/>
        <v>1</v>
      </c>
    </row>
    <row r="733" spans="1:17" x14ac:dyDescent="0.35">
      <c r="A733" t="s">
        <v>919</v>
      </c>
      <c r="B733" t="s">
        <v>23</v>
      </c>
      <c r="C733" t="s">
        <v>44</v>
      </c>
      <c r="D733" t="s">
        <v>54</v>
      </c>
      <c r="E733" t="s">
        <v>38</v>
      </c>
      <c r="F733" t="s">
        <v>30</v>
      </c>
      <c r="G733" t="s">
        <v>28</v>
      </c>
      <c r="H733">
        <v>19</v>
      </c>
      <c r="I733" t="s">
        <v>33</v>
      </c>
      <c r="J733" s="2">
        <v>45856.166666666664</v>
      </c>
      <c r="K733" s="2">
        <v>45859.766411226854</v>
      </c>
      <c r="L733" s="2">
        <v>45698.56585648148</v>
      </c>
      <c r="M733" t="s">
        <v>1979</v>
      </c>
      <c r="N733" t="s">
        <v>1995</v>
      </c>
      <c r="O733" s="2">
        <v>45705.685663819444</v>
      </c>
      <c r="P733" s="2">
        <v>45736.754548472221</v>
      </c>
      <c r="Q733" s="7">
        <f t="shared" si="11"/>
        <v>24</v>
      </c>
    </row>
    <row r="734" spans="1:17" x14ac:dyDescent="0.35">
      <c r="A734" t="s">
        <v>919</v>
      </c>
      <c r="B734" t="s">
        <v>23</v>
      </c>
      <c r="C734" t="s">
        <v>44</v>
      </c>
      <c r="D734" t="s">
        <v>54</v>
      </c>
      <c r="E734" t="s">
        <v>38</v>
      </c>
      <c r="F734" t="s">
        <v>30</v>
      </c>
      <c r="G734" t="s">
        <v>28</v>
      </c>
      <c r="H734">
        <v>19</v>
      </c>
      <c r="I734" t="s">
        <v>33</v>
      </c>
      <c r="J734" s="2">
        <v>45856.166666666664</v>
      </c>
      <c r="K734" s="2">
        <v>45859.766411226854</v>
      </c>
      <c r="L734" s="2">
        <v>45698.56585648148</v>
      </c>
      <c r="M734" t="s">
        <v>1979</v>
      </c>
      <c r="N734" t="s">
        <v>1970</v>
      </c>
      <c r="O734" s="2">
        <v>45742.163769479164</v>
      </c>
      <c r="P734" s="2">
        <v>45751.087247719908</v>
      </c>
      <c r="Q734" s="7">
        <f t="shared" si="11"/>
        <v>8</v>
      </c>
    </row>
    <row r="735" spans="1:17" x14ac:dyDescent="0.35">
      <c r="A735" t="s">
        <v>919</v>
      </c>
      <c r="B735" t="s">
        <v>23</v>
      </c>
      <c r="C735" t="s">
        <v>44</v>
      </c>
      <c r="D735" t="s">
        <v>54</v>
      </c>
      <c r="E735" t="s">
        <v>38</v>
      </c>
      <c r="F735" t="s">
        <v>30</v>
      </c>
      <c r="G735" t="s">
        <v>28</v>
      </c>
      <c r="H735">
        <v>19</v>
      </c>
      <c r="I735" t="s">
        <v>33</v>
      </c>
      <c r="J735" s="2">
        <v>45856.166666666664</v>
      </c>
      <c r="K735" s="2">
        <v>45859.766411226854</v>
      </c>
      <c r="L735" s="2">
        <v>45698.56585648148</v>
      </c>
      <c r="M735" t="s">
        <v>1975</v>
      </c>
      <c r="N735" t="s">
        <v>1970</v>
      </c>
      <c r="O735" s="2">
        <v>45767.122751643517</v>
      </c>
      <c r="P735" s="2">
        <v>45796.521772731481</v>
      </c>
      <c r="Q735" s="7">
        <f t="shared" si="11"/>
        <v>21</v>
      </c>
    </row>
    <row r="736" spans="1:17" x14ac:dyDescent="0.35">
      <c r="A736" t="s">
        <v>916</v>
      </c>
      <c r="B736" t="s">
        <v>23</v>
      </c>
      <c r="C736" t="s">
        <v>44</v>
      </c>
      <c r="D736" t="s">
        <v>36</v>
      </c>
      <c r="E736" t="s">
        <v>48</v>
      </c>
      <c r="F736" t="s">
        <v>30</v>
      </c>
      <c r="G736" t="s">
        <v>28</v>
      </c>
      <c r="H736">
        <v>19</v>
      </c>
      <c r="I736" t="s">
        <v>33</v>
      </c>
      <c r="J736" s="2">
        <v>45730.166666666664</v>
      </c>
      <c r="K736" s="2">
        <v>45740.538932488424</v>
      </c>
      <c r="L736" s="2">
        <v>45700.653495370374</v>
      </c>
      <c r="M736" t="s">
        <v>1979</v>
      </c>
      <c r="N736" t="s">
        <v>1970</v>
      </c>
      <c r="O736" s="2">
        <v>45701.648135324074</v>
      </c>
      <c r="P736" s="2">
        <v>45707.553919270831</v>
      </c>
      <c r="Q736" s="7">
        <f t="shared" si="11"/>
        <v>5.9057839467568556</v>
      </c>
    </row>
    <row r="737" spans="1:17" x14ac:dyDescent="0.35">
      <c r="A737" t="s">
        <v>994</v>
      </c>
      <c r="B737" t="s">
        <v>23</v>
      </c>
      <c r="C737" t="s">
        <v>44</v>
      </c>
      <c r="D737" t="s">
        <v>130</v>
      </c>
      <c r="E737" t="s">
        <v>38</v>
      </c>
      <c r="F737" t="s">
        <v>30</v>
      </c>
      <c r="G737" t="s">
        <v>28</v>
      </c>
      <c r="H737">
        <v>25</v>
      </c>
      <c r="I737" t="s">
        <v>33</v>
      </c>
      <c r="J737" s="2">
        <v>45890.166666666664</v>
      </c>
      <c r="K737" s="2">
        <v>45804.870162141204</v>
      </c>
      <c r="L737" s="2">
        <v>45705.914548611108</v>
      </c>
      <c r="M737" t="s">
        <v>1981</v>
      </c>
      <c r="N737" t="s">
        <v>1970</v>
      </c>
      <c r="O737" s="2">
        <v>45706.733137511575</v>
      </c>
      <c r="P737" s="2">
        <v>45719.849524467594</v>
      </c>
      <c r="Q737" s="7">
        <f t="shared" si="11"/>
        <v>10</v>
      </c>
    </row>
    <row r="738" spans="1:17" x14ac:dyDescent="0.35">
      <c r="A738" t="s">
        <v>994</v>
      </c>
      <c r="B738" t="s">
        <v>23</v>
      </c>
      <c r="C738" t="s">
        <v>44</v>
      </c>
      <c r="D738" t="s">
        <v>130</v>
      </c>
      <c r="E738" t="s">
        <v>38</v>
      </c>
      <c r="F738" t="s">
        <v>30</v>
      </c>
      <c r="G738" t="s">
        <v>28</v>
      </c>
      <c r="H738">
        <v>25</v>
      </c>
      <c r="I738" t="s">
        <v>33</v>
      </c>
      <c r="J738" s="2">
        <v>45890.166666666664</v>
      </c>
      <c r="K738" s="2">
        <v>45804.870162141204</v>
      </c>
      <c r="L738" s="2">
        <v>45705.914548611108</v>
      </c>
      <c r="M738" t="s">
        <v>1981</v>
      </c>
      <c r="N738" t="s">
        <v>1970</v>
      </c>
      <c r="O738" s="2">
        <v>45720.834789664354</v>
      </c>
      <c r="P738" s="2">
        <v>45723.795654571761</v>
      </c>
      <c r="Q738" s="7">
        <f t="shared" si="11"/>
        <v>4</v>
      </c>
    </row>
    <row r="739" spans="1:17" x14ac:dyDescent="0.35">
      <c r="A739" t="s">
        <v>955</v>
      </c>
      <c r="B739" t="s">
        <v>23</v>
      </c>
      <c r="C739" t="s">
        <v>44</v>
      </c>
      <c r="D739" t="s">
        <v>130</v>
      </c>
      <c r="E739" t="s">
        <v>48</v>
      </c>
      <c r="F739" t="s">
        <v>30</v>
      </c>
      <c r="G739" t="s">
        <v>28</v>
      </c>
      <c r="H739">
        <v>21</v>
      </c>
      <c r="I739" t="s">
        <v>33</v>
      </c>
      <c r="J739" s="2">
        <v>45819.166666666664</v>
      </c>
      <c r="K739" s="2">
        <v>45827.779446018518</v>
      </c>
      <c r="L739" s="2">
        <v>45709.653981481482</v>
      </c>
      <c r="M739" t="s">
        <v>1981</v>
      </c>
      <c r="N739" t="s">
        <v>1970</v>
      </c>
      <c r="O739" s="2">
        <v>45713.716028506948</v>
      </c>
      <c r="P739" s="2">
        <v>45742.848458113425</v>
      </c>
      <c r="Q739" s="7">
        <f t="shared" si="11"/>
        <v>29.132429606477672</v>
      </c>
    </row>
    <row r="740" spans="1:17" x14ac:dyDescent="0.35">
      <c r="A740" t="s">
        <v>1357</v>
      </c>
      <c r="B740" t="s">
        <v>23</v>
      </c>
      <c r="C740" t="s">
        <v>44</v>
      </c>
      <c r="D740" t="s">
        <v>130</v>
      </c>
      <c r="E740" t="s">
        <v>38</v>
      </c>
      <c r="F740" t="s">
        <v>30</v>
      </c>
      <c r="G740" t="s">
        <v>28</v>
      </c>
      <c r="I740" t="s">
        <v>33</v>
      </c>
      <c r="J740" s="2">
        <v>45876.166666666664</v>
      </c>
      <c r="K740" s="2">
        <v>45811.768311446758</v>
      </c>
      <c r="L740" s="2">
        <v>45712.795335648145</v>
      </c>
      <c r="M740" t="s">
        <v>1979</v>
      </c>
      <c r="N740" t="s">
        <v>1970</v>
      </c>
      <c r="O740" s="2">
        <v>45723.772425625</v>
      </c>
      <c r="P740" s="2">
        <v>45735.496932974536</v>
      </c>
      <c r="Q740" s="7">
        <f t="shared" si="11"/>
        <v>9</v>
      </c>
    </row>
    <row r="741" spans="1:17" x14ac:dyDescent="0.35">
      <c r="A741" t="s">
        <v>1380</v>
      </c>
      <c r="B741" t="s">
        <v>23</v>
      </c>
      <c r="C741" t="s">
        <v>44</v>
      </c>
      <c r="D741" t="s">
        <v>54</v>
      </c>
      <c r="E741" t="s">
        <v>38</v>
      </c>
      <c r="F741" t="s">
        <v>30</v>
      </c>
      <c r="G741" t="s">
        <v>28</v>
      </c>
      <c r="I741" t="s">
        <v>33</v>
      </c>
      <c r="J741" s="2">
        <v>45856.166666666664</v>
      </c>
      <c r="K741" s="2">
        <v>45818.091868009258</v>
      </c>
      <c r="L741" s="2">
        <v>45716.512280092589</v>
      </c>
      <c r="M741" t="s">
        <v>1979</v>
      </c>
      <c r="N741" t="s">
        <v>1995</v>
      </c>
      <c r="O741" s="2">
        <v>45722.69565277778</v>
      </c>
      <c r="P741" s="2">
        <v>45734.70653693287</v>
      </c>
      <c r="Q741" s="7">
        <f t="shared" si="11"/>
        <v>9</v>
      </c>
    </row>
    <row r="742" spans="1:17" x14ac:dyDescent="0.35">
      <c r="A742" t="s">
        <v>823</v>
      </c>
      <c r="B742" t="s">
        <v>23</v>
      </c>
      <c r="C742" t="s">
        <v>44</v>
      </c>
      <c r="D742" t="s">
        <v>135</v>
      </c>
      <c r="E742" t="s">
        <v>32</v>
      </c>
      <c r="F742" t="s">
        <v>30</v>
      </c>
      <c r="G742" t="s">
        <v>28</v>
      </c>
      <c r="H742">
        <v>15</v>
      </c>
      <c r="I742" t="s">
        <v>81</v>
      </c>
      <c r="J742" s="2">
        <v>45838.166666666664</v>
      </c>
      <c r="K742" s="2">
        <v>45819.623073437499</v>
      </c>
      <c r="L742" s="2">
        <v>45729.442997685182</v>
      </c>
      <c r="M742" t="s">
        <v>1981</v>
      </c>
      <c r="N742" t="s">
        <v>1970</v>
      </c>
      <c r="O742" s="2">
        <v>45734.560227881942</v>
      </c>
      <c r="P742" s="2">
        <v>45750.596286840278</v>
      </c>
      <c r="Q742" s="7">
        <f t="shared" si="11"/>
        <v>13</v>
      </c>
    </row>
    <row r="743" spans="1:17" x14ac:dyDescent="0.35">
      <c r="A743" t="s">
        <v>823</v>
      </c>
      <c r="B743" t="s">
        <v>23</v>
      </c>
      <c r="C743" t="s">
        <v>44</v>
      </c>
      <c r="D743" t="s">
        <v>135</v>
      </c>
      <c r="E743" t="s">
        <v>32</v>
      </c>
      <c r="F743" t="s">
        <v>30</v>
      </c>
      <c r="G743" t="s">
        <v>28</v>
      </c>
      <c r="H743">
        <v>15</v>
      </c>
      <c r="I743" t="s">
        <v>81</v>
      </c>
      <c r="J743" s="2">
        <v>45838.166666666664</v>
      </c>
      <c r="K743" s="2">
        <v>45819.623073437499</v>
      </c>
      <c r="L743" s="2">
        <v>45729.442997685182</v>
      </c>
      <c r="M743" t="s">
        <v>1982</v>
      </c>
      <c r="N743" t="s">
        <v>1970</v>
      </c>
      <c r="O743" s="2">
        <v>45775.71567568287</v>
      </c>
      <c r="P743" s="2">
        <v>45784.592738923609</v>
      </c>
      <c r="Q743" s="7">
        <f t="shared" si="11"/>
        <v>8</v>
      </c>
    </row>
    <row r="744" spans="1:17" x14ac:dyDescent="0.35">
      <c r="A744" t="s">
        <v>769</v>
      </c>
      <c r="B744" t="s">
        <v>23</v>
      </c>
      <c r="C744" t="s">
        <v>44</v>
      </c>
      <c r="D744" t="s">
        <v>54</v>
      </c>
      <c r="E744" t="s">
        <v>38</v>
      </c>
      <c r="F744" t="s">
        <v>30</v>
      </c>
      <c r="G744" t="s">
        <v>28</v>
      </c>
      <c r="H744">
        <v>13</v>
      </c>
      <c r="I744" t="s">
        <v>33</v>
      </c>
      <c r="J744" s="2">
        <v>45828.166666666664</v>
      </c>
      <c r="K744" s="2">
        <v>45859.855606608799</v>
      </c>
      <c r="L744" s="2">
        <v>45743.558576388888</v>
      </c>
      <c r="M744" t="s">
        <v>1979</v>
      </c>
      <c r="N744" t="s">
        <v>1970</v>
      </c>
      <c r="O744" s="2">
        <v>45764.776855949072</v>
      </c>
      <c r="P744" s="2">
        <v>45776.582468425928</v>
      </c>
      <c r="Q744" s="7">
        <f t="shared" si="11"/>
        <v>9</v>
      </c>
    </row>
    <row r="745" spans="1:17" x14ac:dyDescent="0.35">
      <c r="A745" t="s">
        <v>167</v>
      </c>
      <c r="B745" t="s">
        <v>23</v>
      </c>
      <c r="C745" t="s">
        <v>44</v>
      </c>
      <c r="D745" t="s">
        <v>54</v>
      </c>
      <c r="E745" t="s">
        <v>38</v>
      </c>
      <c r="F745" t="s">
        <v>30</v>
      </c>
      <c r="G745" t="s">
        <v>46</v>
      </c>
      <c r="I745" t="s">
        <v>33</v>
      </c>
      <c r="J745" s="2">
        <v>45814.166666666664</v>
      </c>
      <c r="K745" s="2">
        <v>45797.771777199072</v>
      </c>
      <c r="L745" s="2">
        <v>45750.058321759258</v>
      </c>
      <c r="M745" t="s">
        <v>1981</v>
      </c>
      <c r="N745" t="s">
        <v>1970</v>
      </c>
      <c r="O745" s="2">
        <v>45750.562258668979</v>
      </c>
      <c r="P745" s="2">
        <v>45771.559578379631</v>
      </c>
      <c r="Q745" s="7">
        <f t="shared" si="11"/>
        <v>16</v>
      </c>
    </row>
    <row r="746" spans="1:17" x14ac:dyDescent="0.35">
      <c r="A746" t="s">
        <v>167</v>
      </c>
      <c r="B746" t="s">
        <v>23</v>
      </c>
      <c r="C746" t="s">
        <v>44</v>
      </c>
      <c r="D746" t="s">
        <v>54</v>
      </c>
      <c r="E746" t="s">
        <v>38</v>
      </c>
      <c r="F746" t="s">
        <v>30</v>
      </c>
      <c r="G746" t="s">
        <v>46</v>
      </c>
      <c r="I746" t="s">
        <v>33</v>
      </c>
      <c r="J746" s="2">
        <v>45814.166666666664</v>
      </c>
      <c r="K746" s="2">
        <v>45797.771777199072</v>
      </c>
      <c r="L746" s="2">
        <v>45750.058321759258</v>
      </c>
      <c r="M746" t="s">
        <v>1973</v>
      </c>
      <c r="N746" t="s">
        <v>1970</v>
      </c>
      <c r="O746" s="2">
        <v>45791.706984780096</v>
      </c>
      <c r="P746" s="2">
        <v>45792.535519340279</v>
      </c>
      <c r="Q746" s="7">
        <f t="shared" si="11"/>
        <v>2</v>
      </c>
    </row>
    <row r="747" spans="1:17" x14ac:dyDescent="0.35">
      <c r="A747" t="s">
        <v>1397</v>
      </c>
      <c r="B747" t="s">
        <v>23</v>
      </c>
      <c r="C747" t="s">
        <v>44</v>
      </c>
      <c r="D747" t="s">
        <v>409</v>
      </c>
      <c r="E747" t="s">
        <v>48</v>
      </c>
      <c r="F747" t="s">
        <v>30</v>
      </c>
      <c r="G747" t="s">
        <v>28</v>
      </c>
      <c r="I747" t="s">
        <v>33</v>
      </c>
      <c r="J747" s="2">
        <v>45824.166666666664</v>
      </c>
      <c r="K747" s="2">
        <v>45841.667468541666</v>
      </c>
      <c r="L747" s="2">
        <v>45757.4765162037</v>
      </c>
      <c r="M747" t="s">
        <v>1979</v>
      </c>
      <c r="N747" t="s">
        <v>1970</v>
      </c>
      <c r="O747" s="2">
        <v>45764.88341545139</v>
      </c>
      <c r="P747" s="2">
        <v>45769.60545693287</v>
      </c>
      <c r="Q747" s="7">
        <f t="shared" si="11"/>
        <v>4.7220414814801188</v>
      </c>
    </row>
    <row r="748" spans="1:17" x14ac:dyDescent="0.35">
      <c r="A748" t="s">
        <v>1397</v>
      </c>
      <c r="B748" t="s">
        <v>23</v>
      </c>
      <c r="C748" t="s">
        <v>44</v>
      </c>
      <c r="D748" t="s">
        <v>409</v>
      </c>
      <c r="E748" t="s">
        <v>48</v>
      </c>
      <c r="F748" t="s">
        <v>30</v>
      </c>
      <c r="G748" t="s">
        <v>28</v>
      </c>
      <c r="I748" t="s">
        <v>33</v>
      </c>
      <c r="J748" s="2">
        <v>45824.166666666664</v>
      </c>
      <c r="K748" s="2">
        <v>45841.667468541666</v>
      </c>
      <c r="L748" s="2">
        <v>45757.4765162037</v>
      </c>
      <c r="M748" t="s">
        <v>1975</v>
      </c>
      <c r="N748" t="s">
        <v>1970</v>
      </c>
      <c r="O748" s="2">
        <v>45778.79034284722</v>
      </c>
      <c r="P748" s="2">
        <v>45783.54806671296</v>
      </c>
      <c r="Q748" s="7">
        <f t="shared" si="11"/>
        <v>4.7577238657395355</v>
      </c>
    </row>
    <row r="749" spans="1:17" x14ac:dyDescent="0.35">
      <c r="A749" t="s">
        <v>1397</v>
      </c>
      <c r="B749" t="s">
        <v>23</v>
      </c>
      <c r="C749" t="s">
        <v>44</v>
      </c>
      <c r="D749" t="s">
        <v>409</v>
      </c>
      <c r="E749" t="s">
        <v>48</v>
      </c>
      <c r="F749" t="s">
        <v>30</v>
      </c>
      <c r="G749" t="s">
        <v>28</v>
      </c>
      <c r="I749" t="s">
        <v>33</v>
      </c>
      <c r="J749" s="2">
        <v>45824.166666666664</v>
      </c>
      <c r="K749" s="2">
        <v>45841.667468541666</v>
      </c>
      <c r="L749" s="2">
        <v>45757.4765162037</v>
      </c>
      <c r="M749" t="s">
        <v>1975</v>
      </c>
      <c r="N749" t="s">
        <v>1970</v>
      </c>
      <c r="O749" s="2">
        <v>45783.718130000001</v>
      </c>
      <c r="P749" s="2">
        <v>45789.52492059028</v>
      </c>
      <c r="Q749" s="7">
        <f t="shared" si="11"/>
        <v>5.8067905902789789</v>
      </c>
    </row>
    <row r="750" spans="1:17" x14ac:dyDescent="0.35">
      <c r="A750" t="s">
        <v>1397</v>
      </c>
      <c r="B750" t="s">
        <v>23</v>
      </c>
      <c r="C750" t="s">
        <v>44</v>
      </c>
      <c r="D750" t="s">
        <v>409</v>
      </c>
      <c r="E750" t="s">
        <v>48</v>
      </c>
      <c r="F750" t="s">
        <v>30</v>
      </c>
      <c r="G750" t="s">
        <v>28</v>
      </c>
      <c r="I750" t="s">
        <v>33</v>
      </c>
      <c r="J750" s="2">
        <v>45824.166666666664</v>
      </c>
      <c r="K750" s="2">
        <v>45841.667468541666</v>
      </c>
      <c r="L750" s="2">
        <v>45757.4765162037</v>
      </c>
      <c r="M750" t="s">
        <v>1988</v>
      </c>
      <c r="N750" t="s">
        <v>1974</v>
      </c>
      <c r="O750" s="2">
        <v>45804.820214618056</v>
      </c>
      <c r="P750" s="2">
        <v>45812.619462858798</v>
      </c>
      <c r="Q750" s="7">
        <f t="shared" si="11"/>
        <v>7.7992482407425996</v>
      </c>
    </row>
    <row r="751" spans="1:17" x14ac:dyDescent="0.35">
      <c r="A751" t="s">
        <v>1397</v>
      </c>
      <c r="B751" t="s">
        <v>23</v>
      </c>
      <c r="C751" t="s">
        <v>44</v>
      </c>
      <c r="D751" t="s">
        <v>409</v>
      </c>
      <c r="E751" t="s">
        <v>48</v>
      </c>
      <c r="F751" t="s">
        <v>30</v>
      </c>
      <c r="G751" t="s">
        <v>28</v>
      </c>
      <c r="I751" t="s">
        <v>33</v>
      </c>
      <c r="J751" s="2">
        <v>45824.166666666664</v>
      </c>
      <c r="K751" s="2">
        <v>45841.667468541666</v>
      </c>
      <c r="L751" s="2">
        <v>45757.4765162037</v>
      </c>
      <c r="M751" t="s">
        <v>1988</v>
      </c>
      <c r="N751" t="s">
        <v>1970</v>
      </c>
      <c r="O751" s="2">
        <v>45812.619992118052</v>
      </c>
      <c r="P751" s="2">
        <v>45828.579530462965</v>
      </c>
      <c r="Q751" s="7">
        <f t="shared" si="11"/>
        <v>15.959538344912289</v>
      </c>
    </row>
    <row r="752" spans="1:17" x14ac:dyDescent="0.35">
      <c r="A752" t="s">
        <v>1419</v>
      </c>
      <c r="B752" t="s">
        <v>23</v>
      </c>
      <c r="C752" t="s">
        <v>44</v>
      </c>
      <c r="D752" t="s">
        <v>409</v>
      </c>
      <c r="E752" t="s">
        <v>48</v>
      </c>
      <c r="F752" t="s">
        <v>30</v>
      </c>
      <c r="G752" t="s">
        <v>28</v>
      </c>
      <c r="I752" t="s">
        <v>33</v>
      </c>
      <c r="J752" s="2">
        <v>45863.166666666664</v>
      </c>
      <c r="K752" s="2">
        <v>45845.65724857639</v>
      </c>
      <c r="L752" s="2">
        <v>45769.69835648148</v>
      </c>
      <c r="M752" t="s">
        <v>1981</v>
      </c>
      <c r="N752" t="s">
        <v>1970</v>
      </c>
      <c r="O752" s="2">
        <v>45777.797044884261</v>
      </c>
      <c r="P752" s="2">
        <v>45790.735055937497</v>
      </c>
      <c r="Q752" s="7">
        <f t="shared" si="11"/>
        <v>12.938011053236551</v>
      </c>
    </row>
    <row r="753" spans="1:17" x14ac:dyDescent="0.35">
      <c r="A753" t="s">
        <v>1428</v>
      </c>
      <c r="B753" t="s">
        <v>23</v>
      </c>
      <c r="C753" t="s">
        <v>44</v>
      </c>
      <c r="D753" t="s">
        <v>409</v>
      </c>
      <c r="E753" t="s">
        <v>174</v>
      </c>
      <c r="F753" t="s">
        <v>30</v>
      </c>
      <c r="G753" t="s">
        <v>28</v>
      </c>
      <c r="I753" t="s">
        <v>81</v>
      </c>
      <c r="J753" s="2">
        <v>45863.166666666664</v>
      </c>
      <c r="K753" s="2">
        <v>45847.858541701389</v>
      </c>
      <c r="L753" s="2">
        <v>45775.52753472222</v>
      </c>
      <c r="M753" t="s">
        <v>1981</v>
      </c>
      <c r="N753" t="s">
        <v>1970</v>
      </c>
      <c r="O753" s="2">
        <v>45776.737990868052</v>
      </c>
      <c r="P753" s="2">
        <v>45777.799774965279</v>
      </c>
      <c r="Q753" s="7">
        <f t="shared" si="11"/>
        <v>2</v>
      </c>
    </row>
    <row r="754" spans="1:17" x14ac:dyDescent="0.35">
      <c r="A754" t="s">
        <v>2270</v>
      </c>
      <c r="B754" t="s">
        <v>23</v>
      </c>
      <c r="C754" t="s">
        <v>44</v>
      </c>
      <c r="D754" t="s">
        <v>36</v>
      </c>
      <c r="E754" t="s">
        <v>48</v>
      </c>
      <c r="F754" t="s">
        <v>30</v>
      </c>
      <c r="G754" t="s">
        <v>28</v>
      </c>
      <c r="H754">
        <v>21</v>
      </c>
      <c r="I754" t="s">
        <v>33</v>
      </c>
      <c r="J754" s="2">
        <v>45870.166666666664</v>
      </c>
      <c r="K754" s="2">
        <v>45869.507740706016</v>
      </c>
      <c r="L754" s="2">
        <v>45776.726168981484</v>
      </c>
      <c r="M754" t="s">
        <v>1979</v>
      </c>
      <c r="N754" t="s">
        <v>1970</v>
      </c>
      <c r="O754" s="2">
        <v>45793.821410405093</v>
      </c>
      <c r="P754" s="2">
        <v>45800.590752928241</v>
      </c>
      <c r="Q754" s="7">
        <f t="shared" si="11"/>
        <v>6.7693425231482252</v>
      </c>
    </row>
    <row r="755" spans="1:17" x14ac:dyDescent="0.35">
      <c r="A755" t="s">
        <v>1431</v>
      </c>
      <c r="B755" t="s">
        <v>23</v>
      </c>
      <c r="C755" t="s">
        <v>44</v>
      </c>
      <c r="D755" t="s">
        <v>36</v>
      </c>
      <c r="E755" t="s">
        <v>38</v>
      </c>
      <c r="F755" t="s">
        <v>30</v>
      </c>
      <c r="G755" t="s">
        <v>28</v>
      </c>
      <c r="I755" t="s">
        <v>33</v>
      </c>
      <c r="J755" s="2">
        <v>45821.166666666664</v>
      </c>
      <c r="K755" s="2">
        <v>45819.633861817128</v>
      </c>
      <c r="L755" s="2">
        <v>45782.478831018518</v>
      </c>
      <c r="M755" t="s">
        <v>1981</v>
      </c>
      <c r="N755" t="s">
        <v>1970</v>
      </c>
      <c r="O755" s="2">
        <v>45792.652568611113</v>
      </c>
      <c r="P755" s="2">
        <v>45805.512070925928</v>
      </c>
      <c r="Q755" s="7">
        <f t="shared" si="11"/>
        <v>10</v>
      </c>
    </row>
    <row r="756" spans="1:17" x14ac:dyDescent="0.35">
      <c r="A756" t="s">
        <v>697</v>
      </c>
      <c r="B756" t="s">
        <v>23</v>
      </c>
      <c r="C756" t="s">
        <v>44</v>
      </c>
      <c r="D756" t="s">
        <v>36</v>
      </c>
      <c r="E756" t="s">
        <v>174</v>
      </c>
      <c r="F756" t="s">
        <v>30</v>
      </c>
      <c r="G756" t="s">
        <v>28</v>
      </c>
      <c r="H756">
        <v>11</v>
      </c>
      <c r="I756" t="s">
        <v>33</v>
      </c>
      <c r="J756" s="2">
        <v>45811.166666666664</v>
      </c>
      <c r="K756" s="2">
        <v>45848.75843361111</v>
      </c>
      <c r="L756" s="2">
        <v>45782.529074074075</v>
      </c>
      <c r="M756" t="s">
        <v>1988</v>
      </c>
      <c r="N756" t="s">
        <v>1970</v>
      </c>
      <c r="O756" s="2">
        <v>45812.834245196762</v>
      </c>
      <c r="P756" s="2">
        <v>45838.563418969905</v>
      </c>
      <c r="Q756" s="7">
        <f t="shared" si="11"/>
        <v>19</v>
      </c>
    </row>
    <row r="757" spans="1:17" x14ac:dyDescent="0.35">
      <c r="A757" t="s">
        <v>854</v>
      </c>
      <c r="B757" t="s">
        <v>23</v>
      </c>
      <c r="C757" t="s">
        <v>44</v>
      </c>
      <c r="D757" t="s">
        <v>36</v>
      </c>
      <c r="E757" t="s">
        <v>48</v>
      </c>
      <c r="F757" t="s">
        <v>30</v>
      </c>
      <c r="G757" t="s">
        <v>28</v>
      </c>
      <c r="H757">
        <v>16</v>
      </c>
      <c r="I757" t="s">
        <v>33</v>
      </c>
      <c r="J757" s="2">
        <v>45811.166666666664</v>
      </c>
      <c r="K757" s="2">
        <v>45821.723120416667</v>
      </c>
      <c r="L757" s="2">
        <v>45785.414618055554</v>
      </c>
      <c r="M757" t="s">
        <v>1988</v>
      </c>
      <c r="N757" t="s">
        <v>1984</v>
      </c>
      <c r="O757" s="2">
        <v>45790.887460891201</v>
      </c>
      <c r="P757" s="2">
        <v>45791.563218692128</v>
      </c>
      <c r="Q757" s="7">
        <f t="shared" si="11"/>
        <v>0.67575780092738569</v>
      </c>
    </row>
    <row r="758" spans="1:17" x14ac:dyDescent="0.35">
      <c r="A758" t="s">
        <v>1437</v>
      </c>
      <c r="B758" t="s">
        <v>23</v>
      </c>
      <c r="C758" t="s">
        <v>44</v>
      </c>
      <c r="D758" t="s">
        <v>76</v>
      </c>
      <c r="E758" t="s">
        <v>38</v>
      </c>
      <c r="F758" t="s">
        <v>30</v>
      </c>
      <c r="G758" t="s">
        <v>28</v>
      </c>
      <c r="I758" t="s">
        <v>33</v>
      </c>
      <c r="J758" s="2">
        <v>45888.166666666664</v>
      </c>
      <c r="K758" s="2">
        <v>45852.618972511576</v>
      </c>
      <c r="L758" s="2">
        <v>45806.577060185184</v>
      </c>
      <c r="M758" t="s">
        <v>1981</v>
      </c>
      <c r="N758" t="s">
        <v>1970</v>
      </c>
      <c r="O758" s="2">
        <v>45811.760998113423</v>
      </c>
      <c r="P758" s="2">
        <v>45825.678077800927</v>
      </c>
      <c r="Q758" s="7">
        <f t="shared" si="11"/>
        <v>11</v>
      </c>
    </row>
    <row r="759" spans="1:17" x14ac:dyDescent="0.35">
      <c r="A759" t="s">
        <v>1437</v>
      </c>
      <c r="B759" t="s">
        <v>23</v>
      </c>
      <c r="C759" t="s">
        <v>44</v>
      </c>
      <c r="D759" t="s">
        <v>76</v>
      </c>
      <c r="E759" t="s">
        <v>38</v>
      </c>
      <c r="F759" t="s">
        <v>30</v>
      </c>
      <c r="G759" t="s">
        <v>28</v>
      </c>
      <c r="I759" t="s">
        <v>33</v>
      </c>
      <c r="J759" s="2">
        <v>45888.166666666664</v>
      </c>
      <c r="K759" s="2">
        <v>45852.618972511576</v>
      </c>
      <c r="L759" s="2">
        <v>45806.577060185184</v>
      </c>
      <c r="M759" t="s">
        <v>1979</v>
      </c>
      <c r="N759" t="s">
        <v>1970</v>
      </c>
      <c r="O759" s="2">
        <v>45828.631114976852</v>
      </c>
      <c r="P759" s="2">
        <v>45845.802310601852</v>
      </c>
      <c r="Q759" s="7">
        <f t="shared" si="11"/>
        <v>12</v>
      </c>
    </row>
    <row r="760" spans="1:17" x14ac:dyDescent="0.35">
      <c r="A760" t="s">
        <v>2271</v>
      </c>
      <c r="B760" t="s">
        <v>23</v>
      </c>
      <c r="C760" t="s">
        <v>44</v>
      </c>
      <c r="D760" t="s">
        <v>409</v>
      </c>
      <c r="E760" t="s">
        <v>48</v>
      </c>
      <c r="F760" t="s">
        <v>30</v>
      </c>
      <c r="G760" t="s">
        <v>28</v>
      </c>
      <c r="I760" t="s">
        <v>33</v>
      </c>
      <c r="J760" s="2">
        <v>45891.166666666664</v>
      </c>
      <c r="K760" s="2">
        <v>45869.822156331022</v>
      </c>
      <c r="L760" s="2">
        <v>45819.538773148146</v>
      </c>
      <c r="M760" t="s">
        <v>1981</v>
      </c>
      <c r="N760" t="s">
        <v>1970</v>
      </c>
      <c r="O760" s="2">
        <v>45825.677177372687</v>
      </c>
      <c r="P760" s="2">
        <v>45828.584672650461</v>
      </c>
      <c r="Q760" s="7">
        <f t="shared" si="11"/>
        <v>2.9074952777737053</v>
      </c>
    </row>
    <row r="761" spans="1:17" x14ac:dyDescent="0.35">
      <c r="A761" t="s">
        <v>2272</v>
      </c>
      <c r="B761" t="s">
        <v>23</v>
      </c>
      <c r="C761" t="s">
        <v>44</v>
      </c>
      <c r="D761" t="s">
        <v>76</v>
      </c>
      <c r="E761" t="s">
        <v>38</v>
      </c>
      <c r="F761" t="s">
        <v>30</v>
      </c>
      <c r="G761" t="s">
        <v>28</v>
      </c>
      <c r="I761" t="s">
        <v>33</v>
      </c>
      <c r="J761" s="2">
        <v>45952.166666666664</v>
      </c>
      <c r="K761" s="2">
        <v>45870.740481319444</v>
      </c>
      <c r="L761" s="2">
        <v>45824.823877314811</v>
      </c>
      <c r="M761" t="s">
        <v>1981</v>
      </c>
      <c r="N761" t="s">
        <v>1970</v>
      </c>
      <c r="O761" s="2">
        <v>45825.68514483796</v>
      </c>
      <c r="P761" s="2">
        <v>45828.677915555556</v>
      </c>
      <c r="Q761" s="7">
        <f t="shared" si="11"/>
        <v>4</v>
      </c>
    </row>
    <row r="762" spans="1:17" x14ac:dyDescent="0.35">
      <c r="A762" t="s">
        <v>183</v>
      </c>
      <c r="B762" t="s">
        <v>23</v>
      </c>
      <c r="C762" t="s">
        <v>44</v>
      </c>
      <c r="D762" t="s">
        <v>54</v>
      </c>
      <c r="E762" t="s">
        <v>48</v>
      </c>
      <c r="F762" t="s">
        <v>30</v>
      </c>
      <c r="G762" t="s">
        <v>28</v>
      </c>
      <c r="H762">
        <v>1</v>
      </c>
      <c r="J762" s="2">
        <v>45282.208333333336</v>
      </c>
      <c r="K762" s="2">
        <v>45665.594587557869</v>
      </c>
      <c r="L762" s="2">
        <v>45147.166666666664</v>
      </c>
      <c r="M762" t="s">
        <v>1980</v>
      </c>
      <c r="N762" t="s">
        <v>1987</v>
      </c>
      <c r="O762" s="2">
        <v>45258.706167812503</v>
      </c>
      <c r="P762" s="2">
        <v>45457.551427268518</v>
      </c>
      <c r="Q762" s="7">
        <f t="shared" si="11"/>
        <v>198.8452594560149</v>
      </c>
    </row>
    <row r="763" spans="1:17" x14ac:dyDescent="0.35">
      <c r="A763" t="s">
        <v>183</v>
      </c>
      <c r="B763" t="s">
        <v>23</v>
      </c>
      <c r="C763" t="s">
        <v>44</v>
      </c>
      <c r="D763" t="s">
        <v>54</v>
      </c>
      <c r="E763" t="s">
        <v>48</v>
      </c>
      <c r="F763" t="s">
        <v>30</v>
      </c>
      <c r="G763" t="s">
        <v>28</v>
      </c>
      <c r="H763">
        <v>1</v>
      </c>
      <c r="J763" s="2">
        <v>45282.208333333336</v>
      </c>
      <c r="K763" s="2">
        <v>45665.594587557869</v>
      </c>
      <c r="L763" s="2">
        <v>45147.166666666664</v>
      </c>
      <c r="M763" t="s">
        <v>1980</v>
      </c>
      <c r="N763" t="s">
        <v>1987</v>
      </c>
      <c r="O763" s="2">
        <v>45555.450854675924</v>
      </c>
      <c r="P763" s="2">
        <v>45565.598375601854</v>
      </c>
      <c r="Q763" s="7">
        <f t="shared" si="11"/>
        <v>10.147520925929712</v>
      </c>
    </row>
    <row r="764" spans="1:17" x14ac:dyDescent="0.35">
      <c r="A764" t="s">
        <v>183</v>
      </c>
      <c r="B764" t="s">
        <v>23</v>
      </c>
      <c r="C764" t="s">
        <v>44</v>
      </c>
      <c r="D764" t="s">
        <v>54</v>
      </c>
      <c r="E764" t="s">
        <v>48</v>
      </c>
      <c r="F764" t="s">
        <v>30</v>
      </c>
      <c r="G764" t="s">
        <v>28</v>
      </c>
      <c r="H764">
        <v>1</v>
      </c>
      <c r="J764" s="2">
        <v>45282.208333333336</v>
      </c>
      <c r="K764" s="2">
        <v>45665.594587557869</v>
      </c>
      <c r="L764" s="2">
        <v>45147.166666666664</v>
      </c>
      <c r="M764" t="s">
        <v>1973</v>
      </c>
      <c r="N764" t="s">
        <v>1987</v>
      </c>
      <c r="O764" s="2">
        <v>45589.719992754632</v>
      </c>
      <c r="P764" s="2">
        <v>45603.883322881942</v>
      </c>
      <c r="Q764" s="7">
        <f t="shared" si="11"/>
        <v>14.163330127310473</v>
      </c>
    </row>
    <row r="765" spans="1:17" x14ac:dyDescent="0.35">
      <c r="A765" t="s">
        <v>1564</v>
      </c>
      <c r="B765" t="s">
        <v>23</v>
      </c>
      <c r="C765" t="s">
        <v>44</v>
      </c>
      <c r="D765" t="s">
        <v>54</v>
      </c>
      <c r="E765" t="s">
        <v>349</v>
      </c>
      <c r="F765" t="s">
        <v>30</v>
      </c>
      <c r="G765" t="s">
        <v>1441</v>
      </c>
      <c r="H765">
        <v>10</v>
      </c>
      <c r="J765" s="2">
        <v>45428.166666666664</v>
      </c>
      <c r="K765" s="2">
        <v>45530.800586678241</v>
      </c>
      <c r="L765" s="2">
        <v>45224.166666666664</v>
      </c>
      <c r="M765" t="s">
        <v>1971</v>
      </c>
      <c r="N765" t="s">
        <v>1994</v>
      </c>
      <c r="O765" s="2">
        <v>45294.544972847223</v>
      </c>
      <c r="P765" s="2">
        <v>45379.792595902778</v>
      </c>
      <c r="Q765" s="7">
        <f t="shared" si="11"/>
        <v>85.247623055554868</v>
      </c>
    </row>
    <row r="766" spans="1:17" x14ac:dyDescent="0.35">
      <c r="A766" t="s">
        <v>1564</v>
      </c>
      <c r="B766" t="s">
        <v>23</v>
      </c>
      <c r="C766" t="s">
        <v>44</v>
      </c>
      <c r="D766" t="s">
        <v>54</v>
      </c>
      <c r="E766" t="s">
        <v>349</v>
      </c>
      <c r="F766" t="s">
        <v>30</v>
      </c>
      <c r="G766" t="s">
        <v>1441</v>
      </c>
      <c r="H766">
        <v>10</v>
      </c>
      <c r="J766" s="2">
        <v>45428.166666666664</v>
      </c>
      <c r="K766" s="2">
        <v>45530.800586678241</v>
      </c>
      <c r="L766" s="2">
        <v>45224.166666666664</v>
      </c>
      <c r="M766" t="s">
        <v>1972</v>
      </c>
      <c r="N766" t="s">
        <v>1984</v>
      </c>
      <c r="O766" s="2">
        <v>45299.650598657405</v>
      </c>
      <c r="P766" s="2">
        <v>45313.634739849535</v>
      </c>
      <c r="Q766" s="7">
        <f t="shared" si="11"/>
        <v>13.984141192129755</v>
      </c>
    </row>
    <row r="767" spans="1:17" x14ac:dyDescent="0.35">
      <c r="A767" t="s">
        <v>1564</v>
      </c>
      <c r="B767" t="s">
        <v>23</v>
      </c>
      <c r="C767" t="s">
        <v>44</v>
      </c>
      <c r="D767" t="s">
        <v>54</v>
      </c>
      <c r="E767" t="s">
        <v>349</v>
      </c>
      <c r="F767" t="s">
        <v>30</v>
      </c>
      <c r="G767" t="s">
        <v>1441</v>
      </c>
      <c r="H767">
        <v>10</v>
      </c>
      <c r="J767" s="2">
        <v>45428.166666666664</v>
      </c>
      <c r="K767" s="2">
        <v>45530.800586678241</v>
      </c>
      <c r="L767" s="2">
        <v>45224.166666666664</v>
      </c>
      <c r="M767" t="s">
        <v>1989</v>
      </c>
      <c r="N767" t="s">
        <v>1990</v>
      </c>
      <c r="O767" s="2">
        <v>45470.750003379631</v>
      </c>
      <c r="P767" s="2">
        <v>45530.70959864583</v>
      </c>
      <c r="Q767" s="7">
        <f t="shared" si="11"/>
        <v>59.959595266198448</v>
      </c>
    </row>
    <row r="768" spans="1:17" x14ac:dyDescent="0.35">
      <c r="A768" t="s">
        <v>533</v>
      </c>
      <c r="B768" t="s">
        <v>23</v>
      </c>
      <c r="C768" t="s">
        <v>44</v>
      </c>
      <c r="D768" t="s">
        <v>54</v>
      </c>
      <c r="E768" t="s">
        <v>48</v>
      </c>
      <c r="F768" t="s">
        <v>30</v>
      </c>
      <c r="G768" t="s">
        <v>28</v>
      </c>
      <c r="H768">
        <v>8</v>
      </c>
      <c r="J768" s="2">
        <v>45380.166666666664</v>
      </c>
      <c r="K768" s="2">
        <v>45462.576592974539</v>
      </c>
      <c r="L768" s="2">
        <v>45275.208333333336</v>
      </c>
      <c r="M768" t="s">
        <v>1988</v>
      </c>
      <c r="N768" t="s">
        <v>1978</v>
      </c>
      <c r="O768" s="2">
        <v>45427.594790023148</v>
      </c>
      <c r="P768" s="2">
        <v>45442.755489490744</v>
      </c>
      <c r="Q768" s="7">
        <f t="shared" si="11"/>
        <v>15.160699467596714</v>
      </c>
    </row>
    <row r="769" spans="1:17" x14ac:dyDescent="0.35">
      <c r="A769" t="s">
        <v>533</v>
      </c>
      <c r="B769" t="s">
        <v>23</v>
      </c>
      <c r="C769" t="s">
        <v>44</v>
      </c>
      <c r="D769" t="s">
        <v>54</v>
      </c>
      <c r="E769" t="s">
        <v>48</v>
      </c>
      <c r="F769" t="s">
        <v>30</v>
      </c>
      <c r="G769" t="s">
        <v>28</v>
      </c>
      <c r="H769">
        <v>8</v>
      </c>
      <c r="J769" s="2">
        <v>45380.166666666664</v>
      </c>
      <c r="K769" s="2">
        <v>45462.576592974539</v>
      </c>
      <c r="L769" s="2">
        <v>45275.208333333336</v>
      </c>
      <c r="M769" t="s">
        <v>1989</v>
      </c>
      <c r="N769" t="s">
        <v>1990</v>
      </c>
      <c r="O769" s="2">
        <v>45457.662068865742</v>
      </c>
      <c r="P769" s="2">
        <v>45462.558752256948</v>
      </c>
      <c r="Q769" s="7">
        <f t="shared" si="11"/>
        <v>4.8966833912054426</v>
      </c>
    </row>
    <row r="770" spans="1:17" x14ac:dyDescent="0.35">
      <c r="A770" t="s">
        <v>405</v>
      </c>
      <c r="B770" t="s">
        <v>23</v>
      </c>
      <c r="C770" t="s">
        <v>44</v>
      </c>
      <c r="D770" t="s">
        <v>244</v>
      </c>
      <c r="E770" t="s">
        <v>48</v>
      </c>
      <c r="F770" t="s">
        <v>30</v>
      </c>
      <c r="G770" t="s">
        <v>28</v>
      </c>
      <c r="H770">
        <v>4</v>
      </c>
      <c r="J770" s="2">
        <v>45527.166666666664</v>
      </c>
      <c r="K770" s="2">
        <v>45699.811427337962</v>
      </c>
      <c r="L770" s="2">
        <v>45302.208333333336</v>
      </c>
      <c r="M770" t="s">
        <v>1989</v>
      </c>
      <c r="N770" t="s">
        <v>1990</v>
      </c>
      <c r="O770" s="2">
        <v>45692.64205638889</v>
      </c>
      <c r="P770" s="2">
        <v>45695.694567789353</v>
      </c>
      <c r="Q770" s="7">
        <f t="shared" si="11"/>
        <v>3.0525114004631178</v>
      </c>
    </row>
    <row r="771" spans="1:17" x14ac:dyDescent="0.35">
      <c r="A771" t="s">
        <v>203</v>
      </c>
      <c r="B771" t="s">
        <v>23</v>
      </c>
      <c r="C771" t="s">
        <v>44</v>
      </c>
      <c r="D771" t="s">
        <v>36</v>
      </c>
      <c r="E771" t="s">
        <v>48</v>
      </c>
      <c r="F771" t="s">
        <v>30</v>
      </c>
      <c r="G771" t="s">
        <v>28</v>
      </c>
      <c r="H771">
        <v>1</v>
      </c>
      <c r="J771" s="2">
        <v>45397.166666666664</v>
      </c>
      <c r="K771" s="2">
        <v>45645.80102003472</v>
      </c>
      <c r="L771" s="2">
        <v>45302.208333333336</v>
      </c>
      <c r="M771" t="s">
        <v>1988</v>
      </c>
      <c r="N771" t="s">
        <v>1985</v>
      </c>
      <c r="O771" s="2">
        <v>45497.781800324075</v>
      </c>
      <c r="P771" s="2">
        <v>45609.582859421294</v>
      </c>
      <c r="Q771" s="7">
        <f t="shared" ref="Q771:Q795" si="12">IF(OR(O771="", P771=""), "", IF(OR(E771="PW1000G", E771="PW800"), P771 - O771, NETWORKDAYS(O771, P771)))</f>
        <v>111.80105909721897</v>
      </c>
    </row>
    <row r="772" spans="1:17" x14ac:dyDescent="0.35">
      <c r="A772" t="s">
        <v>206</v>
      </c>
      <c r="B772" t="s">
        <v>23</v>
      </c>
      <c r="C772" t="s">
        <v>44</v>
      </c>
      <c r="D772" t="s">
        <v>54</v>
      </c>
      <c r="E772" t="s">
        <v>48</v>
      </c>
      <c r="F772" t="s">
        <v>30</v>
      </c>
      <c r="G772" t="s">
        <v>28</v>
      </c>
      <c r="H772">
        <v>1</v>
      </c>
      <c r="I772" t="s">
        <v>33</v>
      </c>
      <c r="J772" s="2">
        <v>45394.166666666664</v>
      </c>
      <c r="K772" s="2">
        <v>45673.787991967591</v>
      </c>
      <c r="L772" s="2">
        <v>45308.208333333336</v>
      </c>
      <c r="M772" t="s">
        <v>1972</v>
      </c>
      <c r="N772" t="s">
        <v>1998</v>
      </c>
      <c r="O772" s="2">
        <v>45398.628825995373</v>
      </c>
      <c r="P772" s="2">
        <v>45565.166666666664</v>
      </c>
      <c r="Q772" s="7">
        <f t="shared" si="12"/>
        <v>166.53784067129163</v>
      </c>
    </row>
    <row r="773" spans="1:17" x14ac:dyDescent="0.35">
      <c r="A773" t="s">
        <v>206</v>
      </c>
      <c r="B773" t="s">
        <v>23</v>
      </c>
      <c r="C773" t="s">
        <v>44</v>
      </c>
      <c r="D773" t="s">
        <v>54</v>
      </c>
      <c r="E773" t="s">
        <v>48</v>
      </c>
      <c r="F773" t="s">
        <v>30</v>
      </c>
      <c r="G773" t="s">
        <v>28</v>
      </c>
      <c r="H773">
        <v>1</v>
      </c>
      <c r="I773" t="s">
        <v>33</v>
      </c>
      <c r="J773" s="2">
        <v>45394.166666666664</v>
      </c>
      <c r="K773" s="2">
        <v>45673.787991967591</v>
      </c>
      <c r="L773" s="2">
        <v>45308.208333333336</v>
      </c>
      <c r="M773" t="s">
        <v>1982</v>
      </c>
      <c r="N773" t="s">
        <v>1978</v>
      </c>
      <c r="O773" s="2">
        <v>45512.54529642361</v>
      </c>
      <c r="P773" s="2">
        <v>45516.829042106481</v>
      </c>
      <c r="Q773" s="7">
        <f t="shared" si="12"/>
        <v>4.2837456828710856</v>
      </c>
    </row>
    <row r="774" spans="1:17" x14ac:dyDescent="0.35">
      <c r="A774" t="s">
        <v>240</v>
      </c>
      <c r="B774" t="s">
        <v>23</v>
      </c>
      <c r="C774" t="s">
        <v>44</v>
      </c>
      <c r="D774" t="s">
        <v>54</v>
      </c>
      <c r="E774" t="s">
        <v>48</v>
      </c>
      <c r="F774" t="s">
        <v>30</v>
      </c>
      <c r="G774" t="s">
        <v>28</v>
      </c>
      <c r="H774">
        <v>1</v>
      </c>
      <c r="J774" s="2">
        <v>45842.166666666664</v>
      </c>
      <c r="K774" s="2">
        <v>45671.599127604168</v>
      </c>
      <c r="L774" s="2">
        <v>45317.208333333336</v>
      </c>
      <c r="M774" t="s">
        <v>1975</v>
      </c>
      <c r="N774" t="s">
        <v>1978</v>
      </c>
      <c r="O774" s="2">
        <v>45544.80179258102</v>
      </c>
      <c r="P774" s="2">
        <v>45574.530466365744</v>
      </c>
      <c r="Q774" s="7">
        <f t="shared" si="12"/>
        <v>29.728673784724378</v>
      </c>
    </row>
    <row r="775" spans="1:17" x14ac:dyDescent="0.35">
      <c r="A775" t="s">
        <v>240</v>
      </c>
      <c r="B775" t="s">
        <v>23</v>
      </c>
      <c r="C775" t="s">
        <v>44</v>
      </c>
      <c r="D775" t="s">
        <v>54</v>
      </c>
      <c r="E775" t="s">
        <v>48</v>
      </c>
      <c r="F775" t="s">
        <v>30</v>
      </c>
      <c r="G775" t="s">
        <v>28</v>
      </c>
      <c r="H775">
        <v>1</v>
      </c>
      <c r="J775" s="2">
        <v>45842.166666666664</v>
      </c>
      <c r="K775" s="2">
        <v>45671.599127604168</v>
      </c>
      <c r="L775" s="2">
        <v>45317.208333333336</v>
      </c>
      <c r="M775" t="s">
        <v>1982</v>
      </c>
      <c r="N775" t="s">
        <v>1976</v>
      </c>
      <c r="O775" s="2">
        <v>45580.549126111109</v>
      </c>
      <c r="P775" s="2">
        <v>45587.757838761572</v>
      </c>
      <c r="Q775" s="7">
        <f t="shared" si="12"/>
        <v>7.208712650462985</v>
      </c>
    </row>
    <row r="776" spans="1:17" x14ac:dyDescent="0.35">
      <c r="A776" t="s">
        <v>240</v>
      </c>
      <c r="B776" t="s">
        <v>23</v>
      </c>
      <c r="C776" t="s">
        <v>44</v>
      </c>
      <c r="D776" t="s">
        <v>54</v>
      </c>
      <c r="E776" t="s">
        <v>48</v>
      </c>
      <c r="F776" t="s">
        <v>30</v>
      </c>
      <c r="G776" t="s">
        <v>28</v>
      </c>
      <c r="H776">
        <v>1</v>
      </c>
      <c r="J776" s="2">
        <v>45842.166666666664</v>
      </c>
      <c r="K776" s="2">
        <v>45671.599127604168</v>
      </c>
      <c r="L776" s="2">
        <v>45317.208333333336</v>
      </c>
      <c r="M776" t="s">
        <v>1988</v>
      </c>
      <c r="N776" t="s">
        <v>1996</v>
      </c>
      <c r="O776" s="2">
        <v>45660.65595177083</v>
      </c>
      <c r="P776" s="2">
        <v>45666.671819710646</v>
      </c>
      <c r="Q776" s="7">
        <f t="shared" si="12"/>
        <v>6.0158679398155073</v>
      </c>
    </row>
    <row r="777" spans="1:17" x14ac:dyDescent="0.35">
      <c r="A777" t="s">
        <v>227</v>
      </c>
      <c r="B777" t="s">
        <v>23</v>
      </c>
      <c r="C777" t="s">
        <v>44</v>
      </c>
      <c r="D777" t="s">
        <v>36</v>
      </c>
      <c r="E777" t="s">
        <v>48</v>
      </c>
      <c r="F777" t="s">
        <v>30</v>
      </c>
      <c r="G777" t="s">
        <v>28</v>
      </c>
      <c r="H777">
        <v>1</v>
      </c>
      <c r="J777" s="2">
        <v>45660.208333333336</v>
      </c>
      <c r="K777" s="2">
        <v>45671.815221203702</v>
      </c>
      <c r="L777" s="2">
        <v>45317.208333333336</v>
      </c>
      <c r="M777" t="s">
        <v>1988</v>
      </c>
      <c r="N777" t="s">
        <v>1985</v>
      </c>
      <c r="O777" s="2">
        <v>45541.744640393517</v>
      </c>
      <c r="P777" s="2">
        <v>45663.722408472226</v>
      </c>
      <c r="Q777" s="7">
        <f t="shared" si="12"/>
        <v>121.97776807870832</v>
      </c>
    </row>
    <row r="778" spans="1:17" x14ac:dyDescent="0.35">
      <c r="A778" t="s">
        <v>247</v>
      </c>
      <c r="B778" t="s">
        <v>23</v>
      </c>
      <c r="C778" t="s">
        <v>44</v>
      </c>
      <c r="D778" t="s">
        <v>244</v>
      </c>
      <c r="E778" t="s">
        <v>48</v>
      </c>
      <c r="F778" t="s">
        <v>30</v>
      </c>
      <c r="G778" t="s">
        <v>28</v>
      </c>
      <c r="H778">
        <v>1</v>
      </c>
      <c r="J778" s="2">
        <v>45568.166666666664</v>
      </c>
      <c r="K778" s="2">
        <v>45674.666262719904</v>
      </c>
      <c r="L778" s="2">
        <v>45317.208333333336</v>
      </c>
      <c r="M778" t="s">
        <v>1980</v>
      </c>
      <c r="N778" t="s">
        <v>1996</v>
      </c>
      <c r="O778" s="2">
        <v>45531.734679537039</v>
      </c>
      <c r="P778" s="2">
        <v>45603.888195266205</v>
      </c>
      <c r="Q778" s="7">
        <f t="shared" si="12"/>
        <v>72.15351572916552</v>
      </c>
    </row>
    <row r="779" spans="1:17" x14ac:dyDescent="0.35">
      <c r="A779" t="s">
        <v>64</v>
      </c>
      <c r="B779" t="s">
        <v>23</v>
      </c>
      <c r="C779" t="s">
        <v>44</v>
      </c>
      <c r="D779" t="s">
        <v>65</v>
      </c>
      <c r="E779" t="s">
        <v>38</v>
      </c>
      <c r="F779" t="s">
        <v>30</v>
      </c>
      <c r="G779" t="s">
        <v>46</v>
      </c>
      <c r="H779">
        <v>1</v>
      </c>
      <c r="I779" t="s">
        <v>33</v>
      </c>
      <c r="J779" s="2">
        <v>45534.166666666664</v>
      </c>
      <c r="K779" s="2">
        <v>45531.660401851848</v>
      </c>
      <c r="L779" s="2">
        <v>45518.166666666664</v>
      </c>
      <c r="M779" t="s">
        <v>1975</v>
      </c>
      <c r="N779" t="s">
        <v>1970</v>
      </c>
      <c r="O779" s="2">
        <v>45520.672397141207</v>
      </c>
      <c r="P779" s="2">
        <v>45525.885238773146</v>
      </c>
      <c r="Q779" s="7">
        <f t="shared" si="12"/>
        <v>4</v>
      </c>
    </row>
    <row r="780" spans="1:17" x14ac:dyDescent="0.35">
      <c r="A780" t="s">
        <v>142</v>
      </c>
      <c r="B780" t="s">
        <v>23</v>
      </c>
      <c r="C780" t="s">
        <v>44</v>
      </c>
      <c r="D780" t="s">
        <v>54</v>
      </c>
      <c r="E780" t="s">
        <v>38</v>
      </c>
      <c r="F780" t="s">
        <v>30</v>
      </c>
      <c r="G780" t="s">
        <v>46</v>
      </c>
      <c r="I780" t="s">
        <v>33</v>
      </c>
      <c r="J780" s="2">
        <v>45623.208333333336</v>
      </c>
      <c r="K780" s="2">
        <v>45541.848745798612</v>
      </c>
      <c r="L780" s="2">
        <v>45525.166666666664</v>
      </c>
      <c r="M780" t="s">
        <v>1979</v>
      </c>
      <c r="N780" t="s">
        <v>1970</v>
      </c>
      <c r="O780" s="2">
        <v>45525.890006111113</v>
      </c>
      <c r="P780" s="2">
        <v>45526.72847396991</v>
      </c>
      <c r="Q780" s="7">
        <f t="shared" si="12"/>
        <v>2</v>
      </c>
    </row>
    <row r="781" spans="1:17" x14ac:dyDescent="0.35">
      <c r="A781" t="s">
        <v>142</v>
      </c>
      <c r="B781" t="s">
        <v>23</v>
      </c>
      <c r="C781" t="s">
        <v>44</v>
      </c>
      <c r="D781" t="s">
        <v>54</v>
      </c>
      <c r="E781" t="s">
        <v>38</v>
      </c>
      <c r="F781" t="s">
        <v>30</v>
      </c>
      <c r="G781" t="s">
        <v>46</v>
      </c>
      <c r="I781" t="s">
        <v>33</v>
      </c>
      <c r="J781" s="2">
        <v>45623.208333333336</v>
      </c>
      <c r="K781" s="2">
        <v>45541.848745798612</v>
      </c>
      <c r="L781" s="2">
        <v>45525.166666666664</v>
      </c>
      <c r="M781" t="s">
        <v>1975</v>
      </c>
      <c r="N781" t="s">
        <v>1970</v>
      </c>
      <c r="O781" s="2">
        <v>45526.741186805557</v>
      </c>
      <c r="P781" s="2">
        <v>45541.030263078705</v>
      </c>
      <c r="Q781" s="7">
        <f t="shared" si="12"/>
        <v>12</v>
      </c>
    </row>
    <row r="782" spans="1:17" x14ac:dyDescent="0.35">
      <c r="A782" t="s">
        <v>85</v>
      </c>
      <c r="B782" t="s">
        <v>23</v>
      </c>
      <c r="C782" t="s">
        <v>44</v>
      </c>
      <c r="D782" t="s">
        <v>54</v>
      </c>
      <c r="E782" t="s">
        <v>38</v>
      </c>
      <c r="F782" t="s">
        <v>30</v>
      </c>
      <c r="G782" t="s">
        <v>46</v>
      </c>
      <c r="H782">
        <v>3</v>
      </c>
      <c r="I782" t="s">
        <v>33</v>
      </c>
      <c r="J782" s="2">
        <v>45569.166666666664</v>
      </c>
      <c r="K782" s="2">
        <v>45553.550812210648</v>
      </c>
      <c r="L782" s="2">
        <v>45532.166666666664</v>
      </c>
      <c r="M782" t="s">
        <v>1975</v>
      </c>
      <c r="N782" t="s">
        <v>1970</v>
      </c>
      <c r="O782" s="2">
        <v>45539.774432384256</v>
      </c>
      <c r="P782" s="2">
        <v>45541.902811655091</v>
      </c>
      <c r="Q782" s="7">
        <f t="shared" si="12"/>
        <v>3</v>
      </c>
    </row>
    <row r="783" spans="1:17" x14ac:dyDescent="0.35">
      <c r="A783" t="s">
        <v>1244</v>
      </c>
      <c r="B783" t="s">
        <v>23</v>
      </c>
      <c r="C783" t="s">
        <v>44</v>
      </c>
      <c r="D783" t="s">
        <v>76</v>
      </c>
      <c r="E783" t="s">
        <v>48</v>
      </c>
      <c r="F783" t="s">
        <v>30</v>
      </c>
      <c r="G783" t="s">
        <v>28</v>
      </c>
      <c r="J783" s="2">
        <v>45624.208333333336</v>
      </c>
      <c r="K783" s="2">
        <v>45610.797400497686</v>
      </c>
      <c r="L783" s="2">
        <v>45601.208333333336</v>
      </c>
      <c r="M783" t="s">
        <v>1989</v>
      </c>
      <c r="N783" t="s">
        <v>1990</v>
      </c>
      <c r="O783" s="2">
        <v>45603.86013277778</v>
      </c>
      <c r="P783" s="2">
        <v>45610.718828784724</v>
      </c>
      <c r="Q783" s="7">
        <f t="shared" si="12"/>
        <v>6.8586960069442284</v>
      </c>
    </row>
    <row r="784" spans="1:17" x14ac:dyDescent="0.35">
      <c r="A784" t="s">
        <v>289</v>
      </c>
      <c r="B784" t="s">
        <v>23</v>
      </c>
      <c r="C784" t="s">
        <v>44</v>
      </c>
      <c r="D784" t="s">
        <v>54</v>
      </c>
      <c r="E784" t="s">
        <v>38</v>
      </c>
      <c r="F784" t="s">
        <v>30</v>
      </c>
      <c r="G784" t="s">
        <v>28</v>
      </c>
      <c r="H784">
        <v>1</v>
      </c>
      <c r="I784" t="s">
        <v>33</v>
      </c>
      <c r="J784" s="2">
        <v>45667.208333333336</v>
      </c>
      <c r="K784" s="2">
        <v>45673.095166238425</v>
      </c>
      <c r="L784" s="2">
        <v>45617.208333333336</v>
      </c>
      <c r="M784" t="s">
        <v>1979</v>
      </c>
      <c r="N784" t="s">
        <v>1970</v>
      </c>
      <c r="O784" s="2">
        <v>45637.626042337964</v>
      </c>
      <c r="P784" s="2">
        <v>45639.584760231483</v>
      </c>
      <c r="Q784" s="7">
        <f t="shared" si="12"/>
        <v>3</v>
      </c>
    </row>
    <row r="785" spans="1:17" s="50" customFormat="1" x14ac:dyDescent="0.35">
      <c r="A785" t="s">
        <v>574</v>
      </c>
      <c r="B785" t="s">
        <v>23</v>
      </c>
      <c r="C785" t="s">
        <v>44</v>
      </c>
      <c r="D785" t="s">
        <v>54</v>
      </c>
      <c r="E785" t="s">
        <v>48</v>
      </c>
      <c r="F785" t="s">
        <v>30</v>
      </c>
      <c r="G785" t="s">
        <v>28</v>
      </c>
      <c r="H785">
        <v>9</v>
      </c>
      <c r="I785" t="s">
        <v>33</v>
      </c>
      <c r="J785" s="2">
        <v>45884.166666666664</v>
      </c>
      <c r="K785" s="2">
        <v>45855.719801238425</v>
      </c>
      <c r="L785" s="2">
        <v>45734.166666666664</v>
      </c>
      <c r="M785" t="s">
        <v>1979</v>
      </c>
      <c r="N785" t="s">
        <v>1998</v>
      </c>
      <c r="O785" s="2">
        <v>45755.549075578703</v>
      </c>
      <c r="P785" s="2">
        <v>45763.872818645832</v>
      </c>
      <c r="Q785" s="7">
        <f t="shared" si="12"/>
        <v>8.3237430671288166</v>
      </c>
    </row>
    <row r="786" spans="1:17" x14ac:dyDescent="0.35">
      <c r="A786" t="s">
        <v>79</v>
      </c>
      <c r="B786" t="s">
        <v>23</v>
      </c>
      <c r="C786" t="s">
        <v>44</v>
      </c>
      <c r="D786" t="s">
        <v>54</v>
      </c>
      <c r="E786" t="s">
        <v>38</v>
      </c>
      <c r="F786" t="s">
        <v>30</v>
      </c>
      <c r="G786" t="s">
        <v>46</v>
      </c>
      <c r="H786">
        <v>2</v>
      </c>
      <c r="I786" t="s">
        <v>81</v>
      </c>
      <c r="J786" s="2">
        <v>45866.166666666664</v>
      </c>
      <c r="K786" s="2">
        <v>45783.511499976848</v>
      </c>
      <c r="L786" s="2">
        <v>45739.166666666664</v>
      </c>
      <c r="M786" t="s">
        <v>1981</v>
      </c>
      <c r="N786" t="s">
        <v>1970</v>
      </c>
      <c r="O786" s="2">
        <v>45742.818675717594</v>
      </c>
      <c r="P786" s="2">
        <v>45754.631183668978</v>
      </c>
      <c r="Q786" s="7">
        <f t="shared" si="12"/>
        <v>9</v>
      </c>
    </row>
    <row r="787" spans="1:17" x14ac:dyDescent="0.35">
      <c r="A787" t="s">
        <v>79</v>
      </c>
      <c r="B787" t="s">
        <v>23</v>
      </c>
      <c r="C787" t="s">
        <v>44</v>
      </c>
      <c r="D787" t="s">
        <v>54</v>
      </c>
      <c r="E787" t="s">
        <v>38</v>
      </c>
      <c r="F787" t="s">
        <v>30</v>
      </c>
      <c r="G787" t="s">
        <v>46</v>
      </c>
      <c r="H787">
        <v>2</v>
      </c>
      <c r="I787" t="s">
        <v>81</v>
      </c>
      <c r="J787" s="2">
        <v>45866.166666666664</v>
      </c>
      <c r="K787" s="2">
        <v>45783.511499976848</v>
      </c>
      <c r="L787" s="2">
        <v>45739.166666666664</v>
      </c>
      <c r="M787" t="s">
        <v>1981</v>
      </c>
      <c r="N787" t="s">
        <v>1970</v>
      </c>
      <c r="O787" s="2">
        <v>45754.631290543985</v>
      </c>
      <c r="P787" s="2">
        <v>45761.72219576389</v>
      </c>
      <c r="Q787" s="7">
        <f t="shared" si="12"/>
        <v>6</v>
      </c>
    </row>
    <row r="788" spans="1:17" x14ac:dyDescent="0.35">
      <c r="A788" t="s">
        <v>79</v>
      </c>
      <c r="B788" t="s">
        <v>23</v>
      </c>
      <c r="C788" t="s">
        <v>44</v>
      </c>
      <c r="D788" t="s">
        <v>54</v>
      </c>
      <c r="E788" t="s">
        <v>38</v>
      </c>
      <c r="F788" t="s">
        <v>30</v>
      </c>
      <c r="G788" t="s">
        <v>46</v>
      </c>
      <c r="H788">
        <v>2</v>
      </c>
      <c r="I788" t="s">
        <v>81</v>
      </c>
      <c r="J788" s="2">
        <v>45866.166666666664</v>
      </c>
      <c r="K788" s="2">
        <v>45783.511499976848</v>
      </c>
      <c r="L788" s="2">
        <v>45739.166666666664</v>
      </c>
      <c r="M788" t="s">
        <v>1988</v>
      </c>
      <c r="N788" t="s">
        <v>1970</v>
      </c>
      <c r="O788" s="2">
        <v>45777.817043067131</v>
      </c>
      <c r="P788" s="2">
        <v>45779.671030162041</v>
      </c>
      <c r="Q788" s="7">
        <f t="shared" si="12"/>
        <v>3</v>
      </c>
    </row>
    <row r="789" spans="1:17" x14ac:dyDescent="0.35">
      <c r="A789" t="s">
        <v>301</v>
      </c>
      <c r="B789" t="s">
        <v>23</v>
      </c>
      <c r="C789" t="s">
        <v>44</v>
      </c>
      <c r="D789" t="s">
        <v>36</v>
      </c>
      <c r="E789" t="s">
        <v>48</v>
      </c>
      <c r="F789" t="s">
        <v>30</v>
      </c>
      <c r="G789" t="s">
        <v>28</v>
      </c>
      <c r="H789">
        <v>2</v>
      </c>
      <c r="J789" s="2">
        <v>45037.166666666664</v>
      </c>
      <c r="K789" s="2">
        <v>45694.790729340275</v>
      </c>
      <c r="L789" s="2">
        <v>45002.166666666664</v>
      </c>
      <c r="M789" t="s">
        <v>1980</v>
      </c>
      <c r="N789" t="s">
        <v>1987</v>
      </c>
      <c r="O789" s="2">
        <v>45036.534317245372</v>
      </c>
      <c r="P789" s="2">
        <v>45061.552954895837</v>
      </c>
      <c r="Q789" s="7">
        <f t="shared" si="12"/>
        <v>25.01863765046437</v>
      </c>
    </row>
    <row r="790" spans="1:17" x14ac:dyDescent="0.35">
      <c r="A790" t="s">
        <v>301</v>
      </c>
      <c r="B790" t="s">
        <v>23</v>
      </c>
      <c r="C790" t="s">
        <v>44</v>
      </c>
      <c r="D790" t="s">
        <v>36</v>
      </c>
      <c r="E790" t="s">
        <v>48</v>
      </c>
      <c r="F790" t="s">
        <v>30</v>
      </c>
      <c r="G790" t="s">
        <v>28</v>
      </c>
      <c r="H790">
        <v>2</v>
      </c>
      <c r="J790" s="2">
        <v>45037.166666666664</v>
      </c>
      <c r="K790" s="2">
        <v>45694.790729340275</v>
      </c>
      <c r="L790" s="2">
        <v>45002.166666666664</v>
      </c>
      <c r="M790" t="s">
        <v>1973</v>
      </c>
      <c r="N790" t="s">
        <v>1976</v>
      </c>
      <c r="O790" s="2">
        <v>45061.554480671293</v>
      </c>
      <c r="P790" s="2">
        <v>45120.749218657409</v>
      </c>
      <c r="Q790" s="7">
        <f t="shared" si="12"/>
        <v>59.194737986115797</v>
      </c>
    </row>
    <row r="791" spans="1:17" x14ac:dyDescent="0.35">
      <c r="A791" t="s">
        <v>301</v>
      </c>
      <c r="B791" t="s">
        <v>23</v>
      </c>
      <c r="C791" t="s">
        <v>44</v>
      </c>
      <c r="D791" t="s">
        <v>36</v>
      </c>
      <c r="E791" t="s">
        <v>48</v>
      </c>
      <c r="F791" t="s">
        <v>30</v>
      </c>
      <c r="G791" t="s">
        <v>28</v>
      </c>
      <c r="H791">
        <v>2</v>
      </c>
      <c r="J791" s="2">
        <v>45037.166666666664</v>
      </c>
      <c r="K791" s="2">
        <v>45694.790729340275</v>
      </c>
      <c r="L791" s="2">
        <v>45002.166666666664</v>
      </c>
      <c r="M791" t="s">
        <v>1973</v>
      </c>
      <c r="N791" t="s">
        <v>1987</v>
      </c>
      <c r="O791" s="2">
        <v>45120.749830787034</v>
      </c>
      <c r="P791" s="2">
        <v>45462.643345289354</v>
      </c>
      <c r="Q791" s="7">
        <f t="shared" si="12"/>
        <v>341.89351450232061</v>
      </c>
    </row>
    <row r="792" spans="1:17" x14ac:dyDescent="0.35">
      <c r="A792" t="s">
        <v>358</v>
      </c>
      <c r="B792" t="s">
        <v>23</v>
      </c>
      <c r="C792" t="s">
        <v>44</v>
      </c>
      <c r="D792" t="s">
        <v>51</v>
      </c>
      <c r="E792" t="s">
        <v>38</v>
      </c>
      <c r="F792" t="s">
        <v>30</v>
      </c>
      <c r="G792" t="s">
        <v>28</v>
      </c>
      <c r="H792">
        <v>3</v>
      </c>
      <c r="J792" s="2">
        <v>45261.208333333336</v>
      </c>
      <c r="K792" s="2">
        <v>45414.610516134257</v>
      </c>
      <c r="L792" s="2">
        <v>45058.166666666664</v>
      </c>
      <c r="M792" t="s">
        <v>1971</v>
      </c>
      <c r="N792" t="s">
        <v>1970</v>
      </c>
      <c r="O792" s="2">
        <v>45064.582298263886</v>
      </c>
      <c r="P792" s="2">
        <v>45105.561686793983</v>
      </c>
      <c r="Q792" s="7">
        <f t="shared" si="12"/>
        <v>30</v>
      </c>
    </row>
    <row r="793" spans="1:17" x14ac:dyDescent="0.35">
      <c r="A793" t="s">
        <v>358</v>
      </c>
      <c r="B793" t="s">
        <v>23</v>
      </c>
      <c r="C793" t="s">
        <v>44</v>
      </c>
      <c r="D793" t="s">
        <v>51</v>
      </c>
      <c r="E793" t="s">
        <v>38</v>
      </c>
      <c r="F793" t="s">
        <v>30</v>
      </c>
      <c r="G793" t="s">
        <v>28</v>
      </c>
      <c r="H793">
        <v>3</v>
      </c>
      <c r="J793" s="2">
        <v>45261.208333333336</v>
      </c>
      <c r="K793" s="2">
        <v>45414.610516134257</v>
      </c>
      <c r="L793" s="2">
        <v>45058.166666666664</v>
      </c>
      <c r="M793" t="s">
        <v>1971</v>
      </c>
      <c r="N793" t="s">
        <v>1970</v>
      </c>
      <c r="O793" s="2">
        <v>45133.837153460649</v>
      </c>
      <c r="P793" s="2">
        <v>45211.628870138891</v>
      </c>
      <c r="Q793" s="7">
        <f t="shared" si="12"/>
        <v>57</v>
      </c>
    </row>
    <row r="794" spans="1:17" x14ac:dyDescent="0.35">
      <c r="A794" t="s">
        <v>358</v>
      </c>
      <c r="B794" t="s">
        <v>23</v>
      </c>
      <c r="C794" t="s">
        <v>44</v>
      </c>
      <c r="D794" t="s">
        <v>51</v>
      </c>
      <c r="E794" t="s">
        <v>38</v>
      </c>
      <c r="F794" t="s">
        <v>30</v>
      </c>
      <c r="G794" t="s">
        <v>28</v>
      </c>
      <c r="H794">
        <v>3</v>
      </c>
      <c r="J794" s="2">
        <v>45261.208333333336</v>
      </c>
      <c r="K794" s="2">
        <v>45414.610516134257</v>
      </c>
      <c r="L794" s="2">
        <v>45058.166666666664</v>
      </c>
      <c r="M794" t="s">
        <v>1971</v>
      </c>
      <c r="N794" t="s">
        <v>1970</v>
      </c>
      <c r="O794" s="2">
        <v>45211.629533402775</v>
      </c>
      <c r="P794" s="2">
        <v>45260.882591562498</v>
      </c>
      <c r="Q794" s="7">
        <f t="shared" si="12"/>
        <v>36</v>
      </c>
    </row>
    <row r="795" spans="1:17" x14ac:dyDescent="0.35">
      <c r="A795" t="s">
        <v>358</v>
      </c>
      <c r="B795" t="s">
        <v>23</v>
      </c>
      <c r="C795" t="s">
        <v>44</v>
      </c>
      <c r="D795" t="s">
        <v>51</v>
      </c>
      <c r="E795" t="s">
        <v>38</v>
      </c>
      <c r="F795" t="s">
        <v>30</v>
      </c>
      <c r="G795" t="s">
        <v>28</v>
      </c>
      <c r="H795">
        <v>3</v>
      </c>
      <c r="J795" s="2">
        <v>45261.208333333336</v>
      </c>
      <c r="K795" s="2">
        <v>45414.610516134257</v>
      </c>
      <c r="L795" s="2">
        <v>45058.166666666664</v>
      </c>
      <c r="M795" t="s">
        <v>1971</v>
      </c>
      <c r="N795" t="s">
        <v>1974</v>
      </c>
      <c r="O795" s="2">
        <v>45314.865626481478</v>
      </c>
      <c r="P795" s="2">
        <v>45349.745942303241</v>
      </c>
      <c r="Q795" s="7">
        <f t="shared" si="12"/>
        <v>26</v>
      </c>
    </row>
    <row r="796" spans="1:17" s="194" customFormat="1" x14ac:dyDescent="0.35"/>
  </sheetData>
  <autoFilter ref="A1:Q784" xr:uid="{E7D1E8F6-01E0-4ED4-88BD-ED56E62BF2C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3E6E-C686-4C89-92FF-D16D8204A8AB}">
  <sheetPr>
    <tabColor rgb="FF92D050"/>
  </sheetPr>
  <dimension ref="A1:J391"/>
  <sheetViews>
    <sheetView workbookViewId="0">
      <pane ySplit="1" topLeftCell="A2" activePane="bottomLeft" state="frozen"/>
      <selection pane="bottomLeft" activeCell="A2" sqref="A2"/>
    </sheetView>
  </sheetViews>
  <sheetFormatPr defaultRowHeight="14.5" x14ac:dyDescent="0.35"/>
  <cols>
    <col min="1" max="1" width="18.90625" customWidth="1"/>
    <col min="2" max="2" width="9" bestFit="1" customWidth="1"/>
    <col min="4" max="4" width="19.81640625" bestFit="1" customWidth="1"/>
    <col min="7" max="7" width="18.54296875" bestFit="1" customWidth="1"/>
    <col min="8" max="8" width="14.7265625" bestFit="1" customWidth="1"/>
    <col min="9" max="9" width="19" bestFit="1" customWidth="1"/>
  </cols>
  <sheetData>
    <row r="1" spans="1:10" s="8" customFormat="1" ht="20.149999999999999" customHeight="1" thickBot="1" x14ac:dyDescent="0.4">
      <c r="A1" s="105" t="s">
        <v>1</v>
      </c>
      <c r="B1" s="161" t="s">
        <v>1981</v>
      </c>
      <c r="C1" s="161" t="s">
        <v>1979</v>
      </c>
      <c r="D1" s="161" t="s">
        <v>1982</v>
      </c>
      <c r="E1" s="161" t="s">
        <v>1977</v>
      </c>
      <c r="F1" s="161" t="s">
        <v>1975</v>
      </c>
      <c r="G1" s="161" t="s">
        <v>1980</v>
      </c>
      <c r="H1" s="161" t="s">
        <v>1973</v>
      </c>
      <c r="I1" s="162" t="s">
        <v>1988</v>
      </c>
      <c r="J1" s="65"/>
    </row>
    <row r="2" spans="1:10" x14ac:dyDescent="0.35">
      <c r="A2" cm="1">
        <f t="array" ref="A2:A390">_xlfn.UNIQUE(HoldHistory!A2:INDEX(HoldHistory!A:A, COUNTA(HoldHistory!A:A)))</f>
        <v>100341</v>
      </c>
      <c r="B2">
        <f>SUMIFS(HoldHistory!Q:Q, HoldHistory!A:A, A2, HoldHistory!M:M, "Triage")</f>
        <v>0</v>
      </c>
      <c r="C2">
        <f>SUMIFS(HoldHistory!Q:Q, HoldHistory!A:A, A2, HoldHistory!M:M, "Task Plan")</f>
        <v>0</v>
      </c>
      <c r="D2">
        <f>SUMIFS(HoldHistory!Q:Q, HoldHistory!A:A, A2, HoldHistory!M:M, "Initial Design Review")</f>
        <v>0</v>
      </c>
      <c r="E2">
        <f>SUMIFS(HoldHistory!Q:Q, HoldHistory!A:A, A2, HoldHistory!M:M, "ReCAP")</f>
        <v>0</v>
      </c>
      <c r="F2">
        <f>SUMIFS(HoldHistory!Q:Q, HoldHistory!A:A, A2, HoldHistory!M:M, "Draft EA")</f>
        <v>0</v>
      </c>
      <c r="G2">
        <f>SUMIFS(HoldHistory!Q:Q, HoldHistory!A:A, A2, HoldHistory!M:M, "Structures Pre-SAM")</f>
        <v>0</v>
      </c>
      <c r="H2">
        <f>SUMIFS(HoldHistory!Q:Q, HoldHistory!A:A, A2, HoldHistory!M:M, "Structures SAM")</f>
        <v>0</v>
      </c>
      <c r="I2">
        <f>SUMIFS(HoldHistory!Q:Q, HoldHistory!A:A, A2, HoldHistory!M:M, "Final Design Review")</f>
        <v>0</v>
      </c>
    </row>
    <row r="3" spans="1:10" x14ac:dyDescent="0.35">
      <c r="A3">
        <v>100872</v>
      </c>
      <c r="B3">
        <f>SUMIFS(HoldHistory!Q:Q, HoldHistory!A:A, A3, HoldHistory!M:M, "Triage")</f>
        <v>0</v>
      </c>
      <c r="C3">
        <f>SUMIFS(HoldHistory!Q:Q, HoldHistory!A:A, A3, HoldHistory!M:M, "Task Plan")</f>
        <v>0</v>
      </c>
      <c r="D3">
        <f>SUMIFS(HoldHistory!Q:Q, HoldHistory!A:A, A3, HoldHistory!M:M, "Initial Design Review")</f>
        <v>0</v>
      </c>
      <c r="E3">
        <f>SUMIFS(HoldHistory!Q:Q, HoldHistory!A:A, A3, HoldHistory!M:M, "ReCAP")</f>
        <v>0</v>
      </c>
      <c r="F3">
        <f>SUMIFS(HoldHistory!Q:Q, HoldHistory!A:A, A3, HoldHistory!M:M, "Draft EA")</f>
        <v>0</v>
      </c>
      <c r="G3">
        <f>SUMIFS(HoldHistory!Q:Q, HoldHistory!A:A, A3, HoldHistory!M:M, "Structures Pre-SAM")</f>
        <v>0</v>
      </c>
      <c r="H3">
        <f>SUMIFS(HoldHistory!Q:Q, HoldHistory!A:A, A3, HoldHistory!M:M, "Structures SAM")</f>
        <v>0</v>
      </c>
      <c r="I3">
        <f>SUMIFS(HoldHistory!Q:Q, HoldHistory!A:A, A3, HoldHistory!M:M, "Final Design Review")</f>
        <v>0</v>
      </c>
    </row>
    <row r="4" spans="1:10" x14ac:dyDescent="0.35">
      <c r="A4">
        <v>101380</v>
      </c>
      <c r="B4">
        <f>SUMIFS(HoldHistory!Q:Q, HoldHistory!A:A, A4, HoldHistory!M:M, "Triage")</f>
        <v>0</v>
      </c>
      <c r="C4">
        <f>SUMIFS(HoldHistory!Q:Q, HoldHistory!A:A, A4, HoldHistory!M:M, "Task Plan")</f>
        <v>0</v>
      </c>
      <c r="D4">
        <f>SUMIFS(HoldHistory!Q:Q, HoldHistory!A:A, A4, HoldHistory!M:M, "Initial Design Review")</f>
        <v>0</v>
      </c>
      <c r="E4">
        <f>SUMIFS(HoldHistory!Q:Q, HoldHistory!A:A, A4, HoldHistory!M:M, "ReCAP")</f>
        <v>0</v>
      </c>
      <c r="F4">
        <f>SUMIFS(HoldHistory!Q:Q, HoldHistory!A:A, A4, HoldHistory!M:M, "Draft EA")</f>
        <v>0</v>
      </c>
      <c r="G4">
        <f>SUMIFS(HoldHistory!Q:Q, HoldHistory!A:A, A4, HoldHistory!M:M, "Structures Pre-SAM")</f>
        <v>0</v>
      </c>
      <c r="H4">
        <f>SUMIFS(HoldHistory!Q:Q, HoldHistory!A:A, A4, HoldHistory!M:M, "Structures SAM")</f>
        <v>8</v>
      </c>
      <c r="I4">
        <f>SUMIFS(HoldHistory!Q:Q, HoldHistory!A:A, A4, HoldHistory!M:M, "Final Design Review")</f>
        <v>0</v>
      </c>
    </row>
    <row r="5" spans="1:10" x14ac:dyDescent="0.35">
      <c r="A5">
        <v>101523</v>
      </c>
      <c r="B5">
        <f>SUMIFS(HoldHistory!Q:Q, HoldHistory!A:A, A5, HoldHistory!M:M, "Triage")</f>
        <v>0</v>
      </c>
      <c r="C5">
        <f>SUMIFS(HoldHistory!Q:Q, HoldHistory!A:A, A5, HoldHistory!M:M, "Task Plan")</f>
        <v>0</v>
      </c>
      <c r="D5">
        <f>SUMIFS(HoldHistory!Q:Q, HoldHistory!A:A, A5, HoldHistory!M:M, "Initial Design Review")</f>
        <v>0</v>
      </c>
      <c r="E5">
        <f>SUMIFS(HoldHistory!Q:Q, HoldHistory!A:A, A5, HoldHistory!M:M, "ReCAP")</f>
        <v>0</v>
      </c>
      <c r="F5">
        <f>SUMIFS(HoldHistory!Q:Q, HoldHistory!A:A, A5, HoldHistory!M:M, "Draft EA")</f>
        <v>0</v>
      </c>
      <c r="G5">
        <f>SUMIFS(HoldHistory!Q:Q, HoldHistory!A:A, A5, HoldHistory!M:M, "Structures Pre-SAM")</f>
        <v>0</v>
      </c>
      <c r="H5">
        <f>SUMIFS(HoldHistory!Q:Q, HoldHistory!A:A, A5, HoldHistory!M:M, "Structures SAM")</f>
        <v>0</v>
      </c>
      <c r="I5">
        <f>SUMIFS(HoldHistory!Q:Q, HoldHistory!A:A, A5, HoldHistory!M:M, "Final Design Review")</f>
        <v>0</v>
      </c>
    </row>
    <row r="6" spans="1:10" x14ac:dyDescent="0.35">
      <c r="A6">
        <v>102132</v>
      </c>
      <c r="B6">
        <f>SUMIFS(HoldHistory!Q:Q, HoldHistory!A:A, A6, HoldHistory!M:M, "Triage")</f>
        <v>0</v>
      </c>
      <c r="C6">
        <f>SUMIFS(HoldHistory!Q:Q, HoldHistory!A:A, A6, HoldHistory!M:M, "Task Plan")</f>
        <v>0</v>
      </c>
      <c r="D6">
        <f>SUMIFS(HoldHistory!Q:Q, HoldHistory!A:A, A6, HoldHistory!M:M, "Initial Design Review")</f>
        <v>0</v>
      </c>
      <c r="E6">
        <f>SUMIFS(HoldHistory!Q:Q, HoldHistory!A:A, A6, HoldHistory!M:M, "ReCAP")</f>
        <v>0</v>
      </c>
      <c r="F6">
        <f>SUMIFS(HoldHistory!Q:Q, HoldHistory!A:A, A6, HoldHistory!M:M, "Draft EA")</f>
        <v>0</v>
      </c>
      <c r="G6">
        <f>SUMIFS(HoldHistory!Q:Q, HoldHistory!A:A, A6, HoldHistory!M:M, "Structures Pre-SAM")</f>
        <v>0</v>
      </c>
      <c r="H6">
        <f>SUMIFS(HoldHistory!Q:Q, HoldHistory!A:A, A6, HoldHistory!M:M, "Structures SAM")</f>
        <v>0</v>
      </c>
      <c r="I6">
        <f>SUMIFS(HoldHistory!Q:Q, HoldHistory!A:A, A6, HoldHistory!M:M, "Final Design Review")</f>
        <v>0</v>
      </c>
    </row>
    <row r="7" spans="1:10" x14ac:dyDescent="0.35">
      <c r="A7">
        <v>102278</v>
      </c>
      <c r="B7">
        <f>SUMIFS(HoldHistory!Q:Q, HoldHistory!A:A, A7, HoldHistory!M:M, "Triage")</f>
        <v>0</v>
      </c>
      <c r="C7">
        <f>SUMIFS(HoldHistory!Q:Q, HoldHistory!A:A, A7, HoldHistory!M:M, "Task Plan")</f>
        <v>0</v>
      </c>
      <c r="D7">
        <f>SUMIFS(HoldHistory!Q:Q, HoldHistory!A:A, A7, HoldHistory!M:M, "Initial Design Review")</f>
        <v>0</v>
      </c>
      <c r="E7">
        <f>SUMIFS(HoldHistory!Q:Q, HoldHistory!A:A, A7, HoldHistory!M:M, "ReCAP")</f>
        <v>0</v>
      </c>
      <c r="F7">
        <f>SUMIFS(HoldHistory!Q:Q, HoldHistory!A:A, A7, HoldHistory!M:M, "Draft EA")</f>
        <v>0</v>
      </c>
      <c r="G7">
        <f>SUMIFS(HoldHistory!Q:Q, HoldHistory!A:A, A7, HoldHistory!M:M, "Structures Pre-SAM")</f>
        <v>0</v>
      </c>
      <c r="H7">
        <f>SUMIFS(HoldHistory!Q:Q, HoldHistory!A:A, A7, HoldHistory!M:M, "Structures SAM")</f>
        <v>0</v>
      </c>
      <c r="I7">
        <f>SUMIFS(HoldHistory!Q:Q, HoldHistory!A:A, A7, HoldHistory!M:M, "Final Design Review")</f>
        <v>0</v>
      </c>
    </row>
    <row r="8" spans="1:10" x14ac:dyDescent="0.35">
      <c r="A8">
        <v>102680</v>
      </c>
      <c r="B8">
        <f>SUMIFS(HoldHistory!Q:Q, HoldHistory!A:A, A8, HoldHistory!M:M, "Triage")</f>
        <v>0</v>
      </c>
      <c r="C8">
        <f>SUMIFS(HoldHistory!Q:Q, HoldHistory!A:A, A8, HoldHistory!M:M, "Task Plan")</f>
        <v>0</v>
      </c>
      <c r="D8">
        <f>SUMIFS(HoldHistory!Q:Q, HoldHistory!A:A, A8, HoldHistory!M:M, "Initial Design Review")</f>
        <v>0</v>
      </c>
      <c r="E8">
        <f>SUMIFS(HoldHistory!Q:Q, HoldHistory!A:A, A8, HoldHistory!M:M, "ReCAP")</f>
        <v>0</v>
      </c>
      <c r="F8">
        <f>SUMIFS(HoldHistory!Q:Q, HoldHistory!A:A, A8, HoldHistory!M:M, "Draft EA")</f>
        <v>0</v>
      </c>
      <c r="G8">
        <f>SUMIFS(HoldHistory!Q:Q, HoldHistory!A:A, A8, HoldHistory!M:M, "Structures Pre-SAM")</f>
        <v>0</v>
      </c>
      <c r="H8">
        <f>SUMIFS(HoldHistory!Q:Q, HoldHistory!A:A, A8, HoldHistory!M:M, "Structures SAM")</f>
        <v>0</v>
      </c>
      <c r="I8">
        <f>SUMIFS(HoldHistory!Q:Q, HoldHistory!A:A, A8, HoldHistory!M:M, "Final Design Review")</f>
        <v>0</v>
      </c>
    </row>
    <row r="9" spans="1:10" x14ac:dyDescent="0.35">
      <c r="A9">
        <v>102863</v>
      </c>
      <c r="B9">
        <f>SUMIFS(HoldHistory!Q:Q, HoldHistory!A:A, A9, HoldHistory!M:M, "Triage")</f>
        <v>0</v>
      </c>
      <c r="C9">
        <f>SUMIFS(HoldHistory!Q:Q, HoldHistory!A:A, A9, HoldHistory!M:M, "Task Plan")</f>
        <v>0</v>
      </c>
      <c r="D9">
        <f>SUMIFS(HoldHistory!Q:Q, HoldHistory!A:A, A9, HoldHistory!M:M, "Initial Design Review")</f>
        <v>0</v>
      </c>
      <c r="E9">
        <f>SUMIFS(HoldHistory!Q:Q, HoldHistory!A:A, A9, HoldHistory!M:M, "ReCAP")</f>
        <v>0</v>
      </c>
      <c r="F9">
        <f>SUMIFS(HoldHistory!Q:Q, HoldHistory!A:A, A9, HoldHistory!M:M, "Draft EA")</f>
        <v>0</v>
      </c>
      <c r="G9">
        <f>SUMIFS(HoldHistory!Q:Q, HoldHistory!A:A, A9, HoldHistory!M:M, "Structures Pre-SAM")</f>
        <v>0</v>
      </c>
      <c r="H9">
        <f>SUMIFS(HoldHistory!Q:Q, HoldHistory!A:A, A9, HoldHistory!M:M, "Structures SAM")</f>
        <v>0</v>
      </c>
      <c r="I9">
        <f>SUMIFS(HoldHistory!Q:Q, HoldHistory!A:A, A9, HoldHistory!M:M, "Final Design Review")</f>
        <v>0</v>
      </c>
    </row>
    <row r="10" spans="1:10" x14ac:dyDescent="0.35">
      <c r="A10">
        <v>103122</v>
      </c>
      <c r="B10">
        <f>SUMIFS(HoldHistory!Q:Q, HoldHistory!A:A, A10, HoldHistory!M:M, "Triage")</f>
        <v>0</v>
      </c>
      <c r="C10">
        <f>SUMIFS(HoldHistory!Q:Q, HoldHistory!A:A, A10, HoldHistory!M:M, "Task Plan")</f>
        <v>0</v>
      </c>
      <c r="D10">
        <f>SUMIFS(HoldHistory!Q:Q, HoldHistory!A:A, A10, HoldHistory!M:M, "Initial Design Review")</f>
        <v>0</v>
      </c>
      <c r="E10">
        <f>SUMIFS(HoldHistory!Q:Q, HoldHistory!A:A, A10, HoldHistory!M:M, "ReCAP")</f>
        <v>0</v>
      </c>
      <c r="F10">
        <f>SUMIFS(HoldHistory!Q:Q, HoldHistory!A:A, A10, HoldHistory!M:M, "Draft EA")</f>
        <v>0</v>
      </c>
      <c r="G10">
        <f>SUMIFS(HoldHistory!Q:Q, HoldHistory!A:A, A10, HoldHistory!M:M, "Structures Pre-SAM")</f>
        <v>0</v>
      </c>
      <c r="H10">
        <f>SUMIFS(HoldHistory!Q:Q, HoldHistory!A:A, A10, HoldHistory!M:M, "Structures SAM")</f>
        <v>36</v>
      </c>
      <c r="I10">
        <f>SUMIFS(HoldHistory!Q:Q, HoldHistory!A:A, A10, HoldHistory!M:M, "Final Design Review")</f>
        <v>0</v>
      </c>
    </row>
    <row r="11" spans="1:10" x14ac:dyDescent="0.35">
      <c r="A11">
        <v>103192</v>
      </c>
      <c r="B11">
        <f>SUMIFS(HoldHistory!Q:Q, HoldHistory!A:A, A11, HoldHistory!M:M, "Triage")</f>
        <v>0</v>
      </c>
      <c r="C11">
        <f>SUMIFS(HoldHistory!Q:Q, HoldHistory!A:A, A11, HoldHistory!M:M, "Task Plan")</f>
        <v>0</v>
      </c>
      <c r="D11">
        <f>SUMIFS(HoldHistory!Q:Q, HoldHistory!A:A, A11, HoldHistory!M:M, "Initial Design Review")</f>
        <v>0</v>
      </c>
      <c r="E11">
        <f>SUMIFS(HoldHistory!Q:Q, HoldHistory!A:A, A11, HoldHistory!M:M, "ReCAP")</f>
        <v>0</v>
      </c>
      <c r="F11">
        <f>SUMIFS(HoldHistory!Q:Q, HoldHistory!A:A, A11, HoldHistory!M:M, "Draft EA")</f>
        <v>0</v>
      </c>
      <c r="G11">
        <f>SUMIFS(HoldHistory!Q:Q, HoldHistory!A:A, A11, HoldHistory!M:M, "Structures Pre-SAM")</f>
        <v>0</v>
      </c>
      <c r="H11">
        <f>SUMIFS(HoldHistory!Q:Q, HoldHistory!A:A, A11, HoldHistory!M:M, "Structures SAM")</f>
        <v>0</v>
      </c>
      <c r="I11">
        <f>SUMIFS(HoldHistory!Q:Q, HoldHistory!A:A, A11, HoldHistory!M:M, "Final Design Review")</f>
        <v>0</v>
      </c>
    </row>
    <row r="12" spans="1:10" x14ac:dyDescent="0.35">
      <c r="A12">
        <v>103225</v>
      </c>
      <c r="B12">
        <f>SUMIFS(HoldHistory!Q:Q, HoldHistory!A:A, A12, HoldHistory!M:M, "Triage")</f>
        <v>0</v>
      </c>
      <c r="C12">
        <f>SUMIFS(HoldHistory!Q:Q, HoldHistory!A:A, A12, HoldHistory!M:M, "Task Plan")</f>
        <v>0</v>
      </c>
      <c r="D12">
        <f>SUMIFS(HoldHistory!Q:Q, HoldHistory!A:A, A12, HoldHistory!M:M, "Initial Design Review")</f>
        <v>0</v>
      </c>
      <c r="E12">
        <f>SUMIFS(HoldHistory!Q:Q, HoldHistory!A:A, A12, HoldHistory!M:M, "ReCAP")</f>
        <v>0</v>
      </c>
      <c r="F12">
        <f>SUMIFS(HoldHistory!Q:Q, HoldHistory!A:A, A12, HoldHistory!M:M, "Draft EA")</f>
        <v>0</v>
      </c>
      <c r="G12">
        <f>SUMIFS(HoldHistory!Q:Q, HoldHistory!A:A, A12, HoldHistory!M:M, "Structures Pre-SAM")</f>
        <v>0</v>
      </c>
      <c r="H12">
        <f>SUMIFS(HoldHistory!Q:Q, HoldHistory!A:A, A12, HoldHistory!M:M, "Structures SAM")</f>
        <v>0</v>
      </c>
      <c r="I12">
        <f>SUMIFS(HoldHistory!Q:Q, HoldHistory!A:A, A12, HoldHistory!M:M, "Final Design Review")</f>
        <v>0</v>
      </c>
    </row>
    <row r="13" spans="1:10" x14ac:dyDescent="0.35">
      <c r="A13">
        <v>103235</v>
      </c>
      <c r="B13">
        <f>SUMIFS(HoldHistory!Q:Q, HoldHistory!A:A, A13, HoldHistory!M:M, "Triage")</f>
        <v>0</v>
      </c>
      <c r="C13">
        <f>SUMIFS(HoldHistory!Q:Q, HoldHistory!A:A, A13, HoldHistory!M:M, "Task Plan")</f>
        <v>0</v>
      </c>
      <c r="D13">
        <f>SUMIFS(HoldHistory!Q:Q, HoldHistory!A:A, A13, HoldHistory!M:M, "Initial Design Review")</f>
        <v>0</v>
      </c>
      <c r="E13">
        <f>SUMIFS(HoldHistory!Q:Q, HoldHistory!A:A, A13, HoldHistory!M:M, "ReCAP")</f>
        <v>0</v>
      </c>
      <c r="F13">
        <f>SUMIFS(HoldHistory!Q:Q, HoldHistory!A:A, A13, HoldHistory!M:M, "Draft EA")</f>
        <v>0</v>
      </c>
      <c r="G13">
        <f>SUMIFS(HoldHistory!Q:Q, HoldHistory!A:A, A13, HoldHistory!M:M, "Structures Pre-SAM")</f>
        <v>0</v>
      </c>
      <c r="H13">
        <f>SUMIFS(HoldHistory!Q:Q, HoldHistory!A:A, A13, HoldHistory!M:M, "Structures SAM")</f>
        <v>0</v>
      </c>
      <c r="I13">
        <f>SUMIFS(HoldHistory!Q:Q, HoldHistory!A:A, A13, HoldHistory!M:M, "Final Design Review")</f>
        <v>0</v>
      </c>
    </row>
    <row r="14" spans="1:10" x14ac:dyDescent="0.35">
      <c r="A14">
        <v>103694</v>
      </c>
      <c r="B14">
        <f>SUMIFS(HoldHistory!Q:Q, HoldHistory!A:A, A14, HoldHistory!M:M, "Triage")</f>
        <v>0</v>
      </c>
      <c r="C14">
        <f>SUMIFS(HoldHistory!Q:Q, HoldHistory!A:A, A14, HoldHistory!M:M, "Task Plan")</f>
        <v>0</v>
      </c>
      <c r="D14">
        <f>SUMIFS(HoldHistory!Q:Q, HoldHistory!A:A, A14, HoldHistory!M:M, "Initial Design Review")</f>
        <v>0</v>
      </c>
      <c r="E14">
        <f>SUMIFS(HoldHistory!Q:Q, HoldHistory!A:A, A14, HoldHistory!M:M, "ReCAP")</f>
        <v>0</v>
      </c>
      <c r="F14">
        <f>SUMIFS(HoldHistory!Q:Q, HoldHistory!A:A, A14, HoldHistory!M:M, "Draft EA")</f>
        <v>0</v>
      </c>
      <c r="G14">
        <f>SUMIFS(HoldHistory!Q:Q, HoldHistory!A:A, A14, HoldHistory!M:M, "Structures Pre-SAM")</f>
        <v>0</v>
      </c>
      <c r="H14">
        <f>SUMIFS(HoldHistory!Q:Q, HoldHistory!A:A, A14, HoldHistory!M:M, "Structures SAM")</f>
        <v>0</v>
      </c>
      <c r="I14">
        <f>SUMIFS(HoldHistory!Q:Q, HoldHistory!A:A, A14, HoldHistory!M:M, "Final Design Review")</f>
        <v>0</v>
      </c>
    </row>
    <row r="15" spans="1:10" x14ac:dyDescent="0.35">
      <c r="A15">
        <v>104000</v>
      </c>
      <c r="B15">
        <f>SUMIFS(HoldHistory!Q:Q, HoldHistory!A:A, A15, HoldHistory!M:M, "Triage")</f>
        <v>0</v>
      </c>
      <c r="C15">
        <f>SUMIFS(HoldHistory!Q:Q, HoldHistory!A:A, A15, HoldHistory!M:M, "Task Plan")</f>
        <v>0</v>
      </c>
      <c r="D15">
        <f>SUMIFS(HoldHistory!Q:Q, HoldHistory!A:A, A15, HoldHistory!M:M, "Initial Design Review")</f>
        <v>0</v>
      </c>
      <c r="E15">
        <f>SUMIFS(HoldHistory!Q:Q, HoldHistory!A:A, A15, HoldHistory!M:M, "ReCAP")</f>
        <v>0</v>
      </c>
      <c r="F15">
        <f>SUMIFS(HoldHistory!Q:Q, HoldHistory!A:A, A15, HoldHistory!M:M, "Draft EA")</f>
        <v>0</v>
      </c>
      <c r="G15">
        <f>SUMIFS(HoldHistory!Q:Q, HoldHistory!A:A, A15, HoldHistory!M:M, "Structures Pre-SAM")</f>
        <v>0</v>
      </c>
      <c r="H15">
        <f>SUMIFS(HoldHistory!Q:Q, HoldHistory!A:A, A15, HoldHistory!M:M, "Structures SAM")</f>
        <v>0</v>
      </c>
      <c r="I15">
        <f>SUMIFS(HoldHistory!Q:Q, HoldHistory!A:A, A15, HoldHistory!M:M, "Final Design Review")</f>
        <v>0</v>
      </c>
    </row>
    <row r="16" spans="1:10" x14ac:dyDescent="0.35">
      <c r="A16">
        <v>104024</v>
      </c>
      <c r="B16">
        <f>SUMIFS(HoldHistory!Q:Q, HoldHistory!A:A, A16, HoldHistory!M:M, "Triage")</f>
        <v>0</v>
      </c>
      <c r="C16">
        <f>SUMIFS(HoldHistory!Q:Q, HoldHistory!A:A, A16, HoldHistory!M:M, "Task Plan")</f>
        <v>0</v>
      </c>
      <c r="D16">
        <f>SUMIFS(HoldHistory!Q:Q, HoldHistory!A:A, A16, HoldHistory!M:M, "Initial Design Review")</f>
        <v>0</v>
      </c>
      <c r="E16">
        <f>SUMIFS(HoldHistory!Q:Q, HoldHistory!A:A, A16, HoldHistory!M:M, "ReCAP")</f>
        <v>0</v>
      </c>
      <c r="F16">
        <f>SUMIFS(HoldHistory!Q:Q, HoldHistory!A:A, A16, HoldHistory!M:M, "Draft EA")</f>
        <v>0</v>
      </c>
      <c r="G16">
        <f>SUMIFS(HoldHistory!Q:Q, HoldHistory!A:A, A16, HoldHistory!M:M, "Structures Pre-SAM")</f>
        <v>0</v>
      </c>
      <c r="H16">
        <f>SUMIFS(HoldHistory!Q:Q, HoldHistory!A:A, A16, HoldHistory!M:M, "Structures SAM")</f>
        <v>0</v>
      </c>
      <c r="I16">
        <f>SUMIFS(HoldHistory!Q:Q, HoldHistory!A:A, A16, HoldHistory!M:M, "Final Design Review")</f>
        <v>0</v>
      </c>
    </row>
    <row r="17" spans="1:9" x14ac:dyDescent="0.35">
      <c r="A17">
        <v>104185</v>
      </c>
      <c r="B17">
        <f>SUMIFS(HoldHistory!Q:Q, HoldHistory!A:A, A17, HoldHistory!M:M, "Triage")</f>
        <v>0</v>
      </c>
      <c r="C17">
        <f>SUMIFS(HoldHistory!Q:Q, HoldHistory!A:A, A17, HoldHistory!M:M, "Task Plan")</f>
        <v>0</v>
      </c>
      <c r="D17">
        <f>SUMIFS(HoldHistory!Q:Q, HoldHistory!A:A, A17, HoldHistory!M:M, "Initial Design Review")</f>
        <v>0</v>
      </c>
      <c r="E17">
        <f>SUMIFS(HoldHistory!Q:Q, HoldHistory!A:A, A17, HoldHistory!M:M, "ReCAP")</f>
        <v>0</v>
      </c>
      <c r="F17">
        <f>SUMIFS(HoldHistory!Q:Q, HoldHistory!A:A, A17, HoldHistory!M:M, "Draft EA")</f>
        <v>0</v>
      </c>
      <c r="G17">
        <f>SUMIFS(HoldHistory!Q:Q, HoldHistory!A:A, A17, HoldHistory!M:M, "Structures Pre-SAM")</f>
        <v>0</v>
      </c>
      <c r="H17">
        <f>SUMIFS(HoldHistory!Q:Q, HoldHistory!A:A, A17, HoldHistory!M:M, "Structures SAM")</f>
        <v>0</v>
      </c>
      <c r="I17">
        <f>SUMIFS(HoldHistory!Q:Q, HoldHistory!A:A, A17, HoldHistory!M:M, "Final Design Review")</f>
        <v>0</v>
      </c>
    </row>
    <row r="18" spans="1:9" x14ac:dyDescent="0.35">
      <c r="A18">
        <v>104660</v>
      </c>
      <c r="B18">
        <f>SUMIFS(HoldHistory!Q:Q, HoldHistory!A:A, A18, HoldHistory!M:M, "Triage")</f>
        <v>0</v>
      </c>
      <c r="C18">
        <f>SUMIFS(HoldHistory!Q:Q, HoldHistory!A:A, A18, HoldHistory!M:M, "Task Plan")</f>
        <v>0</v>
      </c>
      <c r="D18">
        <f>SUMIFS(HoldHistory!Q:Q, HoldHistory!A:A, A18, HoldHistory!M:M, "Initial Design Review")</f>
        <v>0</v>
      </c>
      <c r="E18">
        <f>SUMIFS(HoldHistory!Q:Q, HoldHistory!A:A, A18, HoldHistory!M:M, "ReCAP")</f>
        <v>0</v>
      </c>
      <c r="F18">
        <f>SUMIFS(HoldHistory!Q:Q, HoldHistory!A:A, A18, HoldHistory!M:M, "Draft EA")</f>
        <v>0</v>
      </c>
      <c r="G18">
        <f>SUMIFS(HoldHistory!Q:Q, HoldHistory!A:A, A18, HoldHistory!M:M, "Structures Pre-SAM")</f>
        <v>0</v>
      </c>
      <c r="H18">
        <f>SUMIFS(HoldHistory!Q:Q, HoldHistory!A:A, A18, HoldHistory!M:M, "Structures SAM")</f>
        <v>0</v>
      </c>
      <c r="I18">
        <f>SUMIFS(HoldHistory!Q:Q, HoldHistory!A:A, A18, HoldHistory!M:M, "Final Design Review")</f>
        <v>0</v>
      </c>
    </row>
    <row r="19" spans="1:9" x14ac:dyDescent="0.35">
      <c r="A19">
        <v>104723</v>
      </c>
      <c r="B19">
        <f>SUMIFS(HoldHistory!Q:Q, HoldHistory!A:A, A19, HoldHistory!M:M, "Triage")</f>
        <v>0</v>
      </c>
      <c r="C19">
        <f>SUMIFS(HoldHistory!Q:Q, HoldHistory!A:A, A19, HoldHistory!M:M, "Task Plan")</f>
        <v>0</v>
      </c>
      <c r="D19">
        <f>SUMIFS(HoldHistory!Q:Q, HoldHistory!A:A, A19, HoldHistory!M:M, "Initial Design Review")</f>
        <v>0</v>
      </c>
      <c r="E19">
        <f>SUMIFS(HoldHistory!Q:Q, HoldHistory!A:A, A19, HoldHistory!M:M, "ReCAP")</f>
        <v>0</v>
      </c>
      <c r="F19">
        <f>SUMIFS(HoldHistory!Q:Q, HoldHistory!A:A, A19, HoldHistory!M:M, "Draft EA")</f>
        <v>4</v>
      </c>
      <c r="G19">
        <f>SUMIFS(HoldHistory!Q:Q, HoldHistory!A:A, A19, HoldHistory!M:M, "Structures Pre-SAM")</f>
        <v>0</v>
      </c>
      <c r="H19">
        <f>SUMIFS(HoldHistory!Q:Q, HoldHistory!A:A, A19, HoldHistory!M:M, "Structures SAM")</f>
        <v>0</v>
      </c>
      <c r="I19">
        <f>SUMIFS(HoldHistory!Q:Q, HoldHistory!A:A, A19, HoldHistory!M:M, "Final Design Review")</f>
        <v>0</v>
      </c>
    </row>
    <row r="20" spans="1:9" x14ac:dyDescent="0.35">
      <c r="A20">
        <v>104738</v>
      </c>
      <c r="B20">
        <f>SUMIFS(HoldHistory!Q:Q, HoldHistory!A:A, A20, HoldHistory!M:M, "Triage")</f>
        <v>0</v>
      </c>
      <c r="C20">
        <f>SUMIFS(HoldHistory!Q:Q, HoldHistory!A:A, A20, HoldHistory!M:M, "Task Plan")</f>
        <v>0</v>
      </c>
      <c r="D20">
        <f>SUMIFS(HoldHistory!Q:Q, HoldHistory!A:A, A20, HoldHistory!M:M, "Initial Design Review")</f>
        <v>0</v>
      </c>
      <c r="E20">
        <f>SUMIFS(HoldHistory!Q:Q, HoldHistory!A:A, A20, HoldHistory!M:M, "ReCAP")</f>
        <v>0</v>
      </c>
      <c r="F20">
        <f>SUMIFS(HoldHistory!Q:Q, HoldHistory!A:A, A20, HoldHistory!M:M, "Draft EA")</f>
        <v>0</v>
      </c>
      <c r="G20">
        <f>SUMIFS(HoldHistory!Q:Q, HoldHistory!A:A, A20, HoldHistory!M:M, "Structures Pre-SAM")</f>
        <v>0</v>
      </c>
      <c r="H20">
        <f>SUMIFS(HoldHistory!Q:Q, HoldHistory!A:A, A20, HoldHistory!M:M, "Structures SAM")</f>
        <v>0</v>
      </c>
      <c r="I20">
        <f>SUMIFS(HoldHistory!Q:Q, HoldHistory!A:A, A20, HoldHistory!M:M, "Final Design Review")</f>
        <v>0</v>
      </c>
    </row>
    <row r="21" spans="1:9" x14ac:dyDescent="0.35">
      <c r="A21">
        <v>104973</v>
      </c>
      <c r="B21">
        <f>SUMIFS(HoldHistory!Q:Q, HoldHistory!A:A, A21, HoldHistory!M:M, "Triage")</f>
        <v>0</v>
      </c>
      <c r="C21">
        <f>SUMIFS(HoldHistory!Q:Q, HoldHistory!A:A, A21, HoldHistory!M:M, "Task Plan")</f>
        <v>0</v>
      </c>
      <c r="D21">
        <f>SUMIFS(HoldHistory!Q:Q, HoldHistory!A:A, A21, HoldHistory!M:M, "Initial Design Review")</f>
        <v>0</v>
      </c>
      <c r="E21">
        <f>SUMIFS(HoldHistory!Q:Q, HoldHistory!A:A, A21, HoldHistory!M:M, "ReCAP")</f>
        <v>0</v>
      </c>
      <c r="F21">
        <f>SUMIFS(HoldHistory!Q:Q, HoldHistory!A:A, A21, HoldHistory!M:M, "Draft EA")</f>
        <v>0</v>
      </c>
      <c r="G21">
        <f>SUMIFS(HoldHistory!Q:Q, HoldHistory!A:A, A21, HoldHistory!M:M, "Structures Pre-SAM")</f>
        <v>0</v>
      </c>
      <c r="H21">
        <f>SUMIFS(HoldHistory!Q:Q, HoldHistory!A:A, A21, HoldHistory!M:M, "Structures SAM")</f>
        <v>0</v>
      </c>
      <c r="I21">
        <f>SUMIFS(HoldHistory!Q:Q, HoldHistory!A:A, A21, HoldHistory!M:M, "Final Design Review")</f>
        <v>0</v>
      </c>
    </row>
    <row r="22" spans="1:9" x14ac:dyDescent="0.35">
      <c r="A22">
        <v>105143</v>
      </c>
      <c r="B22">
        <f>SUMIFS(HoldHistory!Q:Q, HoldHistory!A:A, A22, HoldHistory!M:M, "Triage")</f>
        <v>0</v>
      </c>
      <c r="C22">
        <f>SUMIFS(HoldHistory!Q:Q, HoldHistory!A:A, A22, HoldHistory!M:M, "Task Plan")</f>
        <v>4</v>
      </c>
      <c r="D22">
        <f>SUMIFS(HoldHistory!Q:Q, HoldHistory!A:A, A22, HoldHistory!M:M, "Initial Design Review")</f>
        <v>0</v>
      </c>
      <c r="E22">
        <f>SUMIFS(HoldHistory!Q:Q, HoldHistory!A:A, A22, HoldHistory!M:M, "ReCAP")</f>
        <v>81</v>
      </c>
      <c r="F22">
        <f>SUMIFS(HoldHistory!Q:Q, HoldHistory!A:A, A22, HoldHistory!M:M, "Draft EA")</f>
        <v>0</v>
      </c>
      <c r="G22">
        <f>SUMIFS(HoldHistory!Q:Q, HoldHistory!A:A, A22, HoldHistory!M:M, "Structures Pre-SAM")</f>
        <v>0</v>
      </c>
      <c r="H22">
        <f>SUMIFS(HoldHistory!Q:Q, HoldHistory!A:A, A22, HoldHistory!M:M, "Structures SAM")</f>
        <v>0</v>
      </c>
      <c r="I22">
        <f>SUMIFS(HoldHistory!Q:Q, HoldHistory!A:A, A22, HoldHistory!M:M, "Final Design Review")</f>
        <v>0</v>
      </c>
    </row>
    <row r="23" spans="1:9" x14ac:dyDescent="0.35">
      <c r="A23">
        <v>105228</v>
      </c>
      <c r="B23">
        <f>SUMIFS(HoldHistory!Q:Q, HoldHistory!A:A, A23, HoldHistory!M:M, "Triage")</f>
        <v>0</v>
      </c>
      <c r="C23">
        <f>SUMIFS(HoldHistory!Q:Q, HoldHistory!A:A, A23, HoldHistory!M:M, "Task Plan")</f>
        <v>0</v>
      </c>
      <c r="D23">
        <f>SUMIFS(HoldHistory!Q:Q, HoldHistory!A:A, A23, HoldHistory!M:M, "Initial Design Review")</f>
        <v>0</v>
      </c>
      <c r="E23">
        <f>SUMIFS(HoldHistory!Q:Q, HoldHistory!A:A, A23, HoldHistory!M:M, "ReCAP")</f>
        <v>0</v>
      </c>
      <c r="F23">
        <f>SUMIFS(HoldHistory!Q:Q, HoldHistory!A:A, A23, HoldHistory!M:M, "Draft EA")</f>
        <v>5</v>
      </c>
      <c r="G23">
        <f>SUMIFS(HoldHistory!Q:Q, HoldHistory!A:A, A23, HoldHistory!M:M, "Structures Pre-SAM")</f>
        <v>0</v>
      </c>
      <c r="H23">
        <f>SUMIFS(HoldHistory!Q:Q, HoldHistory!A:A, A23, HoldHistory!M:M, "Structures SAM")</f>
        <v>0</v>
      </c>
      <c r="I23">
        <f>SUMIFS(HoldHistory!Q:Q, HoldHistory!A:A, A23, HoldHistory!M:M, "Final Design Review")</f>
        <v>0</v>
      </c>
    </row>
    <row r="24" spans="1:9" x14ac:dyDescent="0.35">
      <c r="A24">
        <v>105355</v>
      </c>
      <c r="B24">
        <f>SUMIFS(HoldHistory!Q:Q, HoldHistory!A:A, A24, HoldHistory!M:M, "Triage")</f>
        <v>0</v>
      </c>
      <c r="C24">
        <f>SUMIFS(HoldHistory!Q:Q, HoldHistory!A:A, A24, HoldHistory!M:M, "Task Plan")</f>
        <v>0</v>
      </c>
      <c r="D24">
        <f>SUMIFS(HoldHistory!Q:Q, HoldHistory!A:A, A24, HoldHistory!M:M, "Initial Design Review")</f>
        <v>0</v>
      </c>
      <c r="E24">
        <f>SUMIFS(HoldHistory!Q:Q, HoldHistory!A:A, A24, HoldHistory!M:M, "ReCAP")</f>
        <v>0</v>
      </c>
      <c r="F24">
        <f>SUMIFS(HoldHistory!Q:Q, HoldHistory!A:A, A24, HoldHistory!M:M, "Draft EA")</f>
        <v>0</v>
      </c>
      <c r="G24">
        <f>SUMIFS(HoldHistory!Q:Q, HoldHistory!A:A, A24, HoldHistory!M:M, "Structures Pre-SAM")</f>
        <v>0</v>
      </c>
      <c r="H24">
        <f>SUMIFS(HoldHistory!Q:Q, HoldHistory!A:A, A24, HoldHistory!M:M, "Structures SAM")</f>
        <v>0</v>
      </c>
      <c r="I24">
        <f>SUMIFS(HoldHistory!Q:Q, HoldHistory!A:A, A24, HoldHistory!M:M, "Final Design Review")</f>
        <v>0</v>
      </c>
    </row>
    <row r="25" spans="1:9" x14ac:dyDescent="0.35">
      <c r="A25">
        <v>105360</v>
      </c>
      <c r="B25">
        <f>SUMIFS(HoldHistory!Q:Q, HoldHistory!A:A, A25, HoldHistory!M:M, "Triage")</f>
        <v>0</v>
      </c>
      <c r="C25">
        <f>SUMIFS(HoldHistory!Q:Q, HoldHistory!A:A, A25, HoldHistory!M:M, "Task Plan")</f>
        <v>0</v>
      </c>
      <c r="D25">
        <f>SUMIFS(HoldHistory!Q:Q, HoldHistory!A:A, A25, HoldHistory!M:M, "Initial Design Review")</f>
        <v>0</v>
      </c>
      <c r="E25">
        <f>SUMIFS(HoldHistory!Q:Q, HoldHistory!A:A, A25, HoldHistory!M:M, "ReCAP")</f>
        <v>0</v>
      </c>
      <c r="F25">
        <f>SUMIFS(HoldHistory!Q:Q, HoldHistory!A:A, A25, HoldHistory!M:M, "Draft EA")</f>
        <v>0</v>
      </c>
      <c r="G25">
        <f>SUMIFS(HoldHistory!Q:Q, HoldHistory!A:A, A25, HoldHistory!M:M, "Structures Pre-SAM")</f>
        <v>1</v>
      </c>
      <c r="H25">
        <f>SUMIFS(HoldHistory!Q:Q, HoldHistory!A:A, A25, HoldHistory!M:M, "Structures SAM")</f>
        <v>0</v>
      </c>
      <c r="I25">
        <f>SUMIFS(HoldHistory!Q:Q, HoldHistory!A:A, A25, HoldHistory!M:M, "Final Design Review")</f>
        <v>0</v>
      </c>
    </row>
    <row r="26" spans="1:9" x14ac:dyDescent="0.35">
      <c r="A26">
        <v>105554</v>
      </c>
      <c r="B26">
        <f>SUMIFS(HoldHistory!Q:Q, HoldHistory!A:A, A26, HoldHistory!M:M, "Triage")</f>
        <v>0</v>
      </c>
      <c r="C26">
        <f>SUMIFS(HoldHistory!Q:Q, HoldHistory!A:A, A26, HoldHistory!M:M, "Task Plan")</f>
        <v>0</v>
      </c>
      <c r="D26">
        <f>SUMIFS(HoldHistory!Q:Q, HoldHistory!A:A, A26, HoldHistory!M:M, "Initial Design Review")</f>
        <v>0</v>
      </c>
      <c r="E26">
        <f>SUMIFS(HoldHistory!Q:Q, HoldHistory!A:A, A26, HoldHistory!M:M, "ReCAP")</f>
        <v>0</v>
      </c>
      <c r="F26">
        <f>SUMIFS(HoldHistory!Q:Q, HoldHistory!A:A, A26, HoldHistory!M:M, "Draft EA")</f>
        <v>3</v>
      </c>
      <c r="G26">
        <f>SUMIFS(HoldHistory!Q:Q, HoldHistory!A:A, A26, HoldHistory!M:M, "Structures Pre-SAM")</f>
        <v>0</v>
      </c>
      <c r="H26">
        <f>SUMIFS(HoldHistory!Q:Q, HoldHistory!A:A, A26, HoldHistory!M:M, "Structures SAM")</f>
        <v>0</v>
      </c>
      <c r="I26">
        <f>SUMIFS(HoldHistory!Q:Q, HoldHistory!A:A, A26, HoldHistory!M:M, "Final Design Review")</f>
        <v>0</v>
      </c>
    </row>
    <row r="27" spans="1:9" x14ac:dyDescent="0.35">
      <c r="A27">
        <v>105567</v>
      </c>
      <c r="B27">
        <f>SUMIFS(HoldHistory!Q:Q, HoldHistory!A:A, A27, HoldHistory!M:M, "Triage")</f>
        <v>15</v>
      </c>
      <c r="C27">
        <f>SUMIFS(HoldHistory!Q:Q, HoldHistory!A:A, A27, HoldHistory!M:M, "Task Plan")</f>
        <v>0</v>
      </c>
      <c r="D27">
        <f>SUMIFS(HoldHistory!Q:Q, HoldHistory!A:A, A27, HoldHistory!M:M, "Initial Design Review")</f>
        <v>0</v>
      </c>
      <c r="E27">
        <f>SUMIFS(HoldHistory!Q:Q, HoldHistory!A:A, A27, HoldHistory!M:M, "ReCAP")</f>
        <v>0</v>
      </c>
      <c r="F27">
        <f>SUMIFS(HoldHistory!Q:Q, HoldHistory!A:A, A27, HoldHistory!M:M, "Draft EA")</f>
        <v>0</v>
      </c>
      <c r="G27">
        <f>SUMIFS(HoldHistory!Q:Q, HoldHistory!A:A, A27, HoldHistory!M:M, "Structures Pre-SAM")</f>
        <v>0</v>
      </c>
      <c r="H27">
        <f>SUMIFS(HoldHistory!Q:Q, HoldHistory!A:A, A27, HoldHistory!M:M, "Structures SAM")</f>
        <v>0</v>
      </c>
      <c r="I27">
        <f>SUMIFS(HoldHistory!Q:Q, HoldHistory!A:A, A27, HoldHistory!M:M, "Final Design Review")</f>
        <v>0</v>
      </c>
    </row>
    <row r="28" spans="1:9" x14ac:dyDescent="0.35">
      <c r="A28">
        <v>106031</v>
      </c>
      <c r="B28">
        <f>SUMIFS(HoldHistory!Q:Q, HoldHistory!A:A, A28, HoldHistory!M:M, "Triage")</f>
        <v>5</v>
      </c>
      <c r="C28">
        <f>SUMIFS(HoldHistory!Q:Q, HoldHistory!A:A, A28, HoldHistory!M:M, "Task Plan")</f>
        <v>0</v>
      </c>
      <c r="D28">
        <f>SUMIFS(HoldHistory!Q:Q, HoldHistory!A:A, A28, HoldHistory!M:M, "Initial Design Review")</f>
        <v>0</v>
      </c>
      <c r="E28">
        <f>SUMIFS(HoldHistory!Q:Q, HoldHistory!A:A, A28, HoldHistory!M:M, "ReCAP")</f>
        <v>0</v>
      </c>
      <c r="F28">
        <f>SUMIFS(HoldHistory!Q:Q, HoldHistory!A:A, A28, HoldHistory!M:M, "Draft EA")</f>
        <v>0</v>
      </c>
      <c r="G28">
        <f>SUMIFS(HoldHistory!Q:Q, HoldHistory!A:A, A28, HoldHistory!M:M, "Structures Pre-SAM")</f>
        <v>0</v>
      </c>
      <c r="H28">
        <f>SUMIFS(HoldHistory!Q:Q, HoldHistory!A:A, A28, HoldHistory!M:M, "Structures SAM")</f>
        <v>0</v>
      </c>
      <c r="I28">
        <f>SUMIFS(HoldHistory!Q:Q, HoldHistory!A:A, A28, HoldHistory!M:M, "Final Design Review")</f>
        <v>0</v>
      </c>
    </row>
    <row r="29" spans="1:9" x14ac:dyDescent="0.35">
      <c r="A29">
        <v>106033</v>
      </c>
      <c r="B29">
        <f>SUMIFS(HoldHistory!Q:Q, HoldHistory!A:A, A29, HoldHistory!M:M, "Triage")</f>
        <v>27</v>
      </c>
      <c r="C29">
        <f>SUMIFS(HoldHistory!Q:Q, HoldHistory!A:A, A29, HoldHistory!M:M, "Task Plan")</f>
        <v>0</v>
      </c>
      <c r="D29">
        <f>SUMIFS(HoldHistory!Q:Q, HoldHistory!A:A, A29, HoldHistory!M:M, "Initial Design Review")</f>
        <v>0</v>
      </c>
      <c r="E29">
        <f>SUMIFS(HoldHistory!Q:Q, HoldHistory!A:A, A29, HoldHistory!M:M, "ReCAP")</f>
        <v>0</v>
      </c>
      <c r="F29">
        <f>SUMIFS(HoldHistory!Q:Q, HoldHistory!A:A, A29, HoldHistory!M:M, "Draft EA")</f>
        <v>18</v>
      </c>
      <c r="G29">
        <f>SUMIFS(HoldHistory!Q:Q, HoldHistory!A:A, A29, HoldHistory!M:M, "Structures Pre-SAM")</f>
        <v>0</v>
      </c>
      <c r="H29">
        <f>SUMIFS(HoldHistory!Q:Q, HoldHistory!A:A, A29, HoldHistory!M:M, "Structures SAM")</f>
        <v>0</v>
      </c>
      <c r="I29">
        <f>SUMIFS(HoldHistory!Q:Q, HoldHistory!A:A, A29, HoldHistory!M:M, "Final Design Review")</f>
        <v>0</v>
      </c>
    </row>
    <row r="30" spans="1:9" x14ac:dyDescent="0.35">
      <c r="A30">
        <v>106493</v>
      </c>
      <c r="B30">
        <f>SUMIFS(HoldHistory!Q:Q, HoldHistory!A:A, A30, HoldHistory!M:M, "Triage")</f>
        <v>17</v>
      </c>
      <c r="C30">
        <f>SUMIFS(HoldHistory!Q:Q, HoldHistory!A:A, A30, HoldHistory!M:M, "Task Plan")</f>
        <v>71</v>
      </c>
      <c r="D30">
        <f>SUMIFS(HoldHistory!Q:Q, HoldHistory!A:A, A30, HoldHistory!M:M, "Initial Design Review")</f>
        <v>2</v>
      </c>
      <c r="E30">
        <f>SUMIFS(HoldHistory!Q:Q, HoldHistory!A:A, A30, HoldHistory!M:M, "ReCAP")</f>
        <v>0</v>
      </c>
      <c r="F30">
        <f>SUMIFS(HoldHistory!Q:Q, HoldHistory!A:A, A30, HoldHistory!M:M, "Draft EA")</f>
        <v>0</v>
      </c>
      <c r="G30">
        <f>SUMIFS(HoldHistory!Q:Q, HoldHistory!A:A, A30, HoldHistory!M:M, "Structures Pre-SAM")</f>
        <v>0</v>
      </c>
      <c r="H30">
        <f>SUMIFS(HoldHistory!Q:Q, HoldHistory!A:A, A30, HoldHistory!M:M, "Structures SAM")</f>
        <v>0</v>
      </c>
      <c r="I30">
        <f>SUMIFS(HoldHistory!Q:Q, HoldHistory!A:A, A30, HoldHistory!M:M, "Final Design Review")</f>
        <v>0</v>
      </c>
    </row>
    <row r="31" spans="1:9" x14ac:dyDescent="0.35">
      <c r="A31">
        <v>106501</v>
      </c>
      <c r="B31">
        <f>SUMIFS(HoldHistory!Q:Q, HoldHistory!A:A, A31, HoldHistory!M:M, "Triage")</f>
        <v>0</v>
      </c>
      <c r="C31">
        <f>SUMIFS(HoldHistory!Q:Q, HoldHistory!A:A, A31, HoldHistory!M:M, "Task Plan")</f>
        <v>0</v>
      </c>
      <c r="D31">
        <f>SUMIFS(HoldHistory!Q:Q, HoldHistory!A:A, A31, HoldHistory!M:M, "Initial Design Review")</f>
        <v>0</v>
      </c>
      <c r="E31">
        <f>SUMIFS(HoldHistory!Q:Q, HoldHistory!A:A, A31, HoldHistory!M:M, "ReCAP")</f>
        <v>0</v>
      </c>
      <c r="F31">
        <f>SUMIFS(HoldHistory!Q:Q, HoldHistory!A:A, A31, HoldHistory!M:M, "Draft EA")</f>
        <v>4</v>
      </c>
      <c r="G31">
        <f>SUMIFS(HoldHistory!Q:Q, HoldHistory!A:A, A31, HoldHistory!M:M, "Structures Pre-SAM")</f>
        <v>0</v>
      </c>
      <c r="H31">
        <f>SUMIFS(HoldHistory!Q:Q, HoldHistory!A:A, A31, HoldHistory!M:M, "Structures SAM")</f>
        <v>0</v>
      </c>
      <c r="I31">
        <f>SUMIFS(HoldHistory!Q:Q, HoldHistory!A:A, A31, HoldHistory!M:M, "Final Design Review")</f>
        <v>0</v>
      </c>
    </row>
    <row r="32" spans="1:9" x14ac:dyDescent="0.35">
      <c r="A32">
        <v>106524</v>
      </c>
      <c r="B32">
        <f>SUMIFS(HoldHistory!Q:Q, HoldHistory!A:A, A32, HoldHistory!M:M, "Triage")</f>
        <v>0</v>
      </c>
      <c r="C32">
        <f>SUMIFS(HoldHistory!Q:Q, HoldHistory!A:A, A32, HoldHistory!M:M, "Task Plan")</f>
        <v>0</v>
      </c>
      <c r="D32">
        <f>SUMIFS(HoldHistory!Q:Q, HoldHistory!A:A, A32, HoldHistory!M:M, "Initial Design Review")</f>
        <v>0</v>
      </c>
      <c r="E32">
        <f>SUMIFS(HoldHistory!Q:Q, HoldHistory!A:A, A32, HoldHistory!M:M, "ReCAP")</f>
        <v>18</v>
      </c>
      <c r="F32">
        <f>SUMIFS(HoldHistory!Q:Q, HoldHistory!A:A, A32, HoldHistory!M:M, "Draft EA")</f>
        <v>0</v>
      </c>
      <c r="G32">
        <f>SUMIFS(HoldHistory!Q:Q, HoldHistory!A:A, A32, HoldHistory!M:M, "Structures Pre-SAM")</f>
        <v>0</v>
      </c>
      <c r="H32">
        <f>SUMIFS(HoldHistory!Q:Q, HoldHistory!A:A, A32, HoldHistory!M:M, "Structures SAM")</f>
        <v>0</v>
      </c>
      <c r="I32">
        <f>SUMIFS(HoldHistory!Q:Q, HoldHistory!A:A, A32, HoldHistory!M:M, "Final Design Review")</f>
        <v>0</v>
      </c>
    </row>
    <row r="33" spans="1:9" x14ac:dyDescent="0.35">
      <c r="A33">
        <v>106581</v>
      </c>
      <c r="B33">
        <f>SUMIFS(HoldHistory!Q:Q, HoldHistory!A:A, A33, HoldHistory!M:M, "Triage")</f>
        <v>79</v>
      </c>
      <c r="C33">
        <f>SUMIFS(HoldHistory!Q:Q, HoldHistory!A:A, A33, HoldHistory!M:M, "Task Plan")</f>
        <v>2</v>
      </c>
      <c r="D33">
        <f>SUMIFS(HoldHistory!Q:Q, HoldHistory!A:A, A33, HoldHistory!M:M, "Initial Design Review")</f>
        <v>0</v>
      </c>
      <c r="E33">
        <f>SUMIFS(HoldHistory!Q:Q, HoldHistory!A:A, A33, HoldHistory!M:M, "ReCAP")</f>
        <v>0</v>
      </c>
      <c r="F33">
        <f>SUMIFS(HoldHistory!Q:Q, HoldHistory!A:A, A33, HoldHistory!M:M, "Draft EA")</f>
        <v>2</v>
      </c>
      <c r="G33">
        <f>SUMIFS(HoldHistory!Q:Q, HoldHistory!A:A, A33, HoldHistory!M:M, "Structures Pre-SAM")</f>
        <v>0</v>
      </c>
      <c r="H33">
        <f>SUMIFS(HoldHistory!Q:Q, HoldHistory!A:A, A33, HoldHistory!M:M, "Structures SAM")</f>
        <v>0</v>
      </c>
      <c r="I33">
        <f>SUMIFS(HoldHistory!Q:Q, HoldHistory!A:A, A33, HoldHistory!M:M, "Final Design Review")</f>
        <v>0</v>
      </c>
    </row>
    <row r="34" spans="1:9" x14ac:dyDescent="0.35">
      <c r="A34">
        <v>106773</v>
      </c>
      <c r="B34">
        <f>SUMIFS(HoldHistory!Q:Q, HoldHistory!A:A, A34, HoldHistory!M:M, "Triage")</f>
        <v>3</v>
      </c>
      <c r="C34">
        <f>SUMIFS(HoldHistory!Q:Q, HoldHistory!A:A, A34, HoldHistory!M:M, "Task Plan")</f>
        <v>0</v>
      </c>
      <c r="D34">
        <f>SUMIFS(HoldHistory!Q:Q, HoldHistory!A:A, A34, HoldHistory!M:M, "Initial Design Review")</f>
        <v>0</v>
      </c>
      <c r="E34">
        <f>SUMIFS(HoldHistory!Q:Q, HoldHistory!A:A, A34, HoldHistory!M:M, "ReCAP")</f>
        <v>0</v>
      </c>
      <c r="F34">
        <f>SUMIFS(HoldHistory!Q:Q, HoldHistory!A:A, A34, HoldHistory!M:M, "Draft EA")</f>
        <v>0</v>
      </c>
      <c r="G34">
        <f>SUMIFS(HoldHistory!Q:Q, HoldHistory!A:A, A34, HoldHistory!M:M, "Structures Pre-SAM")</f>
        <v>0</v>
      </c>
      <c r="H34">
        <f>SUMIFS(HoldHistory!Q:Q, HoldHistory!A:A, A34, HoldHistory!M:M, "Structures SAM")</f>
        <v>0</v>
      </c>
      <c r="I34">
        <f>SUMIFS(HoldHistory!Q:Q, HoldHistory!A:A, A34, HoldHistory!M:M, "Final Design Review")</f>
        <v>0</v>
      </c>
    </row>
    <row r="35" spans="1:9" x14ac:dyDescent="0.35">
      <c r="A35">
        <v>107180</v>
      </c>
      <c r="B35">
        <f>SUMIFS(HoldHistory!Q:Q, HoldHistory!A:A, A35, HoldHistory!M:M, "Triage")</f>
        <v>4</v>
      </c>
      <c r="C35">
        <f>SUMIFS(HoldHistory!Q:Q, HoldHistory!A:A, A35, HoldHistory!M:M, "Task Plan")</f>
        <v>0</v>
      </c>
      <c r="D35">
        <f>SUMIFS(HoldHistory!Q:Q, HoldHistory!A:A, A35, HoldHistory!M:M, "Initial Design Review")</f>
        <v>0</v>
      </c>
      <c r="E35">
        <f>SUMIFS(HoldHistory!Q:Q, HoldHistory!A:A, A35, HoldHistory!M:M, "ReCAP")</f>
        <v>15</v>
      </c>
      <c r="F35">
        <f>SUMIFS(HoldHistory!Q:Q, HoldHistory!A:A, A35, HoldHistory!M:M, "Draft EA")</f>
        <v>0</v>
      </c>
      <c r="G35">
        <f>SUMIFS(HoldHistory!Q:Q, HoldHistory!A:A, A35, HoldHistory!M:M, "Structures Pre-SAM")</f>
        <v>2</v>
      </c>
      <c r="H35">
        <f>SUMIFS(HoldHistory!Q:Q, HoldHistory!A:A, A35, HoldHistory!M:M, "Structures SAM")</f>
        <v>0</v>
      </c>
      <c r="I35">
        <f>SUMIFS(HoldHistory!Q:Q, HoldHistory!A:A, A35, HoldHistory!M:M, "Final Design Review")</f>
        <v>0</v>
      </c>
    </row>
    <row r="36" spans="1:9" x14ac:dyDescent="0.35">
      <c r="A36">
        <v>107185</v>
      </c>
      <c r="B36">
        <f>SUMIFS(HoldHistory!Q:Q, HoldHistory!A:A, A36, HoldHistory!M:M, "Triage")</f>
        <v>4</v>
      </c>
      <c r="C36">
        <f>SUMIFS(HoldHistory!Q:Q, HoldHistory!A:A, A36, HoldHistory!M:M, "Task Plan")</f>
        <v>0</v>
      </c>
      <c r="D36">
        <f>SUMIFS(HoldHistory!Q:Q, HoldHistory!A:A, A36, HoldHistory!M:M, "Initial Design Review")</f>
        <v>0</v>
      </c>
      <c r="E36">
        <f>SUMIFS(HoldHistory!Q:Q, HoldHistory!A:A, A36, HoldHistory!M:M, "ReCAP")</f>
        <v>0</v>
      </c>
      <c r="F36">
        <f>SUMIFS(HoldHistory!Q:Q, HoldHistory!A:A, A36, HoldHistory!M:M, "Draft EA")</f>
        <v>4</v>
      </c>
      <c r="G36">
        <f>SUMIFS(HoldHistory!Q:Q, HoldHistory!A:A, A36, HoldHistory!M:M, "Structures Pre-SAM")</f>
        <v>0</v>
      </c>
      <c r="H36">
        <f>SUMIFS(HoldHistory!Q:Q, HoldHistory!A:A, A36, HoldHistory!M:M, "Structures SAM")</f>
        <v>0</v>
      </c>
      <c r="I36">
        <f>SUMIFS(HoldHistory!Q:Q, HoldHistory!A:A, A36, HoldHistory!M:M, "Final Design Review")</f>
        <v>0</v>
      </c>
    </row>
    <row r="37" spans="1:9" x14ac:dyDescent="0.35">
      <c r="A37">
        <v>107426</v>
      </c>
      <c r="B37">
        <f>SUMIFS(HoldHistory!Q:Q, HoldHistory!A:A, A37, HoldHistory!M:M, "Triage")</f>
        <v>9</v>
      </c>
      <c r="C37">
        <f>SUMIFS(HoldHistory!Q:Q, HoldHistory!A:A, A37, HoldHistory!M:M, "Task Plan")</f>
        <v>0</v>
      </c>
      <c r="D37">
        <f>SUMIFS(HoldHistory!Q:Q, HoldHistory!A:A, A37, HoldHistory!M:M, "Initial Design Review")</f>
        <v>0</v>
      </c>
      <c r="E37">
        <f>SUMIFS(HoldHistory!Q:Q, HoldHistory!A:A, A37, HoldHistory!M:M, "ReCAP")</f>
        <v>0</v>
      </c>
      <c r="F37">
        <f>SUMIFS(HoldHistory!Q:Q, HoldHistory!A:A, A37, HoldHistory!M:M, "Draft EA")</f>
        <v>0</v>
      </c>
      <c r="G37">
        <f>SUMIFS(HoldHistory!Q:Q, HoldHistory!A:A, A37, HoldHistory!M:M, "Structures Pre-SAM")</f>
        <v>0</v>
      </c>
      <c r="H37">
        <f>SUMIFS(HoldHistory!Q:Q, HoldHistory!A:A, A37, HoldHistory!M:M, "Structures SAM")</f>
        <v>0</v>
      </c>
      <c r="I37">
        <f>SUMIFS(HoldHistory!Q:Q, HoldHistory!A:A, A37, HoldHistory!M:M, "Final Design Review")</f>
        <v>0</v>
      </c>
    </row>
    <row r="38" spans="1:9" x14ac:dyDescent="0.35">
      <c r="A38">
        <v>108089</v>
      </c>
      <c r="B38">
        <f>SUMIFS(HoldHistory!Q:Q, HoldHistory!A:A, A38, HoldHistory!M:M, "Triage")</f>
        <v>4</v>
      </c>
      <c r="C38">
        <f>SUMIFS(HoldHistory!Q:Q, HoldHistory!A:A, A38, HoldHistory!M:M, "Task Plan")</f>
        <v>0</v>
      </c>
      <c r="D38">
        <f>SUMIFS(HoldHistory!Q:Q, HoldHistory!A:A, A38, HoldHistory!M:M, "Initial Design Review")</f>
        <v>0</v>
      </c>
      <c r="E38">
        <f>SUMIFS(HoldHistory!Q:Q, HoldHistory!A:A, A38, HoldHistory!M:M, "ReCAP")</f>
        <v>0</v>
      </c>
      <c r="F38">
        <f>SUMIFS(HoldHistory!Q:Q, HoldHistory!A:A, A38, HoldHistory!M:M, "Draft EA")</f>
        <v>0</v>
      </c>
      <c r="G38">
        <f>SUMIFS(HoldHistory!Q:Q, HoldHistory!A:A, A38, HoldHistory!M:M, "Structures Pre-SAM")</f>
        <v>0</v>
      </c>
      <c r="H38">
        <f>SUMIFS(HoldHistory!Q:Q, HoldHistory!A:A, A38, HoldHistory!M:M, "Structures SAM")</f>
        <v>0</v>
      </c>
      <c r="I38">
        <f>SUMIFS(HoldHistory!Q:Q, HoldHistory!A:A, A38, HoldHistory!M:M, "Final Design Review")</f>
        <v>0</v>
      </c>
    </row>
    <row r="39" spans="1:9" x14ac:dyDescent="0.35">
      <c r="A39">
        <v>108334</v>
      </c>
      <c r="B39">
        <f>SUMIFS(HoldHistory!Q:Q, HoldHistory!A:A, A39, HoldHistory!M:M, "Triage")</f>
        <v>16</v>
      </c>
      <c r="C39">
        <f>SUMIFS(HoldHistory!Q:Q, HoldHistory!A:A, A39, HoldHistory!M:M, "Task Plan")</f>
        <v>0</v>
      </c>
      <c r="D39">
        <f>SUMIFS(HoldHistory!Q:Q, HoldHistory!A:A, A39, HoldHistory!M:M, "Initial Design Review")</f>
        <v>0</v>
      </c>
      <c r="E39">
        <f>SUMIFS(HoldHistory!Q:Q, HoldHistory!A:A, A39, HoldHistory!M:M, "ReCAP")</f>
        <v>0</v>
      </c>
      <c r="F39">
        <f>SUMIFS(HoldHistory!Q:Q, HoldHistory!A:A, A39, HoldHistory!M:M, "Draft EA")</f>
        <v>0</v>
      </c>
      <c r="G39">
        <f>SUMIFS(HoldHistory!Q:Q, HoldHistory!A:A, A39, HoldHistory!M:M, "Structures Pre-SAM")</f>
        <v>0</v>
      </c>
      <c r="H39">
        <f>SUMIFS(HoldHistory!Q:Q, HoldHistory!A:A, A39, HoldHistory!M:M, "Structures SAM")</f>
        <v>0</v>
      </c>
      <c r="I39">
        <f>SUMIFS(HoldHistory!Q:Q, HoldHistory!A:A, A39, HoldHistory!M:M, "Final Design Review")</f>
        <v>0</v>
      </c>
    </row>
    <row r="40" spans="1:9" x14ac:dyDescent="0.35">
      <c r="A40">
        <v>108392</v>
      </c>
      <c r="B40">
        <f>SUMIFS(HoldHistory!Q:Q, HoldHistory!A:A, A40, HoldHistory!M:M, "Triage")</f>
        <v>0</v>
      </c>
      <c r="C40">
        <f>SUMIFS(HoldHistory!Q:Q, HoldHistory!A:A, A40, HoldHistory!M:M, "Task Plan")</f>
        <v>0</v>
      </c>
      <c r="D40">
        <f>SUMIFS(HoldHistory!Q:Q, HoldHistory!A:A, A40, HoldHistory!M:M, "Initial Design Review")</f>
        <v>0</v>
      </c>
      <c r="E40">
        <f>SUMIFS(HoldHistory!Q:Q, HoldHistory!A:A, A40, HoldHistory!M:M, "ReCAP")</f>
        <v>0</v>
      </c>
      <c r="F40">
        <f>SUMIFS(HoldHistory!Q:Q, HoldHistory!A:A, A40, HoldHistory!M:M, "Draft EA")</f>
        <v>8</v>
      </c>
      <c r="G40">
        <f>SUMIFS(HoldHistory!Q:Q, HoldHistory!A:A, A40, HoldHistory!M:M, "Structures Pre-SAM")</f>
        <v>0</v>
      </c>
      <c r="H40">
        <f>SUMIFS(HoldHistory!Q:Q, HoldHistory!A:A, A40, HoldHistory!M:M, "Structures SAM")</f>
        <v>0</v>
      </c>
      <c r="I40">
        <f>SUMIFS(HoldHistory!Q:Q, HoldHistory!A:A, A40, HoldHistory!M:M, "Final Design Review")</f>
        <v>0</v>
      </c>
    </row>
    <row r="41" spans="1:9" x14ac:dyDescent="0.35">
      <c r="A41">
        <v>108880</v>
      </c>
      <c r="B41">
        <f>SUMIFS(HoldHistory!Q:Q, HoldHistory!A:A, A41, HoldHistory!M:M, "Triage")</f>
        <v>4</v>
      </c>
      <c r="C41">
        <f>SUMIFS(HoldHistory!Q:Q, HoldHistory!A:A, A41, HoldHistory!M:M, "Task Plan")</f>
        <v>5</v>
      </c>
      <c r="D41">
        <f>SUMIFS(HoldHistory!Q:Q, HoldHistory!A:A, A41, HoldHistory!M:M, "Initial Design Review")</f>
        <v>0</v>
      </c>
      <c r="E41">
        <f>SUMIFS(HoldHistory!Q:Q, HoldHistory!A:A, A41, HoldHistory!M:M, "ReCAP")</f>
        <v>0</v>
      </c>
      <c r="F41">
        <f>SUMIFS(HoldHistory!Q:Q, HoldHistory!A:A, A41, HoldHistory!M:M, "Draft EA")</f>
        <v>0</v>
      </c>
      <c r="G41">
        <f>SUMIFS(HoldHistory!Q:Q, HoldHistory!A:A, A41, HoldHistory!M:M, "Structures Pre-SAM")</f>
        <v>0</v>
      </c>
      <c r="H41">
        <f>SUMIFS(HoldHistory!Q:Q, HoldHistory!A:A, A41, HoldHistory!M:M, "Structures SAM")</f>
        <v>0</v>
      </c>
      <c r="I41">
        <f>SUMIFS(HoldHistory!Q:Q, HoldHistory!A:A, A41, HoldHistory!M:M, "Final Design Review")</f>
        <v>0</v>
      </c>
    </row>
    <row r="42" spans="1:9" x14ac:dyDescent="0.35">
      <c r="A42">
        <v>108959</v>
      </c>
      <c r="B42">
        <f>SUMIFS(HoldHistory!Q:Q, HoldHistory!A:A, A42, HoldHistory!M:M, "Triage")</f>
        <v>0</v>
      </c>
      <c r="C42">
        <f>SUMIFS(HoldHistory!Q:Q, HoldHistory!A:A, A42, HoldHistory!M:M, "Task Plan")</f>
        <v>39</v>
      </c>
      <c r="D42">
        <f>SUMIFS(HoldHistory!Q:Q, HoldHistory!A:A, A42, HoldHistory!M:M, "Initial Design Review")</f>
        <v>0</v>
      </c>
      <c r="E42">
        <f>SUMIFS(HoldHistory!Q:Q, HoldHistory!A:A, A42, HoldHistory!M:M, "ReCAP")</f>
        <v>0</v>
      </c>
      <c r="F42">
        <f>SUMIFS(HoldHistory!Q:Q, HoldHistory!A:A, A42, HoldHistory!M:M, "Draft EA")</f>
        <v>0</v>
      </c>
      <c r="G42">
        <f>SUMIFS(HoldHistory!Q:Q, HoldHistory!A:A, A42, HoldHistory!M:M, "Structures Pre-SAM")</f>
        <v>0</v>
      </c>
      <c r="H42">
        <f>SUMIFS(HoldHistory!Q:Q, HoldHistory!A:A, A42, HoldHistory!M:M, "Structures SAM")</f>
        <v>0</v>
      </c>
      <c r="I42">
        <f>SUMIFS(HoldHistory!Q:Q, HoldHistory!A:A, A42, HoldHistory!M:M, "Final Design Review")</f>
        <v>0</v>
      </c>
    </row>
    <row r="43" spans="1:9" x14ac:dyDescent="0.35">
      <c r="A43">
        <v>109083</v>
      </c>
      <c r="B43">
        <f>SUMIFS(HoldHistory!Q:Q, HoldHistory!A:A, A43, HoldHistory!M:M, "Triage")</f>
        <v>2</v>
      </c>
      <c r="C43">
        <f>SUMIFS(HoldHistory!Q:Q, HoldHistory!A:A, A43, HoldHistory!M:M, "Task Plan")</f>
        <v>2</v>
      </c>
      <c r="D43">
        <f>SUMIFS(HoldHistory!Q:Q, HoldHistory!A:A, A43, HoldHistory!M:M, "Initial Design Review")</f>
        <v>0</v>
      </c>
      <c r="E43">
        <f>SUMIFS(HoldHistory!Q:Q, HoldHistory!A:A, A43, HoldHistory!M:M, "ReCAP")</f>
        <v>0</v>
      </c>
      <c r="F43">
        <f>SUMIFS(HoldHistory!Q:Q, HoldHistory!A:A, A43, HoldHistory!M:M, "Draft EA")</f>
        <v>0</v>
      </c>
      <c r="G43">
        <f>SUMIFS(HoldHistory!Q:Q, HoldHistory!A:A, A43, HoldHistory!M:M, "Structures Pre-SAM")</f>
        <v>0</v>
      </c>
      <c r="H43">
        <f>SUMIFS(HoldHistory!Q:Q, HoldHistory!A:A, A43, HoldHistory!M:M, "Structures SAM")</f>
        <v>0</v>
      </c>
      <c r="I43">
        <f>SUMIFS(HoldHistory!Q:Q, HoldHistory!A:A, A43, HoldHistory!M:M, "Final Design Review")</f>
        <v>0</v>
      </c>
    </row>
    <row r="44" spans="1:9" x14ac:dyDescent="0.35">
      <c r="A44">
        <v>109098</v>
      </c>
      <c r="B44">
        <f>SUMIFS(HoldHistory!Q:Q, HoldHistory!A:A, A44, HoldHistory!M:M, "Triage")</f>
        <v>0</v>
      </c>
      <c r="C44">
        <f>SUMIFS(HoldHistory!Q:Q, HoldHistory!A:A, A44, HoldHistory!M:M, "Task Plan")</f>
        <v>2</v>
      </c>
      <c r="D44">
        <f>SUMIFS(HoldHistory!Q:Q, HoldHistory!A:A, A44, HoldHistory!M:M, "Initial Design Review")</f>
        <v>0</v>
      </c>
      <c r="E44">
        <f>SUMIFS(HoldHistory!Q:Q, HoldHistory!A:A, A44, HoldHistory!M:M, "ReCAP")</f>
        <v>0</v>
      </c>
      <c r="F44">
        <f>SUMIFS(HoldHistory!Q:Q, HoldHistory!A:A, A44, HoldHistory!M:M, "Draft EA")</f>
        <v>2</v>
      </c>
      <c r="G44">
        <f>SUMIFS(HoldHistory!Q:Q, HoldHistory!A:A, A44, HoldHistory!M:M, "Structures Pre-SAM")</f>
        <v>0</v>
      </c>
      <c r="H44">
        <f>SUMIFS(HoldHistory!Q:Q, HoldHistory!A:A, A44, HoldHistory!M:M, "Structures SAM")</f>
        <v>0</v>
      </c>
      <c r="I44">
        <f>SUMIFS(HoldHistory!Q:Q, HoldHistory!A:A, A44, HoldHistory!M:M, "Final Design Review")</f>
        <v>0</v>
      </c>
    </row>
    <row r="45" spans="1:9" x14ac:dyDescent="0.35">
      <c r="A45">
        <v>109158</v>
      </c>
      <c r="B45">
        <f>SUMIFS(HoldHistory!Q:Q, HoldHistory!A:A, A45, HoldHistory!M:M, "Triage")</f>
        <v>18</v>
      </c>
      <c r="C45">
        <f>SUMIFS(HoldHistory!Q:Q, HoldHistory!A:A, A45, HoldHistory!M:M, "Task Plan")</f>
        <v>0</v>
      </c>
      <c r="D45">
        <f>SUMIFS(HoldHistory!Q:Q, HoldHistory!A:A, A45, HoldHistory!M:M, "Initial Design Review")</f>
        <v>0</v>
      </c>
      <c r="E45">
        <f>SUMIFS(HoldHistory!Q:Q, HoldHistory!A:A, A45, HoldHistory!M:M, "ReCAP")</f>
        <v>0</v>
      </c>
      <c r="F45">
        <f>SUMIFS(HoldHistory!Q:Q, HoldHistory!A:A, A45, HoldHistory!M:M, "Draft EA")</f>
        <v>0</v>
      </c>
      <c r="G45">
        <f>SUMIFS(HoldHistory!Q:Q, HoldHistory!A:A, A45, HoldHistory!M:M, "Structures Pre-SAM")</f>
        <v>0</v>
      </c>
      <c r="H45">
        <f>SUMIFS(HoldHistory!Q:Q, HoldHistory!A:A, A45, HoldHistory!M:M, "Structures SAM")</f>
        <v>0</v>
      </c>
      <c r="I45">
        <f>SUMIFS(HoldHistory!Q:Q, HoldHistory!A:A, A45, HoldHistory!M:M, "Final Design Review")</f>
        <v>0</v>
      </c>
    </row>
    <row r="46" spans="1:9" x14ac:dyDescent="0.35">
      <c r="A46">
        <v>109887</v>
      </c>
      <c r="B46">
        <f>SUMIFS(HoldHistory!Q:Q, HoldHistory!A:A, A46, HoldHistory!M:M, "Triage")</f>
        <v>8</v>
      </c>
      <c r="C46">
        <f>SUMIFS(HoldHistory!Q:Q, HoldHistory!A:A, A46, HoldHistory!M:M, "Task Plan")</f>
        <v>0</v>
      </c>
      <c r="D46">
        <f>SUMIFS(HoldHistory!Q:Q, HoldHistory!A:A, A46, HoldHistory!M:M, "Initial Design Review")</f>
        <v>0</v>
      </c>
      <c r="E46">
        <f>SUMIFS(HoldHistory!Q:Q, HoldHistory!A:A, A46, HoldHistory!M:M, "ReCAP")</f>
        <v>0</v>
      </c>
      <c r="F46">
        <f>SUMIFS(HoldHistory!Q:Q, HoldHistory!A:A, A46, HoldHistory!M:M, "Draft EA")</f>
        <v>0</v>
      </c>
      <c r="G46">
        <f>SUMIFS(HoldHistory!Q:Q, HoldHistory!A:A, A46, HoldHistory!M:M, "Structures Pre-SAM")</f>
        <v>0</v>
      </c>
      <c r="H46">
        <f>SUMIFS(HoldHistory!Q:Q, HoldHistory!A:A, A46, HoldHistory!M:M, "Structures SAM")</f>
        <v>0</v>
      </c>
      <c r="I46">
        <f>SUMIFS(HoldHistory!Q:Q, HoldHistory!A:A, A46, HoldHistory!M:M, "Final Design Review")</f>
        <v>0</v>
      </c>
    </row>
    <row r="47" spans="1:9" x14ac:dyDescent="0.35">
      <c r="A47">
        <v>110312</v>
      </c>
      <c r="B47">
        <f>SUMIFS(HoldHistory!Q:Q, HoldHistory!A:A, A47, HoldHistory!M:M, "Triage")</f>
        <v>0</v>
      </c>
      <c r="C47">
        <f>SUMIFS(HoldHistory!Q:Q, HoldHistory!A:A, A47, HoldHistory!M:M, "Task Plan")</f>
        <v>0</v>
      </c>
      <c r="D47">
        <f>SUMIFS(HoldHistory!Q:Q, HoldHistory!A:A, A47, HoldHistory!M:M, "Initial Design Review")</f>
        <v>0</v>
      </c>
      <c r="E47">
        <f>SUMIFS(HoldHistory!Q:Q, HoldHistory!A:A, A47, HoldHistory!M:M, "ReCAP")</f>
        <v>0</v>
      </c>
      <c r="F47">
        <f>SUMIFS(HoldHistory!Q:Q, HoldHistory!A:A, A47, HoldHistory!M:M, "Draft EA")</f>
        <v>14</v>
      </c>
      <c r="G47">
        <f>SUMIFS(HoldHistory!Q:Q, HoldHistory!A:A, A47, HoldHistory!M:M, "Structures Pre-SAM")</f>
        <v>0</v>
      </c>
      <c r="H47">
        <f>SUMIFS(HoldHistory!Q:Q, HoldHistory!A:A, A47, HoldHistory!M:M, "Structures SAM")</f>
        <v>0</v>
      </c>
      <c r="I47">
        <f>SUMIFS(HoldHistory!Q:Q, HoldHistory!A:A, A47, HoldHistory!M:M, "Final Design Review")</f>
        <v>0</v>
      </c>
    </row>
    <row r="48" spans="1:9" x14ac:dyDescent="0.35">
      <c r="A48">
        <v>110679</v>
      </c>
      <c r="B48">
        <f>SUMIFS(HoldHistory!Q:Q, HoldHistory!A:A, A48, HoldHistory!M:M, "Triage")</f>
        <v>27</v>
      </c>
      <c r="C48">
        <f>SUMIFS(HoldHistory!Q:Q, HoldHistory!A:A, A48, HoldHistory!M:M, "Task Plan")</f>
        <v>0</v>
      </c>
      <c r="D48">
        <f>SUMIFS(HoldHistory!Q:Q, HoldHistory!A:A, A48, HoldHistory!M:M, "Initial Design Review")</f>
        <v>0</v>
      </c>
      <c r="E48">
        <f>SUMIFS(HoldHistory!Q:Q, HoldHistory!A:A, A48, HoldHistory!M:M, "ReCAP")</f>
        <v>0</v>
      </c>
      <c r="F48">
        <f>SUMIFS(HoldHistory!Q:Q, HoldHistory!A:A, A48, HoldHistory!M:M, "Draft EA")</f>
        <v>0</v>
      </c>
      <c r="G48">
        <f>SUMIFS(HoldHistory!Q:Q, HoldHistory!A:A, A48, HoldHistory!M:M, "Structures Pre-SAM")</f>
        <v>0</v>
      </c>
      <c r="H48">
        <f>SUMIFS(HoldHistory!Q:Q, HoldHistory!A:A, A48, HoldHistory!M:M, "Structures SAM")</f>
        <v>0</v>
      </c>
      <c r="I48">
        <f>SUMIFS(HoldHistory!Q:Q, HoldHistory!A:A, A48, HoldHistory!M:M, "Final Design Review")</f>
        <v>0</v>
      </c>
    </row>
    <row r="49" spans="1:9" x14ac:dyDescent="0.35">
      <c r="A49">
        <v>110856</v>
      </c>
      <c r="B49">
        <f>SUMIFS(HoldHistory!Q:Q, HoldHistory!A:A, A49, HoldHistory!M:M, "Triage")</f>
        <v>0</v>
      </c>
      <c r="C49">
        <f>SUMIFS(HoldHistory!Q:Q, HoldHistory!A:A, A49, HoldHistory!M:M, "Task Plan")</f>
        <v>0</v>
      </c>
      <c r="D49">
        <f>SUMIFS(HoldHistory!Q:Q, HoldHistory!A:A, A49, HoldHistory!M:M, "Initial Design Review")</f>
        <v>0</v>
      </c>
      <c r="E49">
        <f>SUMIFS(HoldHistory!Q:Q, HoldHistory!A:A, A49, HoldHistory!M:M, "ReCAP")</f>
        <v>8</v>
      </c>
      <c r="F49">
        <f>SUMIFS(HoldHistory!Q:Q, HoldHistory!A:A, A49, HoldHistory!M:M, "Draft EA")</f>
        <v>0</v>
      </c>
      <c r="G49">
        <f>SUMIFS(HoldHistory!Q:Q, HoldHistory!A:A, A49, HoldHistory!M:M, "Structures Pre-SAM")</f>
        <v>0</v>
      </c>
      <c r="H49">
        <f>SUMIFS(HoldHistory!Q:Q, HoldHistory!A:A, A49, HoldHistory!M:M, "Structures SAM")</f>
        <v>0</v>
      </c>
      <c r="I49">
        <f>SUMIFS(HoldHistory!Q:Q, HoldHistory!A:A, A49, HoldHistory!M:M, "Final Design Review")</f>
        <v>0</v>
      </c>
    </row>
    <row r="50" spans="1:9" x14ac:dyDescent="0.35">
      <c r="A50">
        <v>111022</v>
      </c>
      <c r="B50">
        <f>SUMIFS(HoldHistory!Q:Q, HoldHistory!A:A, A50, HoldHistory!M:M, "Triage")</f>
        <v>14</v>
      </c>
      <c r="C50">
        <f>SUMIFS(HoldHistory!Q:Q, HoldHistory!A:A, A50, HoldHistory!M:M, "Task Plan")</f>
        <v>0</v>
      </c>
      <c r="D50">
        <f>SUMIFS(HoldHistory!Q:Q, HoldHistory!A:A, A50, HoldHistory!M:M, "Initial Design Review")</f>
        <v>0</v>
      </c>
      <c r="E50">
        <f>SUMIFS(HoldHistory!Q:Q, HoldHistory!A:A, A50, HoldHistory!M:M, "ReCAP")</f>
        <v>0</v>
      </c>
      <c r="F50">
        <f>SUMIFS(HoldHistory!Q:Q, HoldHistory!A:A, A50, HoldHistory!M:M, "Draft EA")</f>
        <v>0</v>
      </c>
      <c r="G50">
        <f>SUMIFS(HoldHistory!Q:Q, HoldHistory!A:A, A50, HoldHistory!M:M, "Structures Pre-SAM")</f>
        <v>0</v>
      </c>
      <c r="H50">
        <f>SUMIFS(HoldHistory!Q:Q, HoldHistory!A:A, A50, HoldHistory!M:M, "Structures SAM")</f>
        <v>0</v>
      </c>
      <c r="I50">
        <f>SUMIFS(HoldHistory!Q:Q, HoldHistory!A:A, A50, HoldHistory!M:M, "Final Design Review")</f>
        <v>0</v>
      </c>
    </row>
    <row r="51" spans="1:9" x14ac:dyDescent="0.35">
      <c r="A51">
        <v>111315</v>
      </c>
      <c r="B51">
        <f>SUMIFS(HoldHistory!Q:Q, HoldHistory!A:A, A51, HoldHistory!M:M, "Triage")</f>
        <v>59</v>
      </c>
      <c r="C51">
        <f>SUMIFS(HoldHistory!Q:Q, HoldHistory!A:A, A51, HoldHistory!M:M, "Task Plan")</f>
        <v>0</v>
      </c>
      <c r="D51">
        <f>SUMIFS(HoldHistory!Q:Q, HoldHistory!A:A, A51, HoldHistory!M:M, "Initial Design Review")</f>
        <v>0</v>
      </c>
      <c r="E51">
        <f>SUMIFS(HoldHistory!Q:Q, HoldHistory!A:A, A51, HoldHistory!M:M, "ReCAP")</f>
        <v>0</v>
      </c>
      <c r="F51">
        <f>SUMIFS(HoldHistory!Q:Q, HoldHistory!A:A, A51, HoldHistory!M:M, "Draft EA")</f>
        <v>0</v>
      </c>
      <c r="G51">
        <f>SUMIFS(HoldHistory!Q:Q, HoldHistory!A:A, A51, HoldHistory!M:M, "Structures Pre-SAM")</f>
        <v>0</v>
      </c>
      <c r="H51">
        <f>SUMIFS(HoldHistory!Q:Q, HoldHistory!A:A, A51, HoldHistory!M:M, "Structures SAM")</f>
        <v>0</v>
      </c>
      <c r="I51">
        <f>SUMIFS(HoldHistory!Q:Q, HoldHistory!A:A, A51, HoldHistory!M:M, "Final Design Review")</f>
        <v>0</v>
      </c>
    </row>
    <row r="52" spans="1:9" x14ac:dyDescent="0.35">
      <c r="A52">
        <v>111336</v>
      </c>
      <c r="B52">
        <f>SUMIFS(HoldHistory!Q:Q, HoldHistory!A:A, A52, HoldHistory!M:M, "Triage")</f>
        <v>0</v>
      </c>
      <c r="C52">
        <f>SUMIFS(HoldHistory!Q:Q, HoldHistory!A:A, A52, HoldHistory!M:M, "Task Plan")</f>
        <v>5</v>
      </c>
      <c r="D52">
        <f>SUMIFS(HoldHistory!Q:Q, HoldHistory!A:A, A52, HoldHistory!M:M, "Initial Design Review")</f>
        <v>0</v>
      </c>
      <c r="E52">
        <f>SUMIFS(HoldHistory!Q:Q, HoldHistory!A:A, A52, HoldHistory!M:M, "ReCAP")</f>
        <v>0</v>
      </c>
      <c r="F52">
        <f>SUMIFS(HoldHistory!Q:Q, HoldHistory!A:A, A52, HoldHistory!M:M, "Draft EA")</f>
        <v>0</v>
      </c>
      <c r="G52">
        <f>SUMIFS(HoldHistory!Q:Q, HoldHistory!A:A, A52, HoldHistory!M:M, "Structures Pre-SAM")</f>
        <v>0</v>
      </c>
      <c r="H52">
        <f>SUMIFS(HoldHistory!Q:Q, HoldHistory!A:A, A52, HoldHistory!M:M, "Structures SAM")</f>
        <v>0</v>
      </c>
      <c r="I52">
        <f>SUMIFS(HoldHistory!Q:Q, HoldHistory!A:A, A52, HoldHistory!M:M, "Final Design Review")</f>
        <v>0</v>
      </c>
    </row>
    <row r="53" spans="1:9" x14ac:dyDescent="0.35">
      <c r="A53">
        <v>111395</v>
      </c>
      <c r="B53">
        <f>SUMIFS(HoldHistory!Q:Q, HoldHistory!A:A, A53, HoldHistory!M:M, "Triage")</f>
        <v>64</v>
      </c>
      <c r="C53">
        <f>SUMIFS(HoldHistory!Q:Q, HoldHistory!A:A, A53, HoldHistory!M:M, "Task Plan")</f>
        <v>2</v>
      </c>
      <c r="D53">
        <f>SUMIFS(HoldHistory!Q:Q, HoldHistory!A:A, A53, HoldHistory!M:M, "Initial Design Review")</f>
        <v>0</v>
      </c>
      <c r="E53">
        <f>SUMIFS(HoldHistory!Q:Q, HoldHistory!A:A, A53, HoldHistory!M:M, "ReCAP")</f>
        <v>0</v>
      </c>
      <c r="F53">
        <f>SUMIFS(HoldHistory!Q:Q, HoldHistory!A:A, A53, HoldHistory!M:M, "Draft EA")</f>
        <v>3</v>
      </c>
      <c r="G53">
        <f>SUMIFS(HoldHistory!Q:Q, HoldHistory!A:A, A53, HoldHistory!M:M, "Structures Pre-SAM")</f>
        <v>0</v>
      </c>
      <c r="H53">
        <f>SUMIFS(HoldHistory!Q:Q, HoldHistory!A:A, A53, HoldHistory!M:M, "Structures SAM")</f>
        <v>0</v>
      </c>
      <c r="I53">
        <f>SUMIFS(HoldHistory!Q:Q, HoldHistory!A:A, A53, HoldHistory!M:M, "Final Design Review")</f>
        <v>0</v>
      </c>
    </row>
    <row r="54" spans="1:9" x14ac:dyDescent="0.35">
      <c r="A54">
        <v>111471</v>
      </c>
      <c r="B54">
        <f>SUMIFS(HoldHistory!Q:Q, HoldHistory!A:A, A54, HoldHistory!M:M, "Triage")</f>
        <v>9</v>
      </c>
      <c r="C54">
        <f>SUMIFS(HoldHistory!Q:Q, HoldHistory!A:A, A54, HoldHistory!M:M, "Task Plan")</f>
        <v>0</v>
      </c>
      <c r="D54">
        <f>SUMIFS(HoldHistory!Q:Q, HoldHistory!A:A, A54, HoldHistory!M:M, "Initial Design Review")</f>
        <v>0</v>
      </c>
      <c r="E54">
        <f>SUMIFS(HoldHistory!Q:Q, HoldHistory!A:A, A54, HoldHistory!M:M, "ReCAP")</f>
        <v>0</v>
      </c>
      <c r="F54">
        <f>SUMIFS(HoldHistory!Q:Q, HoldHistory!A:A, A54, HoldHistory!M:M, "Draft EA")</f>
        <v>0</v>
      </c>
      <c r="G54">
        <f>SUMIFS(HoldHistory!Q:Q, HoldHistory!A:A, A54, HoldHistory!M:M, "Structures Pre-SAM")</f>
        <v>0</v>
      </c>
      <c r="H54">
        <f>SUMIFS(HoldHistory!Q:Q, HoldHistory!A:A, A54, HoldHistory!M:M, "Structures SAM")</f>
        <v>0</v>
      </c>
      <c r="I54">
        <f>SUMIFS(HoldHistory!Q:Q, HoldHistory!A:A, A54, HoldHistory!M:M, "Final Design Review")</f>
        <v>0</v>
      </c>
    </row>
    <row r="55" spans="1:9" x14ac:dyDescent="0.35">
      <c r="A55">
        <v>111746</v>
      </c>
      <c r="B55">
        <f>SUMIFS(HoldHistory!Q:Q, HoldHistory!A:A, A55, HoldHistory!M:M, "Triage")</f>
        <v>4</v>
      </c>
      <c r="C55">
        <f>SUMIFS(HoldHistory!Q:Q, HoldHistory!A:A, A55, HoldHistory!M:M, "Task Plan")</f>
        <v>0</v>
      </c>
      <c r="D55">
        <f>SUMIFS(HoldHistory!Q:Q, HoldHistory!A:A, A55, HoldHistory!M:M, "Initial Design Review")</f>
        <v>0</v>
      </c>
      <c r="E55">
        <f>SUMIFS(HoldHistory!Q:Q, HoldHistory!A:A, A55, HoldHistory!M:M, "ReCAP")</f>
        <v>0</v>
      </c>
      <c r="F55">
        <f>SUMIFS(HoldHistory!Q:Q, HoldHistory!A:A, A55, HoldHistory!M:M, "Draft EA")</f>
        <v>0</v>
      </c>
      <c r="G55">
        <f>SUMIFS(HoldHistory!Q:Q, HoldHistory!A:A, A55, HoldHistory!M:M, "Structures Pre-SAM")</f>
        <v>0</v>
      </c>
      <c r="H55">
        <f>SUMIFS(HoldHistory!Q:Q, HoldHistory!A:A, A55, HoldHistory!M:M, "Structures SAM")</f>
        <v>0</v>
      </c>
      <c r="I55">
        <f>SUMIFS(HoldHistory!Q:Q, HoldHistory!A:A, A55, HoldHistory!M:M, "Final Design Review")</f>
        <v>0</v>
      </c>
    </row>
    <row r="56" spans="1:9" x14ac:dyDescent="0.35">
      <c r="A56">
        <v>111758</v>
      </c>
      <c r="B56">
        <f>SUMIFS(HoldHistory!Q:Q, HoldHistory!A:A, A56, HoldHistory!M:M, "Triage")</f>
        <v>45</v>
      </c>
      <c r="C56">
        <f>SUMIFS(HoldHistory!Q:Q, HoldHistory!A:A, A56, HoldHistory!M:M, "Task Plan")</f>
        <v>0</v>
      </c>
      <c r="D56">
        <f>SUMIFS(HoldHistory!Q:Q, HoldHistory!A:A, A56, HoldHistory!M:M, "Initial Design Review")</f>
        <v>0</v>
      </c>
      <c r="E56">
        <f>SUMIFS(HoldHistory!Q:Q, HoldHistory!A:A, A56, HoldHistory!M:M, "ReCAP")</f>
        <v>0</v>
      </c>
      <c r="F56">
        <f>SUMIFS(HoldHistory!Q:Q, HoldHistory!A:A, A56, HoldHistory!M:M, "Draft EA")</f>
        <v>0</v>
      </c>
      <c r="G56">
        <f>SUMIFS(HoldHistory!Q:Q, HoldHistory!A:A, A56, HoldHistory!M:M, "Structures Pre-SAM")</f>
        <v>0</v>
      </c>
      <c r="H56">
        <f>SUMIFS(HoldHistory!Q:Q, HoldHistory!A:A, A56, HoldHistory!M:M, "Structures SAM")</f>
        <v>0</v>
      </c>
      <c r="I56">
        <f>SUMIFS(HoldHistory!Q:Q, HoldHistory!A:A, A56, HoldHistory!M:M, "Final Design Review")</f>
        <v>0</v>
      </c>
    </row>
    <row r="57" spans="1:9" x14ac:dyDescent="0.35">
      <c r="A57">
        <v>112658</v>
      </c>
      <c r="B57">
        <f>SUMIFS(HoldHistory!Q:Q, HoldHistory!A:A, A57, HoldHistory!M:M, "Triage")</f>
        <v>30</v>
      </c>
      <c r="C57">
        <f>SUMIFS(HoldHistory!Q:Q, HoldHistory!A:A, A57, HoldHistory!M:M, "Task Plan")</f>
        <v>0</v>
      </c>
      <c r="D57">
        <f>SUMIFS(HoldHistory!Q:Q, HoldHistory!A:A, A57, HoldHistory!M:M, "Initial Design Review")</f>
        <v>0</v>
      </c>
      <c r="E57">
        <f>SUMIFS(HoldHistory!Q:Q, HoldHistory!A:A, A57, HoldHistory!M:M, "ReCAP")</f>
        <v>0</v>
      </c>
      <c r="F57">
        <f>SUMIFS(HoldHistory!Q:Q, HoldHistory!A:A, A57, HoldHistory!M:M, "Draft EA")</f>
        <v>0</v>
      </c>
      <c r="G57">
        <f>SUMIFS(HoldHistory!Q:Q, HoldHistory!A:A, A57, HoldHistory!M:M, "Structures Pre-SAM")</f>
        <v>0</v>
      </c>
      <c r="H57">
        <f>SUMIFS(HoldHistory!Q:Q, HoldHistory!A:A, A57, HoldHistory!M:M, "Structures SAM")</f>
        <v>0</v>
      </c>
      <c r="I57">
        <f>SUMIFS(HoldHistory!Q:Q, HoldHistory!A:A, A57, HoldHistory!M:M, "Final Design Review")</f>
        <v>0</v>
      </c>
    </row>
    <row r="58" spans="1:9" x14ac:dyDescent="0.35">
      <c r="A58">
        <v>113644</v>
      </c>
      <c r="B58">
        <f>SUMIFS(HoldHistory!Q:Q, HoldHistory!A:A, A58, HoldHistory!M:M, "Triage")</f>
        <v>6</v>
      </c>
      <c r="C58">
        <f>SUMIFS(HoldHistory!Q:Q, HoldHistory!A:A, A58, HoldHistory!M:M, "Task Plan")</f>
        <v>0</v>
      </c>
      <c r="D58">
        <f>SUMIFS(HoldHistory!Q:Q, HoldHistory!A:A, A58, HoldHistory!M:M, "Initial Design Review")</f>
        <v>0</v>
      </c>
      <c r="E58">
        <f>SUMIFS(HoldHistory!Q:Q, HoldHistory!A:A, A58, HoldHistory!M:M, "ReCAP")</f>
        <v>0</v>
      </c>
      <c r="F58">
        <f>SUMIFS(HoldHistory!Q:Q, HoldHistory!A:A, A58, HoldHistory!M:M, "Draft EA")</f>
        <v>0</v>
      </c>
      <c r="G58">
        <f>SUMIFS(HoldHistory!Q:Q, HoldHistory!A:A, A58, HoldHistory!M:M, "Structures Pre-SAM")</f>
        <v>0</v>
      </c>
      <c r="H58">
        <f>SUMIFS(HoldHistory!Q:Q, HoldHistory!A:A, A58, HoldHistory!M:M, "Structures SAM")</f>
        <v>0</v>
      </c>
      <c r="I58">
        <f>SUMIFS(HoldHistory!Q:Q, HoldHistory!A:A, A58, HoldHistory!M:M, "Final Design Review")</f>
        <v>0</v>
      </c>
    </row>
    <row r="59" spans="1:9" x14ac:dyDescent="0.35">
      <c r="A59">
        <v>114305</v>
      </c>
      <c r="B59">
        <f>SUMIFS(HoldHistory!Q:Q, HoldHistory!A:A, A59, HoldHistory!M:M, "Triage")</f>
        <v>3</v>
      </c>
      <c r="C59">
        <f>SUMIFS(HoldHistory!Q:Q, HoldHistory!A:A, A59, HoldHistory!M:M, "Task Plan")</f>
        <v>0</v>
      </c>
      <c r="D59">
        <f>SUMIFS(HoldHistory!Q:Q, HoldHistory!A:A, A59, HoldHistory!M:M, "Initial Design Review")</f>
        <v>0</v>
      </c>
      <c r="E59">
        <f>SUMIFS(HoldHistory!Q:Q, HoldHistory!A:A, A59, HoldHistory!M:M, "ReCAP")</f>
        <v>0</v>
      </c>
      <c r="F59">
        <f>SUMIFS(HoldHistory!Q:Q, HoldHistory!A:A, A59, HoldHistory!M:M, "Draft EA")</f>
        <v>0</v>
      </c>
      <c r="G59">
        <f>SUMIFS(HoldHistory!Q:Q, HoldHistory!A:A, A59, HoldHistory!M:M, "Structures Pre-SAM")</f>
        <v>0</v>
      </c>
      <c r="H59">
        <f>SUMIFS(HoldHistory!Q:Q, HoldHistory!A:A, A59, HoldHistory!M:M, "Structures SAM")</f>
        <v>0</v>
      </c>
      <c r="I59">
        <f>SUMIFS(HoldHistory!Q:Q, HoldHistory!A:A, A59, HoldHistory!M:M, "Final Design Review")</f>
        <v>0</v>
      </c>
    </row>
    <row r="60" spans="1:9" x14ac:dyDescent="0.35">
      <c r="A60">
        <v>96147</v>
      </c>
      <c r="B60">
        <f>SUMIFS(HoldHistory!Q:Q, HoldHistory!A:A, A60, HoldHistory!M:M, "Triage")</f>
        <v>0</v>
      </c>
      <c r="C60">
        <f>SUMIFS(HoldHistory!Q:Q, HoldHistory!A:A, A60, HoldHistory!M:M, "Task Plan")</f>
        <v>0</v>
      </c>
      <c r="D60">
        <f>SUMIFS(HoldHistory!Q:Q, HoldHistory!A:A, A60, HoldHistory!M:M, "Initial Design Review")</f>
        <v>0</v>
      </c>
      <c r="E60">
        <f>SUMIFS(HoldHistory!Q:Q, HoldHistory!A:A, A60, HoldHistory!M:M, "ReCAP")</f>
        <v>0</v>
      </c>
      <c r="F60">
        <f>SUMIFS(HoldHistory!Q:Q, HoldHistory!A:A, A60, HoldHistory!M:M, "Draft EA")</f>
        <v>0</v>
      </c>
      <c r="G60">
        <f>SUMIFS(HoldHistory!Q:Q, HoldHistory!A:A, A60, HoldHistory!M:M, "Structures Pre-SAM")</f>
        <v>0</v>
      </c>
      <c r="H60">
        <f>SUMIFS(HoldHistory!Q:Q, HoldHistory!A:A, A60, HoldHistory!M:M, "Structures SAM")</f>
        <v>0</v>
      </c>
      <c r="I60">
        <f>SUMIFS(HoldHistory!Q:Q, HoldHistory!A:A, A60, HoldHistory!M:M, "Final Design Review")</f>
        <v>0</v>
      </c>
    </row>
    <row r="61" spans="1:9" x14ac:dyDescent="0.35">
      <c r="A61">
        <v>97184</v>
      </c>
      <c r="B61">
        <f>SUMIFS(HoldHistory!Q:Q, HoldHistory!A:A, A61, HoldHistory!M:M, "Triage")</f>
        <v>5</v>
      </c>
      <c r="C61">
        <f>SUMIFS(HoldHistory!Q:Q, HoldHistory!A:A, A61, HoldHistory!M:M, "Task Plan")</f>
        <v>0</v>
      </c>
      <c r="D61">
        <f>SUMIFS(HoldHistory!Q:Q, HoldHistory!A:A, A61, HoldHistory!M:M, "Initial Design Review")</f>
        <v>0</v>
      </c>
      <c r="E61">
        <f>SUMIFS(HoldHistory!Q:Q, HoldHistory!A:A, A61, HoldHistory!M:M, "ReCAP")</f>
        <v>0</v>
      </c>
      <c r="F61">
        <f>SUMIFS(HoldHistory!Q:Q, HoldHistory!A:A, A61, HoldHistory!M:M, "Draft EA")</f>
        <v>0</v>
      </c>
      <c r="G61">
        <f>SUMIFS(HoldHistory!Q:Q, HoldHistory!A:A, A61, HoldHistory!M:M, "Structures Pre-SAM")</f>
        <v>0</v>
      </c>
      <c r="H61">
        <f>SUMIFS(HoldHistory!Q:Q, HoldHistory!A:A, A61, HoldHistory!M:M, "Structures SAM")</f>
        <v>0</v>
      </c>
      <c r="I61">
        <f>SUMIFS(HoldHistory!Q:Q, HoldHistory!A:A, A61, HoldHistory!M:M, "Final Design Review")</f>
        <v>0</v>
      </c>
    </row>
    <row r="62" spans="1:9" x14ac:dyDescent="0.35">
      <c r="A62" t="str">
        <v>CAS-103914-G2Q2W9</v>
      </c>
      <c r="B62">
        <f>SUMIFS(HoldHistory!Q:Q, HoldHistory!A:A, A62, HoldHistory!M:M, "Triage")</f>
        <v>0</v>
      </c>
      <c r="C62">
        <f>SUMIFS(HoldHistory!Q:Q, HoldHistory!A:A, A62, HoldHistory!M:M, "Task Plan")</f>
        <v>0</v>
      </c>
      <c r="D62">
        <f>SUMIFS(HoldHistory!Q:Q, HoldHistory!A:A, A62, HoldHistory!M:M, "Initial Design Review")</f>
        <v>0</v>
      </c>
      <c r="E62">
        <f>SUMIFS(HoldHistory!Q:Q, HoldHistory!A:A, A62, HoldHistory!M:M, "ReCAP")</f>
        <v>0</v>
      </c>
      <c r="F62">
        <f>SUMIFS(HoldHistory!Q:Q, HoldHistory!A:A, A62, HoldHistory!M:M, "Draft EA")</f>
        <v>0</v>
      </c>
      <c r="G62">
        <f>SUMIFS(HoldHistory!Q:Q, HoldHistory!A:A, A62, HoldHistory!M:M, "Structures Pre-SAM")</f>
        <v>0</v>
      </c>
      <c r="H62">
        <f>SUMIFS(HoldHistory!Q:Q, HoldHistory!A:A, A62, HoldHistory!M:M, "Structures SAM")</f>
        <v>0</v>
      </c>
      <c r="I62">
        <f>SUMIFS(HoldHistory!Q:Q, HoldHistory!A:A, A62, HoldHistory!M:M, "Final Design Review")</f>
        <v>0</v>
      </c>
    </row>
    <row r="63" spans="1:9" x14ac:dyDescent="0.35">
      <c r="A63" t="str">
        <v>CAS-114668-R4C2Y4</v>
      </c>
      <c r="B63">
        <f>SUMIFS(HoldHistory!Q:Q, HoldHistory!A:A, A63, HoldHistory!M:M, "Triage")</f>
        <v>0</v>
      </c>
      <c r="C63">
        <f>SUMIFS(HoldHistory!Q:Q, HoldHistory!A:A, A63, HoldHistory!M:M, "Task Plan")</f>
        <v>0</v>
      </c>
      <c r="D63">
        <f>SUMIFS(HoldHistory!Q:Q, HoldHistory!A:A, A63, HoldHistory!M:M, "Initial Design Review")</f>
        <v>0</v>
      </c>
      <c r="E63">
        <f>SUMIFS(HoldHistory!Q:Q, HoldHistory!A:A, A63, HoldHistory!M:M, "ReCAP")</f>
        <v>0</v>
      </c>
      <c r="F63">
        <f>SUMIFS(HoldHistory!Q:Q, HoldHistory!A:A, A63, HoldHistory!M:M, "Draft EA")</f>
        <v>0</v>
      </c>
      <c r="G63">
        <f>SUMIFS(HoldHistory!Q:Q, HoldHistory!A:A, A63, HoldHistory!M:M, "Structures Pre-SAM")</f>
        <v>0</v>
      </c>
      <c r="H63">
        <f>SUMIFS(HoldHistory!Q:Q, HoldHistory!A:A, A63, HoldHistory!M:M, "Structures SAM")</f>
        <v>0</v>
      </c>
      <c r="I63">
        <f>SUMIFS(HoldHistory!Q:Q, HoldHistory!A:A, A63, HoldHistory!M:M, "Final Design Review")</f>
        <v>0</v>
      </c>
    </row>
    <row r="64" spans="1:9" x14ac:dyDescent="0.35">
      <c r="A64" t="str">
        <v>CAS-121777-B4M7K7</v>
      </c>
      <c r="B64">
        <f>SUMIFS(HoldHistory!Q:Q, HoldHistory!A:A, A64, HoldHistory!M:M, "Triage")</f>
        <v>0</v>
      </c>
      <c r="C64">
        <f>SUMIFS(HoldHistory!Q:Q, HoldHistory!A:A, A64, HoldHistory!M:M, "Task Plan")</f>
        <v>0</v>
      </c>
      <c r="D64">
        <f>SUMIFS(HoldHistory!Q:Q, HoldHistory!A:A, A64, HoldHistory!M:M, "Initial Design Review")</f>
        <v>0</v>
      </c>
      <c r="E64">
        <f>SUMIFS(HoldHistory!Q:Q, HoldHistory!A:A, A64, HoldHistory!M:M, "ReCAP")</f>
        <v>0</v>
      </c>
      <c r="F64">
        <f>SUMIFS(HoldHistory!Q:Q, HoldHistory!A:A, A64, HoldHistory!M:M, "Draft EA")</f>
        <v>0</v>
      </c>
      <c r="G64">
        <f>SUMIFS(HoldHistory!Q:Q, HoldHistory!A:A, A64, HoldHistory!M:M, "Structures Pre-SAM")</f>
        <v>0</v>
      </c>
      <c r="H64">
        <f>SUMIFS(HoldHistory!Q:Q, HoldHistory!A:A, A64, HoldHistory!M:M, "Structures SAM")</f>
        <v>0</v>
      </c>
      <c r="I64">
        <f>SUMIFS(HoldHistory!Q:Q, HoldHistory!A:A, A64, HoldHistory!M:M, "Final Design Review")</f>
        <v>0</v>
      </c>
    </row>
    <row r="65" spans="1:9" x14ac:dyDescent="0.35">
      <c r="A65" t="str">
        <v>CAS-137967-M4X7D1</v>
      </c>
      <c r="B65">
        <f>SUMIFS(HoldHistory!Q:Q, HoldHistory!A:A, A65, HoldHistory!M:M, "Triage")</f>
        <v>0</v>
      </c>
      <c r="C65">
        <f>SUMIFS(HoldHistory!Q:Q, HoldHistory!A:A, A65, HoldHistory!M:M, "Task Plan")</f>
        <v>0</v>
      </c>
      <c r="D65">
        <f>SUMIFS(HoldHistory!Q:Q, HoldHistory!A:A, A65, HoldHistory!M:M, "Initial Design Review")</f>
        <v>0</v>
      </c>
      <c r="E65">
        <f>SUMIFS(HoldHistory!Q:Q, HoldHistory!A:A, A65, HoldHistory!M:M, "ReCAP")</f>
        <v>0</v>
      </c>
      <c r="F65">
        <f>SUMIFS(HoldHistory!Q:Q, HoldHistory!A:A, A65, HoldHistory!M:M, "Draft EA")</f>
        <v>0</v>
      </c>
      <c r="G65">
        <f>SUMIFS(HoldHistory!Q:Q, HoldHistory!A:A, A65, HoldHistory!M:M, "Structures Pre-SAM")</f>
        <v>0</v>
      </c>
      <c r="H65">
        <f>SUMIFS(HoldHistory!Q:Q, HoldHistory!A:A, A65, HoldHistory!M:M, "Structures SAM")</f>
        <v>0</v>
      </c>
      <c r="I65">
        <f>SUMIFS(HoldHistory!Q:Q, HoldHistory!A:A, A65, HoldHistory!M:M, "Final Design Review")</f>
        <v>0</v>
      </c>
    </row>
    <row r="66" spans="1:9" x14ac:dyDescent="0.35">
      <c r="A66" t="str">
        <v>CAS-148402-Q9J3K8</v>
      </c>
      <c r="B66">
        <f>SUMIFS(HoldHistory!Q:Q, HoldHistory!A:A, A66, HoldHistory!M:M, "Triage")</f>
        <v>0</v>
      </c>
      <c r="C66">
        <f>SUMIFS(HoldHistory!Q:Q, HoldHistory!A:A, A66, HoldHistory!M:M, "Task Plan")</f>
        <v>0</v>
      </c>
      <c r="D66">
        <f>SUMIFS(HoldHistory!Q:Q, HoldHistory!A:A, A66, HoldHistory!M:M, "Initial Design Review")</f>
        <v>0</v>
      </c>
      <c r="E66">
        <f>SUMIFS(HoldHistory!Q:Q, HoldHistory!A:A, A66, HoldHistory!M:M, "ReCAP")</f>
        <v>0</v>
      </c>
      <c r="F66">
        <f>SUMIFS(HoldHistory!Q:Q, HoldHistory!A:A, A66, HoldHistory!M:M, "Draft EA")</f>
        <v>0</v>
      </c>
      <c r="G66">
        <f>SUMIFS(HoldHistory!Q:Q, HoldHistory!A:A, A66, HoldHistory!M:M, "Structures Pre-SAM")</f>
        <v>0</v>
      </c>
      <c r="H66">
        <f>SUMIFS(HoldHistory!Q:Q, HoldHistory!A:A, A66, HoldHistory!M:M, "Structures SAM")</f>
        <v>0</v>
      </c>
      <c r="I66">
        <f>SUMIFS(HoldHistory!Q:Q, HoldHistory!A:A, A66, HoldHistory!M:M, "Final Design Review")</f>
        <v>13.984562395839021</v>
      </c>
    </row>
    <row r="67" spans="1:9" x14ac:dyDescent="0.35">
      <c r="A67" t="str">
        <v>CAS-148403-H5Q6J7</v>
      </c>
      <c r="B67">
        <f>SUMIFS(HoldHistory!Q:Q, HoldHistory!A:A, A67, HoldHistory!M:M, "Triage")</f>
        <v>0</v>
      </c>
      <c r="C67">
        <f>SUMIFS(HoldHistory!Q:Q, HoldHistory!A:A, A67, HoldHistory!M:M, "Task Plan")</f>
        <v>0</v>
      </c>
      <c r="D67">
        <f>SUMIFS(HoldHistory!Q:Q, HoldHistory!A:A, A67, HoldHistory!M:M, "Initial Design Review")</f>
        <v>0</v>
      </c>
      <c r="E67">
        <f>SUMIFS(HoldHistory!Q:Q, HoldHistory!A:A, A67, HoldHistory!M:M, "ReCAP")</f>
        <v>0</v>
      </c>
      <c r="F67">
        <f>SUMIFS(HoldHistory!Q:Q, HoldHistory!A:A, A67, HoldHistory!M:M, "Draft EA")</f>
        <v>0</v>
      </c>
      <c r="G67">
        <f>SUMIFS(HoldHistory!Q:Q, HoldHistory!A:A, A67, HoldHistory!M:M, "Structures Pre-SAM")</f>
        <v>0</v>
      </c>
      <c r="H67">
        <f>SUMIFS(HoldHistory!Q:Q, HoldHistory!A:A, A67, HoldHistory!M:M, "Structures SAM")</f>
        <v>0</v>
      </c>
      <c r="I67">
        <f>SUMIFS(HoldHistory!Q:Q, HoldHistory!A:A, A67, HoldHistory!M:M, "Final Design Review")</f>
        <v>13.984316712965665</v>
      </c>
    </row>
    <row r="68" spans="1:9" x14ac:dyDescent="0.35">
      <c r="A68" t="str">
        <v>CAS-148404-Q1L7D1</v>
      </c>
      <c r="B68">
        <f>SUMIFS(HoldHistory!Q:Q, HoldHistory!A:A, A68, HoldHistory!M:M, "Triage")</f>
        <v>0</v>
      </c>
      <c r="C68">
        <f>SUMIFS(HoldHistory!Q:Q, HoldHistory!A:A, A68, HoldHistory!M:M, "Task Plan")</f>
        <v>0</v>
      </c>
      <c r="D68">
        <f>SUMIFS(HoldHistory!Q:Q, HoldHistory!A:A, A68, HoldHistory!M:M, "Initial Design Review")</f>
        <v>0</v>
      </c>
      <c r="E68">
        <f>SUMIFS(HoldHistory!Q:Q, HoldHistory!A:A, A68, HoldHistory!M:M, "ReCAP")</f>
        <v>0</v>
      </c>
      <c r="F68">
        <f>SUMIFS(HoldHistory!Q:Q, HoldHistory!A:A, A68, HoldHistory!M:M, "Draft EA")</f>
        <v>0</v>
      </c>
      <c r="G68">
        <f>SUMIFS(HoldHistory!Q:Q, HoldHistory!A:A, A68, HoldHistory!M:M, "Structures Pre-SAM")</f>
        <v>0</v>
      </c>
      <c r="H68">
        <f>SUMIFS(HoldHistory!Q:Q, HoldHistory!A:A, A68, HoldHistory!M:M, "Structures SAM")</f>
        <v>0</v>
      </c>
      <c r="I68">
        <f>SUMIFS(HoldHistory!Q:Q, HoldHistory!A:A, A68, HoldHistory!M:M, "Final Design Review")</f>
        <v>0</v>
      </c>
    </row>
    <row r="69" spans="1:9" x14ac:dyDescent="0.35">
      <c r="A69" t="str">
        <v>CAS-148405-W3J6L9</v>
      </c>
      <c r="B69">
        <f>SUMIFS(HoldHistory!Q:Q, HoldHistory!A:A, A69, HoldHistory!M:M, "Triage")</f>
        <v>0</v>
      </c>
      <c r="C69">
        <f>SUMIFS(HoldHistory!Q:Q, HoldHistory!A:A, A69, HoldHistory!M:M, "Task Plan")</f>
        <v>0</v>
      </c>
      <c r="D69">
        <f>SUMIFS(HoldHistory!Q:Q, HoldHistory!A:A, A69, HoldHistory!M:M, "Initial Design Review")</f>
        <v>0</v>
      </c>
      <c r="E69">
        <f>SUMIFS(HoldHistory!Q:Q, HoldHistory!A:A, A69, HoldHistory!M:M, "ReCAP")</f>
        <v>0</v>
      </c>
      <c r="F69">
        <f>SUMIFS(HoldHistory!Q:Q, HoldHistory!A:A, A69, HoldHistory!M:M, "Draft EA")</f>
        <v>0</v>
      </c>
      <c r="G69">
        <f>SUMIFS(HoldHistory!Q:Q, HoldHistory!A:A, A69, HoldHistory!M:M, "Structures Pre-SAM")</f>
        <v>13.084853634260071</v>
      </c>
      <c r="H69">
        <f>SUMIFS(HoldHistory!Q:Q, HoldHistory!A:A, A69, HoldHistory!M:M, "Structures SAM")</f>
        <v>0</v>
      </c>
      <c r="I69">
        <f>SUMIFS(HoldHistory!Q:Q, HoldHistory!A:A, A69, HoldHistory!M:M, "Final Design Review")</f>
        <v>0</v>
      </c>
    </row>
    <row r="70" spans="1:9" x14ac:dyDescent="0.35">
      <c r="A70" t="str">
        <v>CAS-148407-P1G5G2</v>
      </c>
      <c r="B70">
        <f>SUMIFS(HoldHistory!Q:Q, HoldHistory!A:A, A70, HoldHistory!M:M, "Triage")</f>
        <v>0</v>
      </c>
      <c r="C70">
        <f>SUMIFS(HoldHistory!Q:Q, HoldHistory!A:A, A70, HoldHistory!M:M, "Task Plan")</f>
        <v>0</v>
      </c>
      <c r="D70">
        <f>SUMIFS(HoldHistory!Q:Q, HoldHistory!A:A, A70, HoldHistory!M:M, "Initial Design Review")</f>
        <v>0</v>
      </c>
      <c r="E70">
        <f>SUMIFS(HoldHistory!Q:Q, HoldHistory!A:A, A70, HoldHistory!M:M, "ReCAP")</f>
        <v>0</v>
      </c>
      <c r="F70">
        <f>SUMIFS(HoldHistory!Q:Q, HoldHistory!A:A, A70, HoldHistory!M:M, "Draft EA")</f>
        <v>0</v>
      </c>
      <c r="G70">
        <f>SUMIFS(HoldHistory!Q:Q, HoldHistory!A:A, A70, HoldHistory!M:M, "Structures Pre-SAM")</f>
        <v>0</v>
      </c>
      <c r="H70">
        <f>SUMIFS(HoldHistory!Q:Q, HoldHistory!A:A, A70, HoldHistory!M:M, "Structures SAM")</f>
        <v>0</v>
      </c>
      <c r="I70">
        <f>SUMIFS(HoldHistory!Q:Q, HoldHistory!A:A, A70, HoldHistory!M:M, "Final Design Review")</f>
        <v>13.985286840274057</v>
      </c>
    </row>
    <row r="71" spans="1:9" x14ac:dyDescent="0.35">
      <c r="A71" t="str">
        <v>CAS-148496-Y9P1T8</v>
      </c>
      <c r="B71">
        <f>SUMIFS(HoldHistory!Q:Q, HoldHistory!A:A, A71, HoldHistory!M:M, "Triage")</f>
        <v>0</v>
      </c>
      <c r="C71">
        <f>SUMIFS(HoldHistory!Q:Q, HoldHistory!A:A, A71, HoldHistory!M:M, "Task Plan")</f>
        <v>0</v>
      </c>
      <c r="D71">
        <f>SUMIFS(HoldHistory!Q:Q, HoldHistory!A:A, A71, HoldHistory!M:M, "Initial Design Review")</f>
        <v>0</v>
      </c>
      <c r="E71">
        <f>SUMIFS(HoldHistory!Q:Q, HoldHistory!A:A, A71, HoldHistory!M:M, "ReCAP")</f>
        <v>0</v>
      </c>
      <c r="F71">
        <f>SUMIFS(HoldHistory!Q:Q, HoldHistory!A:A, A71, HoldHistory!M:M, "Draft EA")</f>
        <v>0</v>
      </c>
      <c r="G71">
        <f>SUMIFS(HoldHistory!Q:Q, HoldHistory!A:A, A71, HoldHistory!M:M, "Structures Pre-SAM")</f>
        <v>0</v>
      </c>
      <c r="H71">
        <f>SUMIFS(HoldHistory!Q:Q, HoldHistory!A:A, A71, HoldHistory!M:M, "Structures SAM")</f>
        <v>0</v>
      </c>
      <c r="I71">
        <f>SUMIFS(HoldHistory!Q:Q, HoldHistory!A:A, A71, HoldHistory!M:M, "Final Design Review")</f>
        <v>13.984068182871852</v>
      </c>
    </row>
    <row r="72" spans="1:9" x14ac:dyDescent="0.35">
      <c r="A72" t="str">
        <v>CAS-155697-S8N7W3</v>
      </c>
      <c r="B72">
        <f>SUMIFS(HoldHistory!Q:Q, HoldHistory!A:A, A72, HoldHistory!M:M, "Triage")</f>
        <v>0</v>
      </c>
      <c r="C72">
        <f>SUMIFS(HoldHistory!Q:Q, HoldHistory!A:A, A72, HoldHistory!M:M, "Task Plan")</f>
        <v>0</v>
      </c>
      <c r="D72">
        <f>SUMIFS(HoldHistory!Q:Q, HoldHistory!A:A, A72, HoldHistory!M:M, "Initial Design Review")</f>
        <v>0</v>
      </c>
      <c r="E72">
        <f>SUMIFS(HoldHistory!Q:Q, HoldHistory!A:A, A72, HoldHistory!M:M, "ReCAP")</f>
        <v>0</v>
      </c>
      <c r="F72">
        <f>SUMIFS(HoldHistory!Q:Q, HoldHistory!A:A, A72, HoldHistory!M:M, "Draft EA")</f>
        <v>0</v>
      </c>
      <c r="G72">
        <f>SUMIFS(HoldHistory!Q:Q, HoldHistory!A:A, A72, HoldHistory!M:M, "Structures Pre-SAM")</f>
        <v>0</v>
      </c>
      <c r="H72">
        <f>SUMIFS(HoldHistory!Q:Q, HoldHistory!A:A, A72, HoldHistory!M:M, "Structures SAM")</f>
        <v>0</v>
      </c>
      <c r="I72">
        <f>SUMIFS(HoldHistory!Q:Q, HoldHistory!A:A, A72, HoldHistory!M:M, "Final Design Review")</f>
        <v>0</v>
      </c>
    </row>
    <row r="73" spans="1:9" x14ac:dyDescent="0.35">
      <c r="A73" t="str">
        <v>CAS-157208-Z3N2C1</v>
      </c>
      <c r="B73">
        <f>SUMIFS(HoldHistory!Q:Q, HoldHistory!A:A, A73, HoldHistory!M:M, "Triage")</f>
        <v>0</v>
      </c>
      <c r="C73">
        <f>SUMIFS(HoldHistory!Q:Q, HoldHistory!A:A, A73, HoldHistory!M:M, "Task Plan")</f>
        <v>0</v>
      </c>
      <c r="D73">
        <f>SUMIFS(HoldHistory!Q:Q, HoldHistory!A:A, A73, HoldHistory!M:M, "Initial Design Review")</f>
        <v>0</v>
      </c>
      <c r="E73">
        <f>SUMIFS(HoldHistory!Q:Q, HoldHistory!A:A, A73, HoldHistory!M:M, "ReCAP")</f>
        <v>0</v>
      </c>
      <c r="F73">
        <f>SUMIFS(HoldHistory!Q:Q, HoldHistory!A:A, A73, HoldHistory!M:M, "Draft EA")</f>
        <v>0</v>
      </c>
      <c r="G73">
        <f>SUMIFS(HoldHistory!Q:Q, HoldHistory!A:A, A73, HoldHistory!M:M, "Structures Pre-SAM")</f>
        <v>0</v>
      </c>
      <c r="H73">
        <f>SUMIFS(HoldHistory!Q:Q, HoldHistory!A:A, A73, HoldHistory!M:M, "Structures SAM")</f>
        <v>0</v>
      </c>
      <c r="I73">
        <f>SUMIFS(HoldHistory!Q:Q, HoldHistory!A:A, A73, HoldHistory!M:M, "Final Design Review")</f>
        <v>0</v>
      </c>
    </row>
    <row r="74" spans="1:9" x14ac:dyDescent="0.35">
      <c r="A74" t="str">
        <v>CAS-158869-Z5C9C5</v>
      </c>
      <c r="B74">
        <f>SUMIFS(HoldHistory!Q:Q, HoldHistory!A:A, A74, HoldHistory!M:M, "Triage")</f>
        <v>0</v>
      </c>
      <c r="C74">
        <f>SUMIFS(HoldHistory!Q:Q, HoldHistory!A:A, A74, HoldHistory!M:M, "Task Plan")</f>
        <v>0</v>
      </c>
      <c r="D74">
        <f>SUMIFS(HoldHistory!Q:Q, HoldHistory!A:A, A74, HoldHistory!M:M, "Initial Design Review")</f>
        <v>0</v>
      </c>
      <c r="E74">
        <f>SUMIFS(HoldHistory!Q:Q, HoldHistory!A:A, A74, HoldHistory!M:M, "ReCAP")</f>
        <v>0</v>
      </c>
      <c r="F74">
        <f>SUMIFS(HoldHistory!Q:Q, HoldHistory!A:A, A74, HoldHistory!M:M, "Draft EA")</f>
        <v>0</v>
      </c>
      <c r="G74">
        <f>SUMIFS(HoldHistory!Q:Q, HoldHistory!A:A, A74, HoldHistory!M:M, "Structures Pre-SAM")</f>
        <v>0</v>
      </c>
      <c r="H74">
        <f>SUMIFS(HoldHistory!Q:Q, HoldHistory!A:A, A74, HoldHistory!M:M, "Structures SAM")</f>
        <v>0</v>
      </c>
      <c r="I74">
        <f>SUMIFS(HoldHistory!Q:Q, HoldHistory!A:A, A74, HoldHistory!M:M, "Final Design Review")</f>
        <v>188.22325593749702</v>
      </c>
    </row>
    <row r="75" spans="1:9" x14ac:dyDescent="0.35">
      <c r="A75" t="str">
        <v>CAS-163741-T2H8B8</v>
      </c>
      <c r="B75">
        <f>SUMIFS(HoldHistory!Q:Q, HoldHistory!A:A, A75, HoldHistory!M:M, "Triage")</f>
        <v>0</v>
      </c>
      <c r="C75">
        <f>SUMIFS(HoldHistory!Q:Q, HoldHistory!A:A, A75, HoldHistory!M:M, "Task Plan")</f>
        <v>0</v>
      </c>
      <c r="D75">
        <f>SUMIFS(HoldHistory!Q:Q, HoldHistory!A:A, A75, HoldHistory!M:M, "Initial Design Review")</f>
        <v>0</v>
      </c>
      <c r="E75">
        <f>SUMIFS(HoldHistory!Q:Q, HoldHistory!A:A, A75, HoldHistory!M:M, "ReCAP")</f>
        <v>0</v>
      </c>
      <c r="F75">
        <f>SUMIFS(HoldHistory!Q:Q, HoldHistory!A:A, A75, HoldHistory!M:M, "Draft EA")</f>
        <v>0</v>
      </c>
      <c r="G75">
        <f>SUMIFS(HoldHistory!Q:Q, HoldHistory!A:A, A75, HoldHistory!M:M, "Structures Pre-SAM")</f>
        <v>45</v>
      </c>
      <c r="H75">
        <f>SUMIFS(HoldHistory!Q:Q, HoldHistory!A:A, A75, HoldHistory!M:M, "Structures SAM")</f>
        <v>0</v>
      </c>
      <c r="I75">
        <f>SUMIFS(HoldHistory!Q:Q, HoldHistory!A:A, A75, HoldHistory!M:M, "Final Design Review")</f>
        <v>112</v>
      </c>
    </row>
    <row r="76" spans="1:9" x14ac:dyDescent="0.35">
      <c r="A76" t="str">
        <v>CAS-165815-M4Y1S2</v>
      </c>
      <c r="B76">
        <f>SUMIFS(HoldHistory!Q:Q, HoldHistory!A:A, A76, HoldHistory!M:M, "Triage")</f>
        <v>0</v>
      </c>
      <c r="C76">
        <f>SUMIFS(HoldHistory!Q:Q, HoldHistory!A:A, A76, HoldHistory!M:M, "Task Plan")</f>
        <v>0</v>
      </c>
      <c r="D76">
        <f>SUMIFS(HoldHistory!Q:Q, HoldHistory!A:A, A76, HoldHistory!M:M, "Initial Design Review")</f>
        <v>0</v>
      </c>
      <c r="E76">
        <f>SUMIFS(HoldHistory!Q:Q, HoldHistory!A:A, A76, HoldHistory!M:M, "ReCAP")</f>
        <v>0</v>
      </c>
      <c r="F76">
        <f>SUMIFS(HoldHistory!Q:Q, HoldHistory!A:A, A76, HoldHistory!M:M, "Draft EA")</f>
        <v>0</v>
      </c>
      <c r="G76">
        <f>SUMIFS(HoldHistory!Q:Q, HoldHistory!A:A, A76, HoldHistory!M:M, "Structures Pre-SAM")</f>
        <v>9</v>
      </c>
      <c r="H76">
        <f>SUMIFS(HoldHistory!Q:Q, HoldHistory!A:A, A76, HoldHistory!M:M, "Structures SAM")</f>
        <v>0</v>
      </c>
      <c r="I76">
        <f>SUMIFS(HoldHistory!Q:Q, HoldHistory!A:A, A76, HoldHistory!M:M, "Final Design Review")</f>
        <v>0</v>
      </c>
    </row>
    <row r="77" spans="1:9" x14ac:dyDescent="0.35">
      <c r="A77" t="str">
        <v>CAS-166155-P4T1W2</v>
      </c>
      <c r="B77">
        <f>SUMIFS(HoldHistory!Q:Q, HoldHistory!A:A, A77, HoldHistory!M:M, "Triage")</f>
        <v>0</v>
      </c>
      <c r="C77">
        <f>SUMIFS(HoldHistory!Q:Q, HoldHistory!A:A, A77, HoldHistory!M:M, "Task Plan")</f>
        <v>0</v>
      </c>
      <c r="D77">
        <f>SUMIFS(HoldHistory!Q:Q, HoldHistory!A:A, A77, HoldHistory!M:M, "Initial Design Review")</f>
        <v>0</v>
      </c>
      <c r="E77">
        <f>SUMIFS(HoldHistory!Q:Q, HoldHistory!A:A, A77, HoldHistory!M:M, "ReCAP")</f>
        <v>0</v>
      </c>
      <c r="F77">
        <f>SUMIFS(HoldHistory!Q:Q, HoldHistory!A:A, A77, HoldHistory!M:M, "Draft EA")</f>
        <v>0</v>
      </c>
      <c r="G77">
        <f>SUMIFS(HoldHistory!Q:Q, HoldHistory!A:A, A77, HoldHistory!M:M, "Structures Pre-SAM")</f>
        <v>0</v>
      </c>
      <c r="H77">
        <f>SUMIFS(HoldHistory!Q:Q, HoldHistory!A:A, A77, HoldHistory!M:M, "Structures SAM")</f>
        <v>0</v>
      </c>
      <c r="I77">
        <f>SUMIFS(HoldHistory!Q:Q, HoldHistory!A:A, A77, HoldHistory!M:M, "Final Design Review")</f>
        <v>16.164567060186528</v>
      </c>
    </row>
    <row r="78" spans="1:9" x14ac:dyDescent="0.35">
      <c r="A78" t="str">
        <v>CAS-166448-Y3F1V3</v>
      </c>
      <c r="B78">
        <f>SUMIFS(HoldHistory!Q:Q, HoldHistory!A:A, A78, HoldHistory!M:M, "Triage")</f>
        <v>0</v>
      </c>
      <c r="C78">
        <f>SUMIFS(HoldHistory!Q:Q, HoldHistory!A:A, A78, HoldHistory!M:M, "Task Plan")</f>
        <v>0</v>
      </c>
      <c r="D78">
        <f>SUMIFS(HoldHistory!Q:Q, HoldHistory!A:A, A78, HoldHistory!M:M, "Initial Design Review")</f>
        <v>0</v>
      </c>
      <c r="E78">
        <f>SUMIFS(HoldHistory!Q:Q, HoldHistory!A:A, A78, HoldHistory!M:M, "ReCAP")</f>
        <v>0</v>
      </c>
      <c r="F78">
        <f>SUMIFS(HoldHistory!Q:Q, HoldHistory!A:A, A78, HoldHistory!M:M, "Draft EA")</f>
        <v>0</v>
      </c>
      <c r="G78">
        <f>SUMIFS(HoldHistory!Q:Q, HoldHistory!A:A, A78, HoldHistory!M:M, "Structures Pre-SAM")</f>
        <v>0</v>
      </c>
      <c r="H78">
        <f>SUMIFS(HoldHistory!Q:Q, HoldHistory!A:A, A78, HoldHistory!M:M, "Structures SAM")</f>
        <v>0</v>
      </c>
      <c r="I78">
        <f>SUMIFS(HoldHistory!Q:Q, HoldHistory!A:A, A78, HoldHistory!M:M, "Final Design Review")</f>
        <v>0</v>
      </c>
    </row>
    <row r="79" spans="1:9" x14ac:dyDescent="0.35">
      <c r="A79" t="str">
        <v>CAS-167234-Z5N5X1</v>
      </c>
      <c r="B79">
        <f>SUMIFS(HoldHistory!Q:Q, HoldHistory!A:A, A79, HoldHistory!M:M, "Triage")</f>
        <v>0</v>
      </c>
      <c r="C79">
        <f>SUMIFS(HoldHistory!Q:Q, HoldHistory!A:A, A79, HoldHistory!M:M, "Task Plan")</f>
        <v>0</v>
      </c>
      <c r="D79">
        <f>SUMIFS(HoldHistory!Q:Q, HoldHistory!A:A, A79, HoldHistory!M:M, "Initial Design Review")</f>
        <v>0</v>
      </c>
      <c r="E79">
        <f>SUMIFS(HoldHistory!Q:Q, HoldHistory!A:A, A79, HoldHistory!M:M, "ReCAP")</f>
        <v>0</v>
      </c>
      <c r="F79">
        <f>SUMIFS(HoldHistory!Q:Q, HoldHistory!A:A, A79, HoldHistory!M:M, "Draft EA")</f>
        <v>0</v>
      </c>
      <c r="G79">
        <f>SUMIFS(HoldHistory!Q:Q, HoldHistory!A:A, A79, HoldHistory!M:M, "Structures Pre-SAM")</f>
        <v>0</v>
      </c>
      <c r="H79">
        <f>SUMIFS(HoldHistory!Q:Q, HoldHistory!A:A, A79, HoldHistory!M:M, "Structures SAM")</f>
        <v>0</v>
      </c>
      <c r="I79">
        <f>SUMIFS(HoldHistory!Q:Q, HoldHistory!A:A, A79, HoldHistory!M:M, "Final Design Review")</f>
        <v>0.90879208333353745</v>
      </c>
    </row>
    <row r="80" spans="1:9" x14ac:dyDescent="0.35">
      <c r="A80" t="str">
        <v>CAS-171976-D6F1X2</v>
      </c>
      <c r="B80">
        <f>SUMIFS(HoldHistory!Q:Q, HoldHistory!A:A, A80, HoldHistory!M:M, "Triage")</f>
        <v>0</v>
      </c>
      <c r="C80">
        <f>SUMIFS(HoldHistory!Q:Q, HoldHistory!A:A, A80, HoldHistory!M:M, "Task Plan")</f>
        <v>0</v>
      </c>
      <c r="D80">
        <f>SUMIFS(HoldHistory!Q:Q, HoldHistory!A:A, A80, HoldHistory!M:M, "Initial Design Review")</f>
        <v>0</v>
      </c>
      <c r="E80">
        <f>SUMIFS(HoldHistory!Q:Q, HoldHistory!A:A, A80, HoldHistory!M:M, "ReCAP")</f>
        <v>0</v>
      </c>
      <c r="F80">
        <f>SUMIFS(HoldHistory!Q:Q, HoldHistory!A:A, A80, HoldHistory!M:M, "Draft EA")</f>
        <v>0</v>
      </c>
      <c r="G80">
        <f>SUMIFS(HoldHistory!Q:Q, HoldHistory!A:A, A80, HoldHistory!M:M, "Structures Pre-SAM")</f>
        <v>0</v>
      </c>
      <c r="H80">
        <f>SUMIFS(HoldHistory!Q:Q, HoldHistory!A:A, A80, HoldHistory!M:M, "Structures SAM")</f>
        <v>0</v>
      </c>
      <c r="I80">
        <f>SUMIFS(HoldHistory!Q:Q, HoldHistory!A:A, A80, HoldHistory!M:M, "Final Design Review")</f>
        <v>0</v>
      </c>
    </row>
    <row r="81" spans="1:9" x14ac:dyDescent="0.35">
      <c r="A81" t="str">
        <v>CAS-172261-Z6V4V1</v>
      </c>
      <c r="B81">
        <f>SUMIFS(HoldHistory!Q:Q, HoldHistory!A:A, A81, HoldHistory!M:M, "Triage")</f>
        <v>0</v>
      </c>
      <c r="C81">
        <f>SUMIFS(HoldHistory!Q:Q, HoldHistory!A:A, A81, HoldHistory!M:M, "Task Plan")</f>
        <v>0</v>
      </c>
      <c r="D81">
        <f>SUMIFS(HoldHistory!Q:Q, HoldHistory!A:A, A81, HoldHistory!M:M, "Initial Design Review")</f>
        <v>0</v>
      </c>
      <c r="E81">
        <f>SUMIFS(HoldHistory!Q:Q, HoldHistory!A:A, A81, HoldHistory!M:M, "ReCAP")</f>
        <v>0</v>
      </c>
      <c r="F81">
        <f>SUMIFS(HoldHistory!Q:Q, HoldHistory!A:A, A81, HoldHistory!M:M, "Draft EA")</f>
        <v>0</v>
      </c>
      <c r="G81">
        <f>SUMIFS(HoldHistory!Q:Q, HoldHistory!A:A, A81, HoldHistory!M:M, "Structures Pre-SAM")</f>
        <v>0</v>
      </c>
      <c r="H81">
        <f>SUMIFS(HoldHistory!Q:Q, HoldHistory!A:A, A81, HoldHistory!M:M, "Structures SAM")</f>
        <v>0</v>
      </c>
      <c r="I81">
        <f>SUMIFS(HoldHistory!Q:Q, HoldHistory!A:A, A81, HoldHistory!M:M, "Final Design Review")</f>
        <v>47</v>
      </c>
    </row>
    <row r="82" spans="1:9" x14ac:dyDescent="0.35">
      <c r="A82" t="str">
        <v>CAS-172546-N4G9G2</v>
      </c>
      <c r="B82">
        <f>SUMIFS(HoldHistory!Q:Q, HoldHistory!A:A, A82, HoldHistory!M:M, "Triage")</f>
        <v>0</v>
      </c>
      <c r="C82">
        <f>SUMIFS(HoldHistory!Q:Q, HoldHistory!A:A, A82, HoldHistory!M:M, "Task Plan")</f>
        <v>0</v>
      </c>
      <c r="D82">
        <f>SUMIFS(HoldHistory!Q:Q, HoldHistory!A:A, A82, HoldHistory!M:M, "Initial Design Review")</f>
        <v>0</v>
      </c>
      <c r="E82">
        <f>SUMIFS(HoldHistory!Q:Q, HoldHistory!A:A, A82, HoldHistory!M:M, "ReCAP")</f>
        <v>0</v>
      </c>
      <c r="F82">
        <f>SUMIFS(HoldHistory!Q:Q, HoldHistory!A:A, A82, HoldHistory!M:M, "Draft EA")</f>
        <v>0</v>
      </c>
      <c r="G82">
        <f>SUMIFS(HoldHistory!Q:Q, HoldHistory!A:A, A82, HoldHistory!M:M, "Structures Pre-SAM")</f>
        <v>26</v>
      </c>
      <c r="H82">
        <f>SUMIFS(HoldHistory!Q:Q, HoldHistory!A:A, A82, HoldHistory!M:M, "Structures SAM")</f>
        <v>0</v>
      </c>
      <c r="I82">
        <f>SUMIFS(HoldHistory!Q:Q, HoldHistory!A:A, A82, HoldHistory!M:M, "Final Design Review")</f>
        <v>0</v>
      </c>
    </row>
    <row r="83" spans="1:9" x14ac:dyDescent="0.35">
      <c r="A83" t="str">
        <v>CAS-173448-K8Z4Z0</v>
      </c>
      <c r="B83">
        <f>SUMIFS(HoldHistory!Q:Q, HoldHistory!A:A, A83, HoldHistory!M:M, "Triage")</f>
        <v>0</v>
      </c>
      <c r="C83">
        <f>SUMIFS(HoldHistory!Q:Q, HoldHistory!A:A, A83, HoldHistory!M:M, "Task Plan")</f>
        <v>0</v>
      </c>
      <c r="D83">
        <f>SUMIFS(HoldHistory!Q:Q, HoldHistory!A:A, A83, HoldHistory!M:M, "Initial Design Review")</f>
        <v>0</v>
      </c>
      <c r="E83">
        <f>SUMIFS(HoldHistory!Q:Q, HoldHistory!A:A, A83, HoldHistory!M:M, "ReCAP")</f>
        <v>0</v>
      </c>
      <c r="F83">
        <f>SUMIFS(HoldHistory!Q:Q, HoldHistory!A:A, A83, HoldHistory!M:M, "Draft EA")</f>
        <v>0</v>
      </c>
      <c r="G83">
        <f>SUMIFS(HoldHistory!Q:Q, HoldHistory!A:A, A83, HoldHistory!M:M, "Structures Pre-SAM")</f>
        <v>0</v>
      </c>
      <c r="H83">
        <f>SUMIFS(HoldHistory!Q:Q, HoldHistory!A:A, A83, HoldHistory!M:M, "Structures SAM")</f>
        <v>0</v>
      </c>
      <c r="I83">
        <f>SUMIFS(HoldHistory!Q:Q, HoldHistory!A:A, A83, HoldHistory!M:M, "Final Design Review")</f>
        <v>0</v>
      </c>
    </row>
    <row r="84" spans="1:9" x14ac:dyDescent="0.35">
      <c r="A84" t="str">
        <v>CAS-173971-N6C4H6</v>
      </c>
      <c r="B84">
        <f>SUMIFS(HoldHistory!Q:Q, HoldHistory!A:A, A84, HoldHistory!M:M, "Triage")</f>
        <v>0</v>
      </c>
      <c r="C84">
        <f>SUMIFS(HoldHistory!Q:Q, HoldHistory!A:A, A84, HoldHistory!M:M, "Task Plan")</f>
        <v>0</v>
      </c>
      <c r="D84">
        <f>SUMIFS(HoldHistory!Q:Q, HoldHistory!A:A, A84, HoldHistory!M:M, "Initial Design Review")</f>
        <v>0</v>
      </c>
      <c r="E84">
        <f>SUMIFS(HoldHistory!Q:Q, HoldHistory!A:A, A84, HoldHistory!M:M, "ReCAP")</f>
        <v>112</v>
      </c>
      <c r="F84">
        <f>SUMIFS(HoldHistory!Q:Q, HoldHistory!A:A, A84, HoldHistory!M:M, "Draft EA")</f>
        <v>0</v>
      </c>
      <c r="G84">
        <f>SUMIFS(HoldHistory!Q:Q, HoldHistory!A:A, A84, HoldHistory!M:M, "Structures Pre-SAM")</f>
        <v>0</v>
      </c>
      <c r="H84">
        <f>SUMIFS(HoldHistory!Q:Q, HoldHistory!A:A, A84, HoldHistory!M:M, "Structures SAM")</f>
        <v>0</v>
      </c>
      <c r="I84">
        <f>SUMIFS(HoldHistory!Q:Q, HoldHistory!A:A, A84, HoldHistory!M:M, "Final Design Review")</f>
        <v>0</v>
      </c>
    </row>
    <row r="85" spans="1:9" x14ac:dyDescent="0.35">
      <c r="A85" t="str">
        <v>CAS-174457-H7N9M6</v>
      </c>
      <c r="B85">
        <f>SUMIFS(HoldHistory!Q:Q, HoldHistory!A:A, A85, HoldHistory!M:M, "Triage")</f>
        <v>0</v>
      </c>
      <c r="C85">
        <f>SUMIFS(HoldHistory!Q:Q, HoldHistory!A:A, A85, HoldHistory!M:M, "Task Plan")</f>
        <v>0</v>
      </c>
      <c r="D85">
        <f>SUMIFS(HoldHistory!Q:Q, HoldHistory!A:A, A85, HoldHistory!M:M, "Initial Design Review")</f>
        <v>0</v>
      </c>
      <c r="E85">
        <f>SUMIFS(HoldHistory!Q:Q, HoldHistory!A:A, A85, HoldHistory!M:M, "ReCAP")</f>
        <v>0</v>
      </c>
      <c r="F85">
        <f>SUMIFS(HoldHistory!Q:Q, HoldHistory!A:A, A85, HoldHistory!M:M, "Draft EA")</f>
        <v>375</v>
      </c>
      <c r="G85">
        <f>SUMIFS(HoldHistory!Q:Q, HoldHistory!A:A, A85, HoldHistory!M:M, "Structures Pre-SAM")</f>
        <v>0</v>
      </c>
      <c r="H85">
        <f>SUMIFS(HoldHistory!Q:Q, HoldHistory!A:A, A85, HoldHistory!M:M, "Structures SAM")</f>
        <v>0</v>
      </c>
      <c r="I85">
        <f>SUMIFS(HoldHistory!Q:Q, HoldHistory!A:A, A85, HoldHistory!M:M, "Final Design Review")</f>
        <v>0</v>
      </c>
    </row>
    <row r="86" spans="1:9" x14ac:dyDescent="0.35">
      <c r="A86" t="str">
        <v>CAS-176621-P9J0X1</v>
      </c>
      <c r="B86">
        <f>SUMIFS(HoldHistory!Q:Q, HoldHistory!A:A, A86, HoldHistory!M:M, "Triage")</f>
        <v>0</v>
      </c>
      <c r="C86">
        <f>SUMIFS(HoldHistory!Q:Q, HoldHistory!A:A, A86, HoldHistory!M:M, "Task Plan")</f>
        <v>0</v>
      </c>
      <c r="D86">
        <f>SUMIFS(HoldHistory!Q:Q, HoldHistory!A:A, A86, HoldHistory!M:M, "Initial Design Review")</f>
        <v>0</v>
      </c>
      <c r="E86">
        <f>SUMIFS(HoldHistory!Q:Q, HoldHistory!A:A, A86, HoldHistory!M:M, "ReCAP")</f>
        <v>0</v>
      </c>
      <c r="F86">
        <f>SUMIFS(HoldHistory!Q:Q, HoldHistory!A:A, A86, HoldHistory!M:M, "Draft EA")</f>
        <v>0</v>
      </c>
      <c r="G86">
        <f>SUMIFS(HoldHistory!Q:Q, HoldHistory!A:A, A86, HoldHistory!M:M, "Structures Pre-SAM")</f>
        <v>0</v>
      </c>
      <c r="H86">
        <f>SUMIFS(HoldHistory!Q:Q, HoldHistory!A:A, A86, HoldHistory!M:M, "Structures SAM")</f>
        <v>35</v>
      </c>
      <c r="I86">
        <f>SUMIFS(HoldHistory!Q:Q, HoldHistory!A:A, A86, HoldHistory!M:M, "Final Design Review")</f>
        <v>0</v>
      </c>
    </row>
    <row r="87" spans="1:9" x14ac:dyDescent="0.35">
      <c r="A87" t="str">
        <v>CAS-177004-Q0Q7L8</v>
      </c>
      <c r="B87">
        <f>SUMIFS(HoldHistory!Q:Q, HoldHistory!A:A, A87, HoldHistory!M:M, "Triage")</f>
        <v>0</v>
      </c>
      <c r="C87">
        <f>SUMIFS(HoldHistory!Q:Q, HoldHistory!A:A, A87, HoldHistory!M:M, "Task Plan")</f>
        <v>0</v>
      </c>
      <c r="D87">
        <f>SUMIFS(HoldHistory!Q:Q, HoldHistory!A:A, A87, HoldHistory!M:M, "Initial Design Review")</f>
        <v>0</v>
      </c>
      <c r="E87">
        <f>SUMIFS(HoldHistory!Q:Q, HoldHistory!A:A, A87, HoldHistory!M:M, "ReCAP")</f>
        <v>0</v>
      </c>
      <c r="F87">
        <f>SUMIFS(HoldHistory!Q:Q, HoldHistory!A:A, A87, HoldHistory!M:M, "Draft EA")</f>
        <v>0</v>
      </c>
      <c r="G87">
        <f>SUMIFS(HoldHistory!Q:Q, HoldHistory!A:A, A87, HoldHistory!M:M, "Structures Pre-SAM")</f>
        <v>0</v>
      </c>
      <c r="H87">
        <f>SUMIFS(HoldHistory!Q:Q, HoldHistory!A:A, A87, HoldHistory!M:M, "Structures SAM")</f>
        <v>0</v>
      </c>
      <c r="I87">
        <f>SUMIFS(HoldHistory!Q:Q, HoldHistory!A:A, A87, HoldHistory!M:M, "Final Design Review")</f>
        <v>0</v>
      </c>
    </row>
    <row r="88" spans="1:9" x14ac:dyDescent="0.35">
      <c r="A88" t="str">
        <v>CAS-177333-R9W0Q8</v>
      </c>
      <c r="B88">
        <f>SUMIFS(HoldHistory!Q:Q, HoldHistory!A:A, A88, HoldHistory!M:M, "Triage")</f>
        <v>0</v>
      </c>
      <c r="C88">
        <f>SUMIFS(HoldHistory!Q:Q, HoldHistory!A:A, A88, HoldHistory!M:M, "Task Plan")</f>
        <v>0</v>
      </c>
      <c r="D88">
        <f>SUMIFS(HoldHistory!Q:Q, HoldHistory!A:A, A88, HoldHistory!M:M, "Initial Design Review")</f>
        <v>0</v>
      </c>
      <c r="E88">
        <f>SUMIFS(HoldHistory!Q:Q, HoldHistory!A:A, A88, HoldHistory!M:M, "ReCAP")</f>
        <v>0</v>
      </c>
      <c r="F88">
        <f>SUMIFS(HoldHistory!Q:Q, HoldHistory!A:A, A88, HoldHistory!M:M, "Draft EA")</f>
        <v>0</v>
      </c>
      <c r="G88">
        <f>SUMIFS(HoldHistory!Q:Q, HoldHistory!A:A, A88, HoldHistory!M:M, "Structures Pre-SAM")</f>
        <v>0</v>
      </c>
      <c r="H88">
        <f>SUMIFS(HoldHistory!Q:Q, HoldHistory!A:A, A88, HoldHistory!M:M, "Structures SAM")</f>
        <v>0</v>
      </c>
      <c r="I88">
        <f>SUMIFS(HoldHistory!Q:Q, HoldHistory!A:A, A88, HoldHistory!M:M, "Final Design Review")</f>
        <v>0</v>
      </c>
    </row>
    <row r="89" spans="1:9" x14ac:dyDescent="0.35">
      <c r="A89" t="str">
        <v>CAS-177728-R3P3F3</v>
      </c>
      <c r="B89">
        <f>SUMIFS(HoldHistory!Q:Q, HoldHistory!A:A, A89, HoldHistory!M:M, "Triage")</f>
        <v>0</v>
      </c>
      <c r="C89">
        <f>SUMIFS(HoldHistory!Q:Q, HoldHistory!A:A, A89, HoldHistory!M:M, "Task Plan")</f>
        <v>0</v>
      </c>
      <c r="D89">
        <f>SUMIFS(HoldHistory!Q:Q, HoldHistory!A:A, A89, HoldHistory!M:M, "Initial Design Review")</f>
        <v>0</v>
      </c>
      <c r="E89">
        <f>SUMIFS(HoldHistory!Q:Q, HoldHistory!A:A, A89, HoldHistory!M:M, "ReCAP")</f>
        <v>0</v>
      </c>
      <c r="F89">
        <f>SUMIFS(HoldHistory!Q:Q, HoldHistory!A:A, A89, HoldHistory!M:M, "Draft EA")</f>
        <v>0</v>
      </c>
      <c r="G89">
        <f>SUMIFS(HoldHistory!Q:Q, HoldHistory!A:A, A89, HoldHistory!M:M, "Structures Pre-SAM")</f>
        <v>0</v>
      </c>
      <c r="H89">
        <f>SUMIFS(HoldHistory!Q:Q, HoldHistory!A:A, A89, HoldHistory!M:M, "Structures SAM")</f>
        <v>0</v>
      </c>
      <c r="I89">
        <f>SUMIFS(HoldHistory!Q:Q, HoldHistory!A:A, A89, HoldHistory!M:M, "Final Design Review")</f>
        <v>63.006091527779063</v>
      </c>
    </row>
    <row r="90" spans="1:9" x14ac:dyDescent="0.35">
      <c r="A90" t="str">
        <v>CAS-178009-N9J0G4</v>
      </c>
      <c r="B90">
        <f>SUMIFS(HoldHistory!Q:Q, HoldHistory!A:A, A90, HoldHistory!M:M, "Triage")</f>
        <v>0</v>
      </c>
      <c r="C90">
        <f>SUMIFS(HoldHistory!Q:Q, HoldHistory!A:A, A90, HoldHistory!M:M, "Task Plan")</f>
        <v>0</v>
      </c>
      <c r="D90">
        <f>SUMIFS(HoldHistory!Q:Q, HoldHistory!A:A, A90, HoldHistory!M:M, "Initial Design Review")</f>
        <v>0</v>
      </c>
      <c r="E90">
        <f>SUMIFS(HoldHistory!Q:Q, HoldHistory!A:A, A90, HoldHistory!M:M, "ReCAP")</f>
        <v>0</v>
      </c>
      <c r="F90">
        <f>SUMIFS(HoldHistory!Q:Q, HoldHistory!A:A, A90, HoldHistory!M:M, "Draft EA")</f>
        <v>0</v>
      </c>
      <c r="G90">
        <f>SUMIFS(HoldHistory!Q:Q, HoldHistory!A:A, A90, HoldHistory!M:M, "Structures Pre-SAM")</f>
        <v>0</v>
      </c>
      <c r="H90">
        <f>SUMIFS(HoldHistory!Q:Q, HoldHistory!A:A, A90, HoldHistory!M:M, "Structures SAM")</f>
        <v>135.08897734954371</v>
      </c>
      <c r="I90">
        <f>SUMIFS(HoldHistory!Q:Q, HoldHistory!A:A, A90, HoldHistory!M:M, "Final Design Review")</f>
        <v>0</v>
      </c>
    </row>
    <row r="91" spans="1:9" x14ac:dyDescent="0.35">
      <c r="A91" t="str">
        <v>CAS-178536-C4R6D7</v>
      </c>
      <c r="B91">
        <f>SUMIFS(HoldHistory!Q:Q, HoldHistory!A:A, A91, HoldHistory!M:M, "Triage")</f>
        <v>0</v>
      </c>
      <c r="C91">
        <f>SUMIFS(HoldHistory!Q:Q, HoldHistory!A:A, A91, HoldHistory!M:M, "Task Plan")</f>
        <v>0</v>
      </c>
      <c r="D91">
        <f>SUMIFS(HoldHistory!Q:Q, HoldHistory!A:A, A91, HoldHistory!M:M, "Initial Design Review")</f>
        <v>0</v>
      </c>
      <c r="E91">
        <f>SUMIFS(HoldHistory!Q:Q, HoldHistory!A:A, A91, HoldHistory!M:M, "ReCAP")</f>
        <v>0</v>
      </c>
      <c r="F91">
        <f>SUMIFS(HoldHistory!Q:Q, HoldHistory!A:A, A91, HoldHistory!M:M, "Draft EA")</f>
        <v>83</v>
      </c>
      <c r="G91">
        <f>SUMIFS(HoldHistory!Q:Q, HoldHistory!A:A, A91, HoldHistory!M:M, "Structures Pre-SAM")</f>
        <v>43</v>
      </c>
      <c r="H91">
        <f>SUMIFS(HoldHistory!Q:Q, HoldHistory!A:A, A91, HoldHistory!M:M, "Structures SAM")</f>
        <v>45</v>
      </c>
      <c r="I91">
        <f>SUMIFS(HoldHistory!Q:Q, HoldHistory!A:A, A91, HoldHistory!M:M, "Final Design Review")</f>
        <v>2</v>
      </c>
    </row>
    <row r="92" spans="1:9" x14ac:dyDescent="0.35">
      <c r="A92" t="str">
        <v>CAS-179279-H5P1Q4</v>
      </c>
      <c r="B92">
        <f>SUMIFS(HoldHistory!Q:Q, HoldHistory!A:A, A92, HoldHistory!M:M, "Triage")</f>
        <v>0</v>
      </c>
      <c r="C92">
        <f>SUMIFS(HoldHistory!Q:Q, HoldHistory!A:A, A92, HoldHistory!M:M, "Task Plan")</f>
        <v>0</v>
      </c>
      <c r="D92">
        <f>SUMIFS(HoldHistory!Q:Q, HoldHistory!A:A, A92, HoldHistory!M:M, "Initial Design Review")</f>
        <v>0</v>
      </c>
      <c r="E92">
        <f>SUMIFS(HoldHistory!Q:Q, HoldHistory!A:A, A92, HoldHistory!M:M, "ReCAP")</f>
        <v>0</v>
      </c>
      <c r="F92">
        <f>SUMIFS(HoldHistory!Q:Q, HoldHistory!A:A, A92, HoldHistory!M:M, "Draft EA")</f>
        <v>0</v>
      </c>
      <c r="G92">
        <f>SUMIFS(HoldHistory!Q:Q, HoldHistory!A:A, A92, HoldHistory!M:M, "Structures Pre-SAM")</f>
        <v>0</v>
      </c>
      <c r="H92">
        <f>SUMIFS(HoldHistory!Q:Q, HoldHistory!A:A, A92, HoldHistory!M:M, "Structures SAM")</f>
        <v>0</v>
      </c>
      <c r="I92">
        <f>SUMIFS(HoldHistory!Q:Q, HoldHistory!A:A, A92, HoldHistory!M:M, "Final Design Review")</f>
        <v>0</v>
      </c>
    </row>
    <row r="93" spans="1:9" x14ac:dyDescent="0.35">
      <c r="A93" t="str">
        <v>CAS-181064-P9L4R0</v>
      </c>
      <c r="B93">
        <f>SUMIFS(HoldHistory!Q:Q, HoldHistory!A:A, A93, HoldHistory!M:M, "Triage")</f>
        <v>0</v>
      </c>
      <c r="C93">
        <f>SUMIFS(HoldHistory!Q:Q, HoldHistory!A:A, A93, HoldHistory!M:M, "Task Plan")</f>
        <v>0</v>
      </c>
      <c r="D93">
        <f>SUMIFS(HoldHistory!Q:Q, HoldHistory!A:A, A93, HoldHistory!M:M, "Initial Design Review")</f>
        <v>0</v>
      </c>
      <c r="E93">
        <f>SUMIFS(HoldHistory!Q:Q, HoldHistory!A:A, A93, HoldHistory!M:M, "ReCAP")</f>
        <v>0</v>
      </c>
      <c r="F93">
        <f>SUMIFS(HoldHistory!Q:Q, HoldHistory!A:A, A93, HoldHistory!M:M, "Draft EA")</f>
        <v>0</v>
      </c>
      <c r="G93">
        <f>SUMIFS(HoldHistory!Q:Q, HoldHistory!A:A, A93, HoldHistory!M:M, "Structures Pre-SAM")</f>
        <v>0</v>
      </c>
      <c r="H93">
        <f>SUMIFS(HoldHistory!Q:Q, HoldHistory!A:A, A93, HoldHistory!M:M, "Structures SAM")</f>
        <v>0</v>
      </c>
      <c r="I93">
        <f>SUMIFS(HoldHistory!Q:Q, HoldHistory!A:A, A93, HoldHistory!M:M, "Final Design Review")</f>
        <v>0</v>
      </c>
    </row>
    <row r="94" spans="1:9" x14ac:dyDescent="0.35">
      <c r="A94" t="str">
        <v>CAS-181187-B9Z8W4</v>
      </c>
      <c r="B94">
        <f>SUMIFS(HoldHistory!Q:Q, HoldHistory!A:A, A94, HoldHistory!M:M, "Triage")</f>
        <v>0</v>
      </c>
      <c r="C94">
        <f>SUMIFS(HoldHistory!Q:Q, HoldHistory!A:A, A94, HoldHistory!M:M, "Task Plan")</f>
        <v>0</v>
      </c>
      <c r="D94">
        <f>SUMIFS(HoldHistory!Q:Q, HoldHistory!A:A, A94, HoldHistory!M:M, "Initial Design Review")</f>
        <v>0</v>
      </c>
      <c r="E94">
        <f>SUMIFS(HoldHistory!Q:Q, HoldHistory!A:A, A94, HoldHistory!M:M, "ReCAP")</f>
        <v>0</v>
      </c>
      <c r="F94">
        <f>SUMIFS(HoldHistory!Q:Q, HoldHistory!A:A, A94, HoldHistory!M:M, "Draft EA")</f>
        <v>0</v>
      </c>
      <c r="G94">
        <f>SUMIFS(HoldHistory!Q:Q, HoldHistory!A:A, A94, HoldHistory!M:M, "Structures Pre-SAM")</f>
        <v>0</v>
      </c>
      <c r="H94">
        <f>SUMIFS(HoldHistory!Q:Q, HoldHistory!A:A, A94, HoldHistory!M:M, "Structures SAM")</f>
        <v>0</v>
      </c>
      <c r="I94">
        <f>SUMIFS(HoldHistory!Q:Q, HoldHistory!A:A, A94, HoldHistory!M:M, "Final Design Review")</f>
        <v>0</v>
      </c>
    </row>
    <row r="95" spans="1:9" x14ac:dyDescent="0.35">
      <c r="A95" t="str">
        <v>CAS-181701-Q2R9F0</v>
      </c>
      <c r="B95">
        <f>SUMIFS(HoldHistory!Q:Q, HoldHistory!A:A, A95, HoldHistory!M:M, "Triage")</f>
        <v>0</v>
      </c>
      <c r="C95">
        <f>SUMIFS(HoldHistory!Q:Q, HoldHistory!A:A, A95, HoldHistory!M:M, "Task Plan")</f>
        <v>0</v>
      </c>
      <c r="D95">
        <f>SUMIFS(HoldHistory!Q:Q, HoldHistory!A:A, A95, HoldHistory!M:M, "Initial Design Review")</f>
        <v>0</v>
      </c>
      <c r="E95">
        <f>SUMIFS(HoldHistory!Q:Q, HoldHistory!A:A, A95, HoldHistory!M:M, "ReCAP")</f>
        <v>0</v>
      </c>
      <c r="F95">
        <f>SUMIFS(HoldHistory!Q:Q, HoldHistory!A:A, A95, HoldHistory!M:M, "Draft EA")</f>
        <v>0</v>
      </c>
      <c r="G95">
        <f>SUMIFS(HoldHistory!Q:Q, HoldHistory!A:A, A95, HoldHistory!M:M, "Structures Pre-SAM")</f>
        <v>0</v>
      </c>
      <c r="H95">
        <f>SUMIFS(HoldHistory!Q:Q, HoldHistory!A:A, A95, HoldHistory!M:M, "Structures SAM")</f>
        <v>0</v>
      </c>
      <c r="I95">
        <f>SUMIFS(HoldHistory!Q:Q, HoldHistory!A:A, A95, HoldHistory!M:M, "Final Design Review")</f>
        <v>0</v>
      </c>
    </row>
    <row r="96" spans="1:9" x14ac:dyDescent="0.35">
      <c r="A96" t="str">
        <v>CAS-182115-R9C4C5</v>
      </c>
      <c r="B96">
        <f>SUMIFS(HoldHistory!Q:Q, HoldHistory!A:A, A96, HoldHistory!M:M, "Triage")</f>
        <v>0</v>
      </c>
      <c r="C96">
        <f>SUMIFS(HoldHistory!Q:Q, HoldHistory!A:A, A96, HoldHistory!M:M, "Task Plan")</f>
        <v>0</v>
      </c>
      <c r="D96">
        <f>SUMIFS(HoldHistory!Q:Q, HoldHistory!A:A, A96, HoldHistory!M:M, "Initial Design Review")</f>
        <v>0</v>
      </c>
      <c r="E96">
        <f>SUMIFS(HoldHistory!Q:Q, HoldHistory!A:A, A96, HoldHistory!M:M, "ReCAP")</f>
        <v>0</v>
      </c>
      <c r="F96">
        <f>SUMIFS(HoldHistory!Q:Q, HoldHistory!A:A, A96, HoldHistory!M:M, "Draft EA")</f>
        <v>0</v>
      </c>
      <c r="G96">
        <f>SUMIFS(HoldHistory!Q:Q, HoldHistory!A:A, A96, HoldHistory!M:M, "Structures Pre-SAM")</f>
        <v>0</v>
      </c>
      <c r="H96">
        <f>SUMIFS(HoldHistory!Q:Q, HoldHistory!A:A, A96, HoldHistory!M:M, "Structures SAM")</f>
        <v>0</v>
      </c>
      <c r="I96">
        <f>SUMIFS(HoldHistory!Q:Q, HoldHistory!A:A, A96, HoldHistory!M:M, "Final Design Review")</f>
        <v>39.948579178242653</v>
      </c>
    </row>
    <row r="97" spans="1:9" x14ac:dyDescent="0.35">
      <c r="A97" t="str">
        <v>CAS-182120-V6R1X7</v>
      </c>
      <c r="B97">
        <f>SUMIFS(HoldHistory!Q:Q, HoldHistory!A:A, A97, HoldHistory!M:M, "Triage")</f>
        <v>0</v>
      </c>
      <c r="C97">
        <f>SUMIFS(HoldHistory!Q:Q, HoldHistory!A:A, A97, HoldHistory!M:M, "Task Plan")</f>
        <v>0</v>
      </c>
      <c r="D97">
        <f>SUMIFS(HoldHistory!Q:Q, HoldHistory!A:A, A97, HoldHistory!M:M, "Initial Design Review")</f>
        <v>0</v>
      </c>
      <c r="E97">
        <f>SUMIFS(HoldHistory!Q:Q, HoldHistory!A:A, A97, HoldHistory!M:M, "ReCAP")</f>
        <v>0</v>
      </c>
      <c r="F97">
        <f>SUMIFS(HoldHistory!Q:Q, HoldHistory!A:A, A97, HoldHistory!M:M, "Draft EA")</f>
        <v>0</v>
      </c>
      <c r="G97">
        <f>SUMIFS(HoldHistory!Q:Q, HoldHistory!A:A, A97, HoldHistory!M:M, "Structures Pre-SAM")</f>
        <v>0</v>
      </c>
      <c r="H97">
        <f>SUMIFS(HoldHistory!Q:Q, HoldHistory!A:A, A97, HoldHistory!M:M, "Structures SAM")</f>
        <v>0</v>
      </c>
      <c r="I97">
        <f>SUMIFS(HoldHistory!Q:Q, HoldHistory!A:A, A97, HoldHistory!M:M, "Final Design Review")</f>
        <v>0</v>
      </c>
    </row>
    <row r="98" spans="1:9" x14ac:dyDescent="0.35">
      <c r="A98" t="str">
        <v>CAS-182240-L0K8H7</v>
      </c>
      <c r="B98">
        <f>SUMIFS(HoldHistory!Q:Q, HoldHistory!A:A, A98, HoldHistory!M:M, "Triage")</f>
        <v>0</v>
      </c>
      <c r="C98">
        <f>SUMIFS(HoldHistory!Q:Q, HoldHistory!A:A, A98, HoldHistory!M:M, "Task Plan")</f>
        <v>0</v>
      </c>
      <c r="D98">
        <f>SUMIFS(HoldHistory!Q:Q, HoldHistory!A:A, A98, HoldHistory!M:M, "Initial Design Review")</f>
        <v>0</v>
      </c>
      <c r="E98">
        <f>SUMIFS(HoldHistory!Q:Q, HoldHistory!A:A, A98, HoldHistory!M:M, "ReCAP")</f>
        <v>0</v>
      </c>
      <c r="F98">
        <f>SUMIFS(HoldHistory!Q:Q, HoldHistory!A:A, A98, HoldHistory!M:M, "Draft EA")</f>
        <v>0</v>
      </c>
      <c r="G98">
        <f>SUMIFS(HoldHistory!Q:Q, HoldHistory!A:A, A98, HoldHistory!M:M, "Structures Pre-SAM")</f>
        <v>0</v>
      </c>
      <c r="H98">
        <f>SUMIFS(HoldHistory!Q:Q, HoldHistory!A:A, A98, HoldHistory!M:M, "Structures SAM")</f>
        <v>0</v>
      </c>
      <c r="I98">
        <f>SUMIFS(HoldHistory!Q:Q, HoldHistory!A:A, A98, HoldHistory!M:M, "Final Design Review")</f>
        <v>0</v>
      </c>
    </row>
    <row r="99" spans="1:9" x14ac:dyDescent="0.35">
      <c r="A99" t="str">
        <v>CAS-182452-B7Y6S8</v>
      </c>
      <c r="B99">
        <f>SUMIFS(HoldHistory!Q:Q, HoldHistory!A:A, A99, HoldHistory!M:M, "Triage")</f>
        <v>0</v>
      </c>
      <c r="C99">
        <f>SUMIFS(HoldHistory!Q:Q, HoldHistory!A:A, A99, HoldHistory!M:M, "Task Plan")</f>
        <v>0</v>
      </c>
      <c r="D99">
        <f>SUMIFS(HoldHistory!Q:Q, HoldHistory!A:A, A99, HoldHistory!M:M, "Initial Design Review")</f>
        <v>0</v>
      </c>
      <c r="E99">
        <f>SUMIFS(HoldHistory!Q:Q, HoldHistory!A:A, A99, HoldHistory!M:M, "ReCAP")</f>
        <v>0</v>
      </c>
      <c r="F99">
        <f>SUMIFS(HoldHistory!Q:Q, HoldHistory!A:A, A99, HoldHistory!M:M, "Draft EA")</f>
        <v>0</v>
      </c>
      <c r="G99">
        <f>SUMIFS(HoldHistory!Q:Q, HoldHistory!A:A, A99, HoldHistory!M:M, "Structures Pre-SAM")</f>
        <v>104</v>
      </c>
      <c r="H99">
        <f>SUMIFS(HoldHistory!Q:Q, HoldHistory!A:A, A99, HoldHistory!M:M, "Structures SAM")</f>
        <v>0</v>
      </c>
      <c r="I99">
        <f>SUMIFS(HoldHistory!Q:Q, HoldHistory!A:A, A99, HoldHistory!M:M, "Final Design Review")</f>
        <v>0</v>
      </c>
    </row>
    <row r="100" spans="1:9" x14ac:dyDescent="0.35">
      <c r="A100" t="str">
        <v>CAS-187068-V6Z7F6</v>
      </c>
      <c r="B100">
        <f>SUMIFS(HoldHistory!Q:Q, HoldHistory!A:A, A100, HoldHistory!M:M, "Triage")</f>
        <v>0</v>
      </c>
      <c r="C100">
        <f>SUMIFS(HoldHistory!Q:Q, HoldHistory!A:A, A100, HoldHistory!M:M, "Task Plan")</f>
        <v>0</v>
      </c>
      <c r="D100">
        <f>SUMIFS(HoldHistory!Q:Q, HoldHistory!A:A, A100, HoldHistory!M:M, "Initial Design Review")</f>
        <v>0</v>
      </c>
      <c r="E100">
        <f>SUMIFS(HoldHistory!Q:Q, HoldHistory!A:A, A100, HoldHistory!M:M, "ReCAP")</f>
        <v>0</v>
      </c>
      <c r="F100">
        <f>SUMIFS(HoldHistory!Q:Q, HoldHistory!A:A, A100, HoldHistory!M:M, "Draft EA")</f>
        <v>0</v>
      </c>
      <c r="G100">
        <f>SUMIFS(HoldHistory!Q:Q, HoldHistory!A:A, A100, HoldHistory!M:M, "Structures Pre-SAM")</f>
        <v>0</v>
      </c>
      <c r="H100">
        <f>SUMIFS(HoldHistory!Q:Q, HoldHistory!A:A, A100, HoldHistory!M:M, "Structures SAM")</f>
        <v>0</v>
      </c>
      <c r="I100">
        <f>SUMIFS(HoldHistory!Q:Q, HoldHistory!A:A, A100, HoldHistory!M:M, "Final Design Review")</f>
        <v>0</v>
      </c>
    </row>
    <row r="101" spans="1:9" x14ac:dyDescent="0.35">
      <c r="A101" t="str">
        <v>CAS-187831-X7G5J9</v>
      </c>
      <c r="B101">
        <f>SUMIFS(HoldHistory!Q:Q, HoldHistory!A:A, A101, HoldHistory!M:M, "Triage")</f>
        <v>0</v>
      </c>
      <c r="C101">
        <f>SUMIFS(HoldHistory!Q:Q, HoldHistory!A:A, A101, HoldHistory!M:M, "Task Plan")</f>
        <v>0</v>
      </c>
      <c r="D101">
        <f>SUMIFS(HoldHistory!Q:Q, HoldHistory!A:A, A101, HoldHistory!M:M, "Initial Design Review")</f>
        <v>0</v>
      </c>
      <c r="E101">
        <f>SUMIFS(HoldHistory!Q:Q, HoldHistory!A:A, A101, HoldHistory!M:M, "ReCAP")</f>
        <v>0</v>
      </c>
      <c r="F101">
        <f>SUMIFS(HoldHistory!Q:Q, HoldHistory!A:A, A101, HoldHistory!M:M, "Draft EA")</f>
        <v>0</v>
      </c>
      <c r="G101">
        <f>SUMIFS(HoldHistory!Q:Q, HoldHistory!A:A, A101, HoldHistory!M:M, "Structures Pre-SAM")</f>
        <v>0</v>
      </c>
      <c r="H101">
        <f>SUMIFS(HoldHistory!Q:Q, HoldHistory!A:A, A101, HoldHistory!M:M, "Structures SAM")</f>
        <v>0</v>
      </c>
      <c r="I101">
        <f>SUMIFS(HoldHistory!Q:Q, HoldHistory!A:A, A101, HoldHistory!M:M, "Final Design Review")</f>
        <v>0</v>
      </c>
    </row>
    <row r="102" spans="1:9" x14ac:dyDescent="0.35">
      <c r="A102" t="str">
        <v>CAS-187852-V3P2X4</v>
      </c>
      <c r="B102">
        <f>SUMIFS(HoldHistory!Q:Q, HoldHistory!A:A, A102, HoldHistory!M:M, "Triage")</f>
        <v>0</v>
      </c>
      <c r="C102">
        <f>SUMIFS(HoldHistory!Q:Q, HoldHistory!A:A, A102, HoldHistory!M:M, "Task Plan")</f>
        <v>0</v>
      </c>
      <c r="D102">
        <f>SUMIFS(HoldHistory!Q:Q, HoldHistory!A:A, A102, HoldHistory!M:M, "Initial Design Review")</f>
        <v>0</v>
      </c>
      <c r="E102">
        <f>SUMIFS(HoldHistory!Q:Q, HoldHistory!A:A, A102, HoldHistory!M:M, "ReCAP")</f>
        <v>0</v>
      </c>
      <c r="F102">
        <f>SUMIFS(HoldHistory!Q:Q, HoldHistory!A:A, A102, HoldHistory!M:M, "Draft EA")</f>
        <v>0</v>
      </c>
      <c r="G102">
        <f>SUMIFS(HoldHistory!Q:Q, HoldHistory!A:A, A102, HoldHistory!M:M, "Structures Pre-SAM")</f>
        <v>21</v>
      </c>
      <c r="H102">
        <f>SUMIFS(HoldHistory!Q:Q, HoldHistory!A:A, A102, HoldHistory!M:M, "Structures SAM")</f>
        <v>32</v>
      </c>
      <c r="I102">
        <f>SUMIFS(HoldHistory!Q:Q, HoldHistory!A:A, A102, HoldHistory!M:M, "Final Design Review")</f>
        <v>0</v>
      </c>
    </row>
    <row r="103" spans="1:9" x14ac:dyDescent="0.35">
      <c r="A103" t="str">
        <v>CAS-187920-C2T7Y8</v>
      </c>
      <c r="B103">
        <f>SUMIFS(HoldHistory!Q:Q, HoldHistory!A:A, A103, HoldHistory!M:M, "Triage")</f>
        <v>0</v>
      </c>
      <c r="C103">
        <f>SUMIFS(HoldHistory!Q:Q, HoldHistory!A:A, A103, HoldHistory!M:M, "Task Plan")</f>
        <v>0</v>
      </c>
      <c r="D103">
        <f>SUMIFS(HoldHistory!Q:Q, HoldHistory!A:A, A103, HoldHistory!M:M, "Initial Design Review")</f>
        <v>0</v>
      </c>
      <c r="E103">
        <f>SUMIFS(HoldHistory!Q:Q, HoldHistory!A:A, A103, HoldHistory!M:M, "ReCAP")</f>
        <v>0</v>
      </c>
      <c r="F103">
        <f>SUMIFS(HoldHistory!Q:Q, HoldHistory!A:A, A103, HoldHistory!M:M, "Draft EA")</f>
        <v>0</v>
      </c>
      <c r="G103">
        <f>SUMIFS(HoldHistory!Q:Q, HoldHistory!A:A, A103, HoldHistory!M:M, "Structures Pre-SAM")</f>
        <v>0</v>
      </c>
      <c r="H103">
        <f>SUMIFS(HoldHistory!Q:Q, HoldHistory!A:A, A103, HoldHistory!M:M, "Structures SAM")</f>
        <v>0</v>
      </c>
      <c r="I103">
        <f>SUMIFS(HoldHistory!Q:Q, HoldHistory!A:A, A103, HoldHistory!M:M, "Final Design Review")</f>
        <v>13</v>
      </c>
    </row>
    <row r="104" spans="1:9" x14ac:dyDescent="0.35">
      <c r="A104" t="str">
        <v>CAS-187986-C6Y4Y9</v>
      </c>
      <c r="B104">
        <f>SUMIFS(HoldHistory!Q:Q, HoldHistory!A:A, A104, HoldHistory!M:M, "Triage")</f>
        <v>0</v>
      </c>
      <c r="C104">
        <f>SUMIFS(HoldHistory!Q:Q, HoldHistory!A:A, A104, HoldHistory!M:M, "Task Plan")</f>
        <v>0</v>
      </c>
      <c r="D104">
        <f>SUMIFS(HoldHistory!Q:Q, HoldHistory!A:A, A104, HoldHistory!M:M, "Initial Design Review")</f>
        <v>0</v>
      </c>
      <c r="E104">
        <f>SUMIFS(HoldHistory!Q:Q, HoldHistory!A:A, A104, HoldHistory!M:M, "ReCAP")</f>
        <v>0</v>
      </c>
      <c r="F104">
        <f>SUMIFS(HoldHistory!Q:Q, HoldHistory!A:A, A104, HoldHistory!M:M, "Draft EA")</f>
        <v>0</v>
      </c>
      <c r="G104">
        <f>SUMIFS(HoldHistory!Q:Q, HoldHistory!A:A, A104, HoldHistory!M:M, "Structures Pre-SAM")</f>
        <v>135</v>
      </c>
      <c r="H104">
        <f>SUMIFS(HoldHistory!Q:Q, HoldHistory!A:A, A104, HoldHistory!M:M, "Structures SAM")</f>
        <v>0</v>
      </c>
      <c r="I104">
        <f>SUMIFS(HoldHistory!Q:Q, HoldHistory!A:A, A104, HoldHistory!M:M, "Final Design Review")</f>
        <v>0</v>
      </c>
    </row>
    <row r="105" spans="1:9" x14ac:dyDescent="0.35">
      <c r="A105" t="str">
        <v>CAS-188088-V4W3L7</v>
      </c>
      <c r="B105">
        <f>SUMIFS(HoldHistory!Q:Q, HoldHistory!A:A, A105, HoldHistory!M:M, "Triage")</f>
        <v>0</v>
      </c>
      <c r="C105">
        <f>SUMIFS(HoldHistory!Q:Q, HoldHistory!A:A, A105, HoldHistory!M:M, "Task Plan")</f>
        <v>0</v>
      </c>
      <c r="D105">
        <f>SUMIFS(HoldHistory!Q:Q, HoldHistory!A:A, A105, HoldHistory!M:M, "Initial Design Review")</f>
        <v>0</v>
      </c>
      <c r="E105">
        <f>SUMIFS(HoldHistory!Q:Q, HoldHistory!A:A, A105, HoldHistory!M:M, "ReCAP")</f>
        <v>0</v>
      </c>
      <c r="F105">
        <f>SUMIFS(HoldHistory!Q:Q, HoldHistory!A:A, A105, HoldHistory!M:M, "Draft EA")</f>
        <v>0</v>
      </c>
      <c r="G105">
        <f>SUMIFS(HoldHistory!Q:Q, HoldHistory!A:A, A105, HoldHistory!M:M, "Structures Pre-SAM")</f>
        <v>0</v>
      </c>
      <c r="H105">
        <f>SUMIFS(HoldHistory!Q:Q, HoldHistory!A:A, A105, HoldHistory!M:M, "Structures SAM")</f>
        <v>0</v>
      </c>
      <c r="I105">
        <f>SUMIFS(HoldHistory!Q:Q, HoldHistory!A:A, A105, HoldHistory!M:M, "Final Design Review")</f>
        <v>0</v>
      </c>
    </row>
    <row r="106" spans="1:9" x14ac:dyDescent="0.35">
      <c r="A106" t="str">
        <v>CAS-188278-C5C9R1</v>
      </c>
      <c r="B106">
        <f>SUMIFS(HoldHistory!Q:Q, HoldHistory!A:A, A106, HoldHistory!M:M, "Triage")</f>
        <v>0</v>
      </c>
      <c r="C106">
        <f>SUMIFS(HoldHistory!Q:Q, HoldHistory!A:A, A106, HoldHistory!M:M, "Task Plan")</f>
        <v>0</v>
      </c>
      <c r="D106">
        <f>SUMIFS(HoldHistory!Q:Q, HoldHistory!A:A, A106, HoldHistory!M:M, "Initial Design Review")</f>
        <v>0</v>
      </c>
      <c r="E106">
        <f>SUMIFS(HoldHistory!Q:Q, HoldHistory!A:A, A106, HoldHistory!M:M, "ReCAP")</f>
        <v>0</v>
      </c>
      <c r="F106">
        <f>SUMIFS(HoldHistory!Q:Q, HoldHistory!A:A, A106, HoldHistory!M:M, "Draft EA")</f>
        <v>0</v>
      </c>
      <c r="G106">
        <f>SUMIFS(HoldHistory!Q:Q, HoldHistory!A:A, A106, HoldHistory!M:M, "Structures Pre-SAM")</f>
        <v>26</v>
      </c>
      <c r="H106">
        <f>SUMIFS(HoldHistory!Q:Q, HoldHistory!A:A, A106, HoldHistory!M:M, "Structures SAM")</f>
        <v>0</v>
      </c>
      <c r="I106">
        <f>SUMIFS(HoldHistory!Q:Q, HoldHistory!A:A, A106, HoldHistory!M:M, "Final Design Review")</f>
        <v>0</v>
      </c>
    </row>
    <row r="107" spans="1:9" x14ac:dyDescent="0.35">
      <c r="A107" t="str">
        <v>CAS-188469-S2Y6D0</v>
      </c>
      <c r="B107">
        <f>SUMIFS(HoldHistory!Q:Q, HoldHistory!A:A, A107, HoldHistory!M:M, "Triage")</f>
        <v>0</v>
      </c>
      <c r="C107">
        <f>SUMIFS(HoldHistory!Q:Q, HoldHistory!A:A, A107, HoldHistory!M:M, "Task Plan")</f>
        <v>0</v>
      </c>
      <c r="D107">
        <f>SUMIFS(HoldHistory!Q:Q, HoldHistory!A:A, A107, HoldHistory!M:M, "Initial Design Review")</f>
        <v>0</v>
      </c>
      <c r="E107">
        <f>SUMIFS(HoldHistory!Q:Q, HoldHistory!A:A, A107, HoldHistory!M:M, "ReCAP")</f>
        <v>92</v>
      </c>
      <c r="F107">
        <f>SUMIFS(HoldHistory!Q:Q, HoldHistory!A:A, A107, HoldHistory!M:M, "Draft EA")</f>
        <v>0</v>
      </c>
      <c r="G107">
        <f>SUMIFS(HoldHistory!Q:Q, HoldHistory!A:A, A107, HoldHistory!M:M, "Structures Pre-SAM")</f>
        <v>0</v>
      </c>
      <c r="H107">
        <f>SUMIFS(HoldHistory!Q:Q, HoldHistory!A:A, A107, HoldHistory!M:M, "Structures SAM")</f>
        <v>0</v>
      </c>
      <c r="I107">
        <f>SUMIFS(HoldHistory!Q:Q, HoldHistory!A:A, A107, HoldHistory!M:M, "Final Design Review")</f>
        <v>0</v>
      </c>
    </row>
    <row r="108" spans="1:9" x14ac:dyDescent="0.35">
      <c r="A108" t="str">
        <v>CAS-188541-W0M8G7</v>
      </c>
      <c r="B108">
        <f>SUMIFS(HoldHistory!Q:Q, HoldHistory!A:A, A108, HoldHistory!M:M, "Triage")</f>
        <v>0</v>
      </c>
      <c r="C108">
        <f>SUMIFS(HoldHistory!Q:Q, HoldHistory!A:A, A108, HoldHistory!M:M, "Task Plan")</f>
        <v>0</v>
      </c>
      <c r="D108">
        <f>SUMIFS(HoldHistory!Q:Q, HoldHistory!A:A, A108, HoldHistory!M:M, "Initial Design Review")</f>
        <v>0</v>
      </c>
      <c r="E108">
        <f>SUMIFS(HoldHistory!Q:Q, HoldHistory!A:A, A108, HoldHistory!M:M, "ReCAP")</f>
        <v>0</v>
      </c>
      <c r="F108">
        <f>SUMIFS(HoldHistory!Q:Q, HoldHistory!A:A, A108, HoldHistory!M:M, "Draft EA")</f>
        <v>0</v>
      </c>
      <c r="G108">
        <f>SUMIFS(HoldHistory!Q:Q, HoldHistory!A:A, A108, HoldHistory!M:M, "Structures Pre-SAM")</f>
        <v>0</v>
      </c>
      <c r="H108">
        <f>SUMIFS(HoldHistory!Q:Q, HoldHistory!A:A, A108, HoldHistory!M:M, "Structures SAM")</f>
        <v>0</v>
      </c>
      <c r="I108">
        <f>SUMIFS(HoldHistory!Q:Q, HoldHistory!A:A, A108, HoldHistory!M:M, "Final Design Review")</f>
        <v>0</v>
      </c>
    </row>
    <row r="109" spans="1:9" x14ac:dyDescent="0.35">
      <c r="A109" t="str">
        <v>CAS-189465-B1P5S4</v>
      </c>
      <c r="B109">
        <f>SUMIFS(HoldHistory!Q:Q, HoldHistory!A:A, A109, HoldHistory!M:M, "Triage")</f>
        <v>0</v>
      </c>
      <c r="C109">
        <f>SUMIFS(HoldHistory!Q:Q, HoldHistory!A:A, A109, HoldHistory!M:M, "Task Plan")</f>
        <v>0</v>
      </c>
      <c r="D109">
        <f>SUMIFS(HoldHistory!Q:Q, HoldHistory!A:A, A109, HoldHistory!M:M, "Initial Design Review")</f>
        <v>0</v>
      </c>
      <c r="E109">
        <f>SUMIFS(HoldHistory!Q:Q, HoldHistory!A:A, A109, HoldHistory!M:M, "ReCAP")</f>
        <v>0</v>
      </c>
      <c r="F109">
        <f>SUMIFS(HoldHistory!Q:Q, HoldHistory!A:A, A109, HoldHistory!M:M, "Draft EA")</f>
        <v>0</v>
      </c>
      <c r="G109">
        <f>SUMIFS(HoldHistory!Q:Q, HoldHistory!A:A, A109, HoldHistory!M:M, "Structures Pre-SAM")</f>
        <v>5</v>
      </c>
      <c r="H109">
        <f>SUMIFS(HoldHistory!Q:Q, HoldHistory!A:A, A109, HoldHistory!M:M, "Structures SAM")</f>
        <v>0</v>
      </c>
      <c r="I109">
        <f>SUMIFS(HoldHistory!Q:Q, HoldHistory!A:A, A109, HoldHistory!M:M, "Final Design Review")</f>
        <v>0</v>
      </c>
    </row>
    <row r="110" spans="1:9" x14ac:dyDescent="0.35">
      <c r="A110" t="str">
        <v>CAS-189770-Z1K2H2</v>
      </c>
      <c r="B110">
        <f>SUMIFS(HoldHistory!Q:Q, HoldHistory!A:A, A110, HoldHistory!M:M, "Triage")</f>
        <v>0</v>
      </c>
      <c r="C110">
        <f>SUMIFS(HoldHistory!Q:Q, HoldHistory!A:A, A110, HoldHistory!M:M, "Task Plan")</f>
        <v>0</v>
      </c>
      <c r="D110">
        <f>SUMIFS(HoldHistory!Q:Q, HoldHistory!A:A, A110, HoldHistory!M:M, "Initial Design Review")</f>
        <v>0</v>
      </c>
      <c r="E110">
        <f>SUMIFS(HoldHistory!Q:Q, HoldHistory!A:A, A110, HoldHistory!M:M, "ReCAP")</f>
        <v>0</v>
      </c>
      <c r="F110">
        <f>SUMIFS(HoldHistory!Q:Q, HoldHistory!A:A, A110, HoldHistory!M:M, "Draft EA")</f>
        <v>0</v>
      </c>
      <c r="G110">
        <f>SUMIFS(HoldHistory!Q:Q, HoldHistory!A:A, A110, HoldHistory!M:M, "Structures Pre-SAM")</f>
        <v>0</v>
      </c>
      <c r="H110">
        <f>SUMIFS(HoldHistory!Q:Q, HoldHistory!A:A, A110, HoldHistory!M:M, "Structures SAM")</f>
        <v>0</v>
      </c>
      <c r="I110">
        <f>SUMIFS(HoldHistory!Q:Q, HoldHistory!A:A, A110, HoldHistory!M:M, "Final Design Review")</f>
        <v>0</v>
      </c>
    </row>
    <row r="111" spans="1:9" x14ac:dyDescent="0.35">
      <c r="A111" t="str">
        <v>CAS-190328-J7B7P5</v>
      </c>
      <c r="B111">
        <f>SUMIFS(HoldHistory!Q:Q, HoldHistory!A:A, A111, HoldHistory!M:M, "Triage")</f>
        <v>0</v>
      </c>
      <c r="C111">
        <f>SUMIFS(HoldHistory!Q:Q, HoldHistory!A:A, A111, HoldHistory!M:M, "Task Plan")</f>
        <v>0</v>
      </c>
      <c r="D111">
        <f>SUMIFS(HoldHistory!Q:Q, HoldHistory!A:A, A111, HoldHistory!M:M, "Initial Design Review")</f>
        <v>0</v>
      </c>
      <c r="E111">
        <f>SUMIFS(HoldHistory!Q:Q, HoldHistory!A:A, A111, HoldHistory!M:M, "ReCAP")</f>
        <v>0</v>
      </c>
      <c r="F111">
        <f>SUMIFS(HoldHistory!Q:Q, HoldHistory!A:A, A111, HoldHistory!M:M, "Draft EA")</f>
        <v>0</v>
      </c>
      <c r="G111">
        <f>SUMIFS(HoldHistory!Q:Q, HoldHistory!A:A, A111, HoldHistory!M:M, "Structures Pre-SAM")</f>
        <v>55</v>
      </c>
      <c r="H111">
        <f>SUMIFS(HoldHistory!Q:Q, HoldHistory!A:A, A111, HoldHistory!M:M, "Structures SAM")</f>
        <v>0</v>
      </c>
      <c r="I111">
        <f>SUMIFS(HoldHistory!Q:Q, HoldHistory!A:A, A111, HoldHistory!M:M, "Final Design Review")</f>
        <v>0</v>
      </c>
    </row>
    <row r="112" spans="1:9" x14ac:dyDescent="0.35">
      <c r="A112" t="str">
        <v>CAS-190423-P6S3R8</v>
      </c>
      <c r="B112">
        <f>SUMIFS(HoldHistory!Q:Q, HoldHistory!A:A, A112, HoldHistory!M:M, "Triage")</f>
        <v>0</v>
      </c>
      <c r="C112">
        <f>SUMIFS(HoldHistory!Q:Q, HoldHistory!A:A, A112, HoldHistory!M:M, "Task Plan")</f>
        <v>0</v>
      </c>
      <c r="D112">
        <f>SUMIFS(HoldHistory!Q:Q, HoldHistory!A:A, A112, HoldHistory!M:M, "Initial Design Review")</f>
        <v>0</v>
      </c>
      <c r="E112">
        <f>SUMIFS(HoldHistory!Q:Q, HoldHistory!A:A, A112, HoldHistory!M:M, "ReCAP")</f>
        <v>0</v>
      </c>
      <c r="F112">
        <f>SUMIFS(HoldHistory!Q:Q, HoldHistory!A:A, A112, HoldHistory!M:M, "Draft EA")</f>
        <v>0</v>
      </c>
      <c r="G112">
        <f>SUMIFS(HoldHistory!Q:Q, HoldHistory!A:A, A112, HoldHistory!M:M, "Structures Pre-SAM")</f>
        <v>0</v>
      </c>
      <c r="H112">
        <f>SUMIFS(HoldHistory!Q:Q, HoldHistory!A:A, A112, HoldHistory!M:M, "Structures SAM")</f>
        <v>0</v>
      </c>
      <c r="I112">
        <f>SUMIFS(HoldHistory!Q:Q, HoldHistory!A:A, A112, HoldHistory!M:M, "Final Design Review")</f>
        <v>0</v>
      </c>
    </row>
    <row r="113" spans="1:9" x14ac:dyDescent="0.35">
      <c r="A113" t="str">
        <v>CAS-190430-B8D7R0</v>
      </c>
      <c r="B113">
        <f>SUMIFS(HoldHistory!Q:Q, HoldHistory!A:A, A113, HoldHistory!M:M, "Triage")</f>
        <v>0</v>
      </c>
      <c r="C113">
        <f>SUMIFS(HoldHistory!Q:Q, HoldHistory!A:A, A113, HoldHistory!M:M, "Task Plan")</f>
        <v>0</v>
      </c>
      <c r="D113">
        <f>SUMIFS(HoldHistory!Q:Q, HoldHistory!A:A, A113, HoldHistory!M:M, "Initial Design Review")</f>
        <v>0</v>
      </c>
      <c r="E113">
        <f>SUMIFS(HoldHistory!Q:Q, HoldHistory!A:A, A113, HoldHistory!M:M, "ReCAP")</f>
        <v>0</v>
      </c>
      <c r="F113">
        <f>SUMIFS(HoldHistory!Q:Q, HoldHistory!A:A, A113, HoldHistory!M:M, "Draft EA")</f>
        <v>0</v>
      </c>
      <c r="G113">
        <f>SUMIFS(HoldHistory!Q:Q, HoldHistory!A:A, A113, HoldHistory!M:M, "Structures Pre-SAM")</f>
        <v>0</v>
      </c>
      <c r="H113">
        <f>SUMIFS(HoldHistory!Q:Q, HoldHistory!A:A, A113, HoldHistory!M:M, "Structures SAM")</f>
        <v>0</v>
      </c>
      <c r="I113">
        <f>SUMIFS(HoldHistory!Q:Q, HoldHistory!A:A, A113, HoldHistory!M:M, "Final Design Review")</f>
        <v>0</v>
      </c>
    </row>
    <row r="114" spans="1:9" x14ac:dyDescent="0.35">
      <c r="A114" t="str">
        <v>CAS-190502-X6H1T4</v>
      </c>
      <c r="B114">
        <f>SUMIFS(HoldHistory!Q:Q, HoldHistory!A:A, A114, HoldHistory!M:M, "Triage")</f>
        <v>0</v>
      </c>
      <c r="C114">
        <f>SUMIFS(HoldHistory!Q:Q, HoldHistory!A:A, A114, HoldHistory!M:M, "Task Plan")</f>
        <v>0</v>
      </c>
      <c r="D114">
        <f>SUMIFS(HoldHistory!Q:Q, HoldHistory!A:A, A114, HoldHistory!M:M, "Initial Design Review")</f>
        <v>0</v>
      </c>
      <c r="E114">
        <f>SUMIFS(HoldHistory!Q:Q, HoldHistory!A:A, A114, HoldHistory!M:M, "ReCAP")</f>
        <v>0</v>
      </c>
      <c r="F114">
        <f>SUMIFS(HoldHistory!Q:Q, HoldHistory!A:A, A114, HoldHistory!M:M, "Draft EA")</f>
        <v>0</v>
      </c>
      <c r="G114">
        <f>SUMIFS(HoldHistory!Q:Q, HoldHistory!A:A, A114, HoldHistory!M:M, "Structures Pre-SAM")</f>
        <v>0</v>
      </c>
      <c r="H114">
        <f>SUMIFS(HoldHistory!Q:Q, HoldHistory!A:A, A114, HoldHistory!M:M, "Structures SAM")</f>
        <v>0</v>
      </c>
      <c r="I114">
        <f>SUMIFS(HoldHistory!Q:Q, HoldHistory!A:A, A114, HoldHistory!M:M, "Final Design Review")</f>
        <v>0</v>
      </c>
    </row>
    <row r="115" spans="1:9" x14ac:dyDescent="0.35">
      <c r="A115" t="str">
        <v>CAS-190843-V6S2C0</v>
      </c>
      <c r="B115">
        <f>SUMIFS(HoldHistory!Q:Q, HoldHistory!A:A, A115, HoldHistory!M:M, "Triage")</f>
        <v>0</v>
      </c>
      <c r="C115">
        <f>SUMIFS(HoldHistory!Q:Q, HoldHistory!A:A, A115, HoldHistory!M:M, "Task Plan")</f>
        <v>0</v>
      </c>
      <c r="D115">
        <f>SUMIFS(HoldHistory!Q:Q, HoldHistory!A:A, A115, HoldHistory!M:M, "Initial Design Review")</f>
        <v>0</v>
      </c>
      <c r="E115">
        <f>SUMIFS(HoldHistory!Q:Q, HoldHistory!A:A, A115, HoldHistory!M:M, "ReCAP")</f>
        <v>0</v>
      </c>
      <c r="F115">
        <f>SUMIFS(HoldHistory!Q:Q, HoldHistory!A:A, A115, HoldHistory!M:M, "Draft EA")</f>
        <v>0</v>
      </c>
      <c r="G115">
        <f>SUMIFS(HoldHistory!Q:Q, HoldHistory!A:A, A115, HoldHistory!M:M, "Structures Pre-SAM")</f>
        <v>0</v>
      </c>
      <c r="H115">
        <f>SUMIFS(HoldHistory!Q:Q, HoldHistory!A:A, A115, HoldHistory!M:M, "Structures SAM")</f>
        <v>0</v>
      </c>
      <c r="I115">
        <f>SUMIFS(HoldHistory!Q:Q, HoldHistory!A:A, A115, HoldHistory!M:M, "Final Design Review")</f>
        <v>0</v>
      </c>
    </row>
    <row r="116" spans="1:9" x14ac:dyDescent="0.35">
      <c r="A116" t="str">
        <v>CAS-190971-Q1Q9K7</v>
      </c>
      <c r="B116">
        <f>SUMIFS(HoldHistory!Q:Q, HoldHistory!A:A, A116, HoldHistory!M:M, "Triage")</f>
        <v>0</v>
      </c>
      <c r="C116">
        <f>SUMIFS(HoldHistory!Q:Q, HoldHistory!A:A, A116, HoldHistory!M:M, "Task Plan")</f>
        <v>0</v>
      </c>
      <c r="D116">
        <f>SUMIFS(HoldHistory!Q:Q, HoldHistory!A:A, A116, HoldHistory!M:M, "Initial Design Review")</f>
        <v>0</v>
      </c>
      <c r="E116">
        <f>SUMIFS(HoldHistory!Q:Q, HoldHistory!A:A, A116, HoldHistory!M:M, "ReCAP")</f>
        <v>0</v>
      </c>
      <c r="F116">
        <f>SUMIFS(HoldHistory!Q:Q, HoldHistory!A:A, A116, HoldHistory!M:M, "Draft EA")</f>
        <v>0</v>
      </c>
      <c r="G116">
        <f>SUMIFS(HoldHistory!Q:Q, HoldHistory!A:A, A116, HoldHistory!M:M, "Structures Pre-SAM")</f>
        <v>0</v>
      </c>
      <c r="H116">
        <f>SUMIFS(HoldHistory!Q:Q, HoldHistory!A:A, A116, HoldHistory!M:M, "Structures SAM")</f>
        <v>0</v>
      </c>
      <c r="I116">
        <f>SUMIFS(HoldHistory!Q:Q, HoldHistory!A:A, A116, HoldHistory!M:M, "Final Design Review")</f>
        <v>0</v>
      </c>
    </row>
    <row r="117" spans="1:9" x14ac:dyDescent="0.35">
      <c r="A117" t="str">
        <v>CAS-191008-B3K4J5</v>
      </c>
      <c r="B117">
        <f>SUMIFS(HoldHistory!Q:Q, HoldHistory!A:A, A117, HoldHistory!M:M, "Triage")</f>
        <v>0</v>
      </c>
      <c r="C117">
        <f>SUMIFS(HoldHistory!Q:Q, HoldHistory!A:A, A117, HoldHistory!M:M, "Task Plan")</f>
        <v>0</v>
      </c>
      <c r="D117">
        <f>SUMIFS(HoldHistory!Q:Q, HoldHistory!A:A, A117, HoldHistory!M:M, "Initial Design Review")</f>
        <v>0</v>
      </c>
      <c r="E117">
        <f>SUMIFS(HoldHistory!Q:Q, HoldHistory!A:A, A117, HoldHistory!M:M, "ReCAP")</f>
        <v>0</v>
      </c>
      <c r="F117">
        <f>SUMIFS(HoldHistory!Q:Q, HoldHistory!A:A, A117, HoldHistory!M:M, "Draft EA")</f>
        <v>0</v>
      </c>
      <c r="G117">
        <f>SUMIFS(HoldHistory!Q:Q, HoldHistory!A:A, A117, HoldHistory!M:M, "Structures Pre-SAM")</f>
        <v>0</v>
      </c>
      <c r="H117">
        <f>SUMIFS(HoldHistory!Q:Q, HoldHistory!A:A, A117, HoldHistory!M:M, "Structures SAM")</f>
        <v>0</v>
      </c>
      <c r="I117">
        <f>SUMIFS(HoldHistory!Q:Q, HoldHistory!A:A, A117, HoldHistory!M:M, "Final Design Review")</f>
        <v>0</v>
      </c>
    </row>
    <row r="118" spans="1:9" x14ac:dyDescent="0.35">
      <c r="A118" t="str">
        <v>CAS-191251-Q5T9H9</v>
      </c>
      <c r="B118">
        <f>SUMIFS(HoldHistory!Q:Q, HoldHistory!A:A, A118, HoldHistory!M:M, "Triage")</f>
        <v>0</v>
      </c>
      <c r="C118">
        <f>SUMIFS(HoldHistory!Q:Q, HoldHistory!A:A, A118, HoldHistory!M:M, "Task Plan")</f>
        <v>0</v>
      </c>
      <c r="D118">
        <f>SUMIFS(HoldHistory!Q:Q, HoldHistory!A:A, A118, HoldHistory!M:M, "Initial Design Review")</f>
        <v>0</v>
      </c>
      <c r="E118">
        <f>SUMIFS(HoldHistory!Q:Q, HoldHistory!A:A, A118, HoldHistory!M:M, "ReCAP")</f>
        <v>0</v>
      </c>
      <c r="F118">
        <f>SUMIFS(HoldHistory!Q:Q, HoldHistory!A:A, A118, HoldHistory!M:M, "Draft EA")</f>
        <v>62.069859340277617</v>
      </c>
      <c r="G118">
        <f>SUMIFS(HoldHistory!Q:Q, HoldHistory!A:A, A118, HoldHistory!M:M, "Structures Pre-SAM")</f>
        <v>0</v>
      </c>
      <c r="H118">
        <f>SUMIFS(HoldHistory!Q:Q, HoldHistory!A:A, A118, HoldHistory!M:M, "Structures SAM")</f>
        <v>122.85197964120744</v>
      </c>
      <c r="I118">
        <f>SUMIFS(HoldHistory!Q:Q, HoldHistory!A:A, A118, HoldHistory!M:M, "Final Design Review")</f>
        <v>0</v>
      </c>
    </row>
    <row r="119" spans="1:9" x14ac:dyDescent="0.35">
      <c r="A119" t="str">
        <v>CAS-192478-B0K2T1</v>
      </c>
      <c r="B119">
        <f>SUMIFS(HoldHistory!Q:Q, HoldHistory!A:A, A119, HoldHistory!M:M, "Triage")</f>
        <v>0</v>
      </c>
      <c r="C119">
        <f>SUMIFS(HoldHistory!Q:Q, HoldHistory!A:A, A119, HoldHistory!M:M, "Task Plan")</f>
        <v>0</v>
      </c>
      <c r="D119">
        <f>SUMIFS(HoldHistory!Q:Q, HoldHistory!A:A, A119, HoldHistory!M:M, "Initial Design Review")</f>
        <v>0</v>
      </c>
      <c r="E119">
        <f>SUMIFS(HoldHistory!Q:Q, HoldHistory!A:A, A119, HoldHistory!M:M, "ReCAP")</f>
        <v>0</v>
      </c>
      <c r="F119">
        <f>SUMIFS(HoldHistory!Q:Q, HoldHistory!A:A, A119, HoldHistory!M:M, "Draft EA")</f>
        <v>0</v>
      </c>
      <c r="G119">
        <f>SUMIFS(HoldHistory!Q:Q, HoldHistory!A:A, A119, HoldHistory!M:M, "Structures Pre-SAM")</f>
        <v>0</v>
      </c>
      <c r="H119">
        <f>SUMIFS(HoldHistory!Q:Q, HoldHistory!A:A, A119, HoldHistory!M:M, "Structures SAM")</f>
        <v>0</v>
      </c>
      <c r="I119">
        <f>SUMIFS(HoldHistory!Q:Q, HoldHistory!A:A, A119, HoldHistory!M:M, "Final Design Review")</f>
        <v>10</v>
      </c>
    </row>
    <row r="120" spans="1:9" x14ac:dyDescent="0.35">
      <c r="A120" t="str">
        <v>CAS-193361-Y3K7D4</v>
      </c>
      <c r="B120">
        <f>SUMIFS(HoldHistory!Q:Q, HoldHistory!A:A, A120, HoldHistory!M:M, "Triage")</f>
        <v>0</v>
      </c>
      <c r="C120">
        <f>SUMIFS(HoldHistory!Q:Q, HoldHistory!A:A, A120, HoldHistory!M:M, "Task Plan")</f>
        <v>0</v>
      </c>
      <c r="D120">
        <f>SUMIFS(HoldHistory!Q:Q, HoldHistory!A:A, A120, HoldHistory!M:M, "Initial Design Review")</f>
        <v>0</v>
      </c>
      <c r="E120">
        <f>SUMIFS(HoldHistory!Q:Q, HoldHistory!A:A, A120, HoldHistory!M:M, "ReCAP")</f>
        <v>0</v>
      </c>
      <c r="F120">
        <f>SUMIFS(HoldHistory!Q:Q, HoldHistory!A:A, A120, HoldHistory!M:M, "Draft EA")</f>
        <v>0</v>
      </c>
      <c r="G120">
        <f>SUMIFS(HoldHistory!Q:Q, HoldHistory!A:A, A120, HoldHistory!M:M, "Structures Pre-SAM")</f>
        <v>0</v>
      </c>
      <c r="H120">
        <f>SUMIFS(HoldHistory!Q:Q, HoldHistory!A:A, A120, HoldHistory!M:M, "Structures SAM")</f>
        <v>0</v>
      </c>
      <c r="I120">
        <f>SUMIFS(HoldHistory!Q:Q, HoldHistory!A:A, A120, HoldHistory!M:M, "Final Design Review")</f>
        <v>0</v>
      </c>
    </row>
    <row r="121" spans="1:9" x14ac:dyDescent="0.35">
      <c r="A121" t="str">
        <v>CAS-194101-H0Q1P8</v>
      </c>
      <c r="B121">
        <f>SUMIFS(HoldHistory!Q:Q, HoldHistory!A:A, A121, HoldHistory!M:M, "Triage")</f>
        <v>0</v>
      </c>
      <c r="C121">
        <f>SUMIFS(HoldHistory!Q:Q, HoldHistory!A:A, A121, HoldHistory!M:M, "Task Plan")</f>
        <v>0</v>
      </c>
      <c r="D121">
        <f>SUMIFS(HoldHistory!Q:Q, HoldHistory!A:A, A121, HoldHistory!M:M, "Initial Design Review")</f>
        <v>0</v>
      </c>
      <c r="E121">
        <f>SUMIFS(HoldHistory!Q:Q, HoldHistory!A:A, A121, HoldHistory!M:M, "ReCAP")</f>
        <v>0</v>
      </c>
      <c r="F121">
        <f>SUMIFS(HoldHistory!Q:Q, HoldHistory!A:A, A121, HoldHistory!M:M, "Draft EA")</f>
        <v>0</v>
      </c>
      <c r="G121">
        <f>SUMIFS(HoldHistory!Q:Q, HoldHistory!A:A, A121, HoldHistory!M:M, "Structures Pre-SAM")</f>
        <v>0</v>
      </c>
      <c r="H121">
        <f>SUMIFS(HoldHistory!Q:Q, HoldHistory!A:A, A121, HoldHistory!M:M, "Structures SAM")</f>
        <v>0</v>
      </c>
      <c r="I121">
        <f>SUMIFS(HoldHistory!Q:Q, HoldHistory!A:A, A121, HoldHistory!M:M, "Final Design Review")</f>
        <v>0</v>
      </c>
    </row>
    <row r="122" spans="1:9" x14ac:dyDescent="0.35">
      <c r="A122" t="str">
        <v>CAS-194229-G8V7Y6</v>
      </c>
      <c r="B122">
        <f>SUMIFS(HoldHistory!Q:Q, HoldHistory!A:A, A122, HoldHistory!M:M, "Triage")</f>
        <v>0</v>
      </c>
      <c r="C122">
        <f>SUMIFS(HoldHistory!Q:Q, HoldHistory!A:A, A122, HoldHistory!M:M, "Task Plan")</f>
        <v>0</v>
      </c>
      <c r="D122">
        <f>SUMIFS(HoldHistory!Q:Q, HoldHistory!A:A, A122, HoldHistory!M:M, "Initial Design Review")</f>
        <v>0</v>
      </c>
      <c r="E122">
        <f>SUMIFS(HoldHistory!Q:Q, HoldHistory!A:A, A122, HoldHistory!M:M, "ReCAP")</f>
        <v>0</v>
      </c>
      <c r="F122">
        <f>SUMIFS(HoldHistory!Q:Q, HoldHistory!A:A, A122, HoldHistory!M:M, "Draft EA")</f>
        <v>0</v>
      </c>
      <c r="G122">
        <f>SUMIFS(HoldHistory!Q:Q, HoldHistory!A:A, A122, HoldHistory!M:M, "Structures Pre-SAM")</f>
        <v>0</v>
      </c>
      <c r="H122">
        <f>SUMIFS(HoldHistory!Q:Q, HoldHistory!A:A, A122, HoldHistory!M:M, "Structures SAM")</f>
        <v>0</v>
      </c>
      <c r="I122">
        <f>SUMIFS(HoldHistory!Q:Q, HoldHistory!A:A, A122, HoldHistory!M:M, "Final Design Review")</f>
        <v>0</v>
      </c>
    </row>
    <row r="123" spans="1:9" x14ac:dyDescent="0.35">
      <c r="A123" t="str">
        <v>CAS-194237-W6C3C8</v>
      </c>
      <c r="B123">
        <f>SUMIFS(HoldHistory!Q:Q, HoldHistory!A:A, A123, HoldHistory!M:M, "Triage")</f>
        <v>0</v>
      </c>
      <c r="C123">
        <f>SUMIFS(HoldHistory!Q:Q, HoldHistory!A:A, A123, HoldHistory!M:M, "Task Plan")</f>
        <v>0</v>
      </c>
      <c r="D123">
        <f>SUMIFS(HoldHistory!Q:Q, HoldHistory!A:A, A123, HoldHistory!M:M, "Initial Design Review")</f>
        <v>0</v>
      </c>
      <c r="E123">
        <f>SUMIFS(HoldHistory!Q:Q, HoldHistory!A:A, A123, HoldHistory!M:M, "ReCAP")</f>
        <v>0</v>
      </c>
      <c r="F123">
        <f>SUMIFS(HoldHistory!Q:Q, HoldHistory!A:A, A123, HoldHistory!M:M, "Draft EA")</f>
        <v>0</v>
      </c>
      <c r="G123">
        <f>SUMIFS(HoldHistory!Q:Q, HoldHistory!A:A, A123, HoldHistory!M:M, "Structures Pre-SAM")</f>
        <v>0</v>
      </c>
      <c r="H123">
        <f>SUMIFS(HoldHistory!Q:Q, HoldHistory!A:A, A123, HoldHistory!M:M, "Structures SAM")</f>
        <v>0</v>
      </c>
      <c r="I123">
        <f>SUMIFS(HoldHistory!Q:Q, HoldHistory!A:A, A123, HoldHistory!M:M, "Final Design Review")</f>
        <v>0</v>
      </c>
    </row>
    <row r="124" spans="1:9" x14ac:dyDescent="0.35">
      <c r="A124" t="str">
        <v>CAS-194329-P1D2M5</v>
      </c>
      <c r="B124">
        <f>SUMIFS(HoldHistory!Q:Q, HoldHistory!A:A, A124, HoldHistory!M:M, "Triage")</f>
        <v>0</v>
      </c>
      <c r="C124">
        <f>SUMIFS(HoldHistory!Q:Q, HoldHistory!A:A, A124, HoldHistory!M:M, "Task Plan")</f>
        <v>0</v>
      </c>
      <c r="D124">
        <f>SUMIFS(HoldHistory!Q:Q, HoldHistory!A:A, A124, HoldHistory!M:M, "Initial Design Review")</f>
        <v>0</v>
      </c>
      <c r="E124">
        <f>SUMIFS(HoldHistory!Q:Q, HoldHistory!A:A, A124, HoldHistory!M:M, "ReCAP")</f>
        <v>185</v>
      </c>
      <c r="F124">
        <f>SUMIFS(HoldHistory!Q:Q, HoldHistory!A:A, A124, HoldHistory!M:M, "Draft EA")</f>
        <v>41</v>
      </c>
      <c r="G124">
        <f>SUMIFS(HoldHistory!Q:Q, HoldHistory!A:A, A124, HoldHistory!M:M, "Structures Pre-SAM")</f>
        <v>0</v>
      </c>
      <c r="H124">
        <f>SUMIFS(HoldHistory!Q:Q, HoldHistory!A:A, A124, HoldHistory!M:M, "Structures SAM")</f>
        <v>0</v>
      </c>
      <c r="I124">
        <f>SUMIFS(HoldHistory!Q:Q, HoldHistory!A:A, A124, HoldHistory!M:M, "Final Design Review")</f>
        <v>0</v>
      </c>
    </row>
    <row r="125" spans="1:9" x14ac:dyDescent="0.35">
      <c r="A125" t="str">
        <v>CAS-194339-S5F9B3</v>
      </c>
      <c r="B125">
        <f>SUMIFS(HoldHistory!Q:Q, HoldHistory!A:A, A125, HoldHistory!M:M, "Triage")</f>
        <v>0</v>
      </c>
      <c r="C125">
        <f>SUMIFS(HoldHistory!Q:Q, HoldHistory!A:A, A125, HoldHistory!M:M, "Task Plan")</f>
        <v>0</v>
      </c>
      <c r="D125">
        <f>SUMIFS(HoldHistory!Q:Q, HoldHistory!A:A, A125, HoldHistory!M:M, "Initial Design Review")</f>
        <v>0</v>
      </c>
      <c r="E125">
        <f>SUMIFS(HoldHistory!Q:Q, HoldHistory!A:A, A125, HoldHistory!M:M, "ReCAP")</f>
        <v>0</v>
      </c>
      <c r="F125">
        <f>SUMIFS(HoldHistory!Q:Q, HoldHistory!A:A, A125, HoldHistory!M:M, "Draft EA")</f>
        <v>0</v>
      </c>
      <c r="G125">
        <f>SUMIFS(HoldHistory!Q:Q, HoldHistory!A:A, A125, HoldHistory!M:M, "Structures Pre-SAM")</f>
        <v>6.9467028356448282</v>
      </c>
      <c r="H125">
        <f>SUMIFS(HoldHistory!Q:Q, HoldHistory!A:A, A125, HoldHistory!M:M, "Structures SAM")</f>
        <v>0</v>
      </c>
      <c r="I125">
        <f>SUMIFS(HoldHistory!Q:Q, HoldHistory!A:A, A125, HoldHistory!M:M, "Final Design Review")</f>
        <v>0</v>
      </c>
    </row>
    <row r="126" spans="1:9" x14ac:dyDescent="0.35">
      <c r="A126" t="str">
        <v>CAS-194652-S7Y1L5</v>
      </c>
      <c r="B126">
        <f>SUMIFS(HoldHistory!Q:Q, HoldHistory!A:A, A126, HoldHistory!M:M, "Triage")</f>
        <v>0</v>
      </c>
      <c r="C126">
        <f>SUMIFS(HoldHistory!Q:Q, HoldHistory!A:A, A126, HoldHistory!M:M, "Task Plan")</f>
        <v>0</v>
      </c>
      <c r="D126">
        <f>SUMIFS(HoldHistory!Q:Q, HoldHistory!A:A, A126, HoldHistory!M:M, "Initial Design Review")</f>
        <v>0</v>
      </c>
      <c r="E126">
        <f>SUMIFS(HoldHistory!Q:Q, HoldHistory!A:A, A126, HoldHistory!M:M, "ReCAP")</f>
        <v>0</v>
      </c>
      <c r="F126">
        <f>SUMIFS(HoldHistory!Q:Q, HoldHistory!A:A, A126, HoldHistory!M:M, "Draft EA")</f>
        <v>0</v>
      </c>
      <c r="G126">
        <f>SUMIFS(HoldHistory!Q:Q, HoldHistory!A:A, A126, HoldHistory!M:M, "Structures Pre-SAM")</f>
        <v>0</v>
      </c>
      <c r="H126">
        <f>SUMIFS(HoldHistory!Q:Q, HoldHistory!A:A, A126, HoldHistory!M:M, "Structures SAM")</f>
        <v>5.9445427777754958</v>
      </c>
      <c r="I126">
        <f>SUMIFS(HoldHistory!Q:Q, HoldHistory!A:A, A126, HoldHistory!M:M, "Final Design Review")</f>
        <v>0</v>
      </c>
    </row>
    <row r="127" spans="1:9" x14ac:dyDescent="0.35">
      <c r="A127" t="str">
        <v>CAS-194906-Q8W8W5</v>
      </c>
      <c r="B127">
        <f>SUMIFS(HoldHistory!Q:Q, HoldHistory!A:A, A127, HoldHistory!M:M, "Triage")</f>
        <v>0</v>
      </c>
      <c r="C127">
        <f>SUMIFS(HoldHistory!Q:Q, HoldHistory!A:A, A127, HoldHistory!M:M, "Task Plan")</f>
        <v>0</v>
      </c>
      <c r="D127">
        <f>SUMIFS(HoldHistory!Q:Q, HoldHistory!A:A, A127, HoldHistory!M:M, "Initial Design Review")</f>
        <v>0</v>
      </c>
      <c r="E127">
        <f>SUMIFS(HoldHistory!Q:Q, HoldHistory!A:A, A127, HoldHistory!M:M, "ReCAP")</f>
        <v>0</v>
      </c>
      <c r="F127">
        <f>SUMIFS(HoldHistory!Q:Q, HoldHistory!A:A, A127, HoldHistory!M:M, "Draft EA")</f>
        <v>0</v>
      </c>
      <c r="G127">
        <f>SUMIFS(HoldHistory!Q:Q, HoldHistory!A:A, A127, HoldHistory!M:M, "Structures Pre-SAM")</f>
        <v>9</v>
      </c>
      <c r="H127">
        <f>SUMIFS(HoldHistory!Q:Q, HoldHistory!A:A, A127, HoldHistory!M:M, "Structures SAM")</f>
        <v>0</v>
      </c>
      <c r="I127">
        <f>SUMIFS(HoldHistory!Q:Q, HoldHistory!A:A, A127, HoldHistory!M:M, "Final Design Review")</f>
        <v>0</v>
      </c>
    </row>
    <row r="128" spans="1:9" x14ac:dyDescent="0.35">
      <c r="A128" t="str">
        <v>CAS-194913-R6J8V2</v>
      </c>
      <c r="B128">
        <f>SUMIFS(HoldHistory!Q:Q, HoldHistory!A:A, A128, HoldHistory!M:M, "Triage")</f>
        <v>0</v>
      </c>
      <c r="C128">
        <f>SUMIFS(HoldHistory!Q:Q, HoldHistory!A:A, A128, HoldHistory!M:M, "Task Plan")</f>
        <v>0</v>
      </c>
      <c r="D128">
        <f>SUMIFS(HoldHistory!Q:Q, HoldHistory!A:A, A128, HoldHistory!M:M, "Initial Design Review")</f>
        <v>0</v>
      </c>
      <c r="E128">
        <f>SUMIFS(HoldHistory!Q:Q, HoldHistory!A:A, A128, HoldHistory!M:M, "ReCAP")</f>
        <v>0</v>
      </c>
      <c r="F128">
        <f>SUMIFS(HoldHistory!Q:Q, HoldHistory!A:A, A128, HoldHistory!M:M, "Draft EA")</f>
        <v>0</v>
      </c>
      <c r="G128">
        <f>SUMIFS(HoldHistory!Q:Q, HoldHistory!A:A, A128, HoldHistory!M:M, "Structures Pre-SAM")</f>
        <v>174.51256434027891</v>
      </c>
      <c r="H128">
        <f>SUMIFS(HoldHistory!Q:Q, HoldHistory!A:A, A128, HoldHistory!M:M, "Structures SAM")</f>
        <v>0</v>
      </c>
      <c r="I128">
        <f>SUMIFS(HoldHistory!Q:Q, HoldHistory!A:A, A128, HoldHistory!M:M, "Final Design Review")</f>
        <v>0</v>
      </c>
    </row>
    <row r="129" spans="1:9" x14ac:dyDescent="0.35">
      <c r="A129" t="str">
        <v>CAS-195179-X7R6C6</v>
      </c>
      <c r="B129">
        <f>SUMIFS(HoldHistory!Q:Q, HoldHistory!A:A, A129, HoldHistory!M:M, "Triage")</f>
        <v>0</v>
      </c>
      <c r="C129">
        <f>SUMIFS(HoldHistory!Q:Q, HoldHistory!A:A, A129, HoldHistory!M:M, "Task Plan")</f>
        <v>0</v>
      </c>
      <c r="D129">
        <f>SUMIFS(HoldHistory!Q:Q, HoldHistory!A:A, A129, HoldHistory!M:M, "Initial Design Review")</f>
        <v>0</v>
      </c>
      <c r="E129">
        <f>SUMIFS(HoldHistory!Q:Q, HoldHistory!A:A, A129, HoldHistory!M:M, "ReCAP")</f>
        <v>0</v>
      </c>
      <c r="F129">
        <f>SUMIFS(HoldHistory!Q:Q, HoldHistory!A:A, A129, HoldHistory!M:M, "Draft EA")</f>
        <v>0</v>
      </c>
      <c r="G129">
        <f>SUMIFS(HoldHistory!Q:Q, HoldHistory!A:A, A129, HoldHistory!M:M, "Structures Pre-SAM")</f>
        <v>8</v>
      </c>
      <c r="H129">
        <f>SUMIFS(HoldHistory!Q:Q, HoldHistory!A:A, A129, HoldHistory!M:M, "Structures SAM")</f>
        <v>0</v>
      </c>
      <c r="I129">
        <f>SUMIFS(HoldHistory!Q:Q, HoldHistory!A:A, A129, HoldHistory!M:M, "Final Design Review")</f>
        <v>0</v>
      </c>
    </row>
    <row r="130" spans="1:9" x14ac:dyDescent="0.35">
      <c r="A130" t="str">
        <v>CAS-195198-G9T8C2</v>
      </c>
      <c r="B130">
        <f>SUMIFS(HoldHistory!Q:Q, HoldHistory!A:A, A130, HoldHistory!M:M, "Triage")</f>
        <v>0</v>
      </c>
      <c r="C130">
        <f>SUMIFS(HoldHistory!Q:Q, HoldHistory!A:A, A130, HoldHistory!M:M, "Task Plan")</f>
        <v>0</v>
      </c>
      <c r="D130">
        <f>SUMIFS(HoldHistory!Q:Q, HoldHistory!A:A, A130, HoldHistory!M:M, "Initial Design Review")</f>
        <v>0</v>
      </c>
      <c r="E130">
        <f>SUMIFS(HoldHistory!Q:Q, HoldHistory!A:A, A130, HoldHistory!M:M, "ReCAP")</f>
        <v>0</v>
      </c>
      <c r="F130">
        <f>SUMIFS(HoldHistory!Q:Q, HoldHistory!A:A, A130, HoldHistory!M:M, "Draft EA")</f>
        <v>0</v>
      </c>
      <c r="G130">
        <f>SUMIFS(HoldHistory!Q:Q, HoldHistory!A:A, A130, HoldHistory!M:M, "Structures Pre-SAM")</f>
        <v>22</v>
      </c>
      <c r="H130">
        <f>SUMIFS(HoldHistory!Q:Q, HoldHistory!A:A, A130, HoldHistory!M:M, "Structures SAM")</f>
        <v>0</v>
      </c>
      <c r="I130">
        <f>SUMIFS(HoldHistory!Q:Q, HoldHistory!A:A, A130, HoldHistory!M:M, "Final Design Review")</f>
        <v>0</v>
      </c>
    </row>
    <row r="131" spans="1:9" x14ac:dyDescent="0.35">
      <c r="A131" t="str">
        <v>CAS-195395-X8V9C8</v>
      </c>
      <c r="B131">
        <f>SUMIFS(HoldHistory!Q:Q, HoldHistory!A:A, A131, HoldHistory!M:M, "Triage")</f>
        <v>0</v>
      </c>
      <c r="C131">
        <f>SUMIFS(HoldHistory!Q:Q, HoldHistory!A:A, A131, HoldHistory!M:M, "Task Plan")</f>
        <v>0</v>
      </c>
      <c r="D131">
        <f>SUMIFS(HoldHistory!Q:Q, HoldHistory!A:A, A131, HoldHistory!M:M, "Initial Design Review")</f>
        <v>0</v>
      </c>
      <c r="E131">
        <f>SUMIFS(HoldHistory!Q:Q, HoldHistory!A:A, A131, HoldHistory!M:M, "ReCAP")</f>
        <v>0</v>
      </c>
      <c r="F131">
        <f>SUMIFS(HoldHistory!Q:Q, HoldHistory!A:A, A131, HoldHistory!M:M, "Draft EA")</f>
        <v>0</v>
      </c>
      <c r="G131">
        <f>SUMIFS(HoldHistory!Q:Q, HoldHistory!A:A, A131, HoldHistory!M:M, "Structures Pre-SAM")</f>
        <v>0</v>
      </c>
      <c r="H131">
        <f>SUMIFS(HoldHistory!Q:Q, HoldHistory!A:A, A131, HoldHistory!M:M, "Structures SAM")</f>
        <v>0</v>
      </c>
      <c r="I131">
        <f>SUMIFS(HoldHistory!Q:Q, HoldHistory!A:A, A131, HoldHistory!M:M, "Final Design Review")</f>
        <v>0</v>
      </c>
    </row>
    <row r="132" spans="1:9" x14ac:dyDescent="0.35">
      <c r="A132" t="str">
        <v>CAS-195500-B7Q3X4</v>
      </c>
      <c r="B132">
        <f>SUMIFS(HoldHistory!Q:Q, HoldHistory!A:A, A132, HoldHistory!M:M, "Triage")</f>
        <v>0</v>
      </c>
      <c r="C132">
        <f>SUMIFS(HoldHistory!Q:Q, HoldHistory!A:A, A132, HoldHistory!M:M, "Task Plan")</f>
        <v>0</v>
      </c>
      <c r="D132">
        <f>SUMIFS(HoldHistory!Q:Q, HoldHistory!A:A, A132, HoldHistory!M:M, "Initial Design Review")</f>
        <v>0</v>
      </c>
      <c r="E132">
        <f>SUMIFS(HoldHistory!Q:Q, HoldHistory!A:A, A132, HoldHistory!M:M, "ReCAP")</f>
        <v>0</v>
      </c>
      <c r="F132">
        <f>SUMIFS(HoldHistory!Q:Q, HoldHistory!A:A, A132, HoldHistory!M:M, "Draft EA")</f>
        <v>0</v>
      </c>
      <c r="G132">
        <f>SUMIFS(HoldHistory!Q:Q, HoldHistory!A:A, A132, HoldHistory!M:M, "Structures Pre-SAM")</f>
        <v>4</v>
      </c>
      <c r="H132">
        <f>SUMIFS(HoldHistory!Q:Q, HoldHistory!A:A, A132, HoldHistory!M:M, "Structures SAM")</f>
        <v>0</v>
      </c>
      <c r="I132">
        <f>SUMIFS(HoldHistory!Q:Q, HoldHistory!A:A, A132, HoldHistory!M:M, "Final Design Review")</f>
        <v>0</v>
      </c>
    </row>
    <row r="133" spans="1:9" x14ac:dyDescent="0.35">
      <c r="A133" t="str">
        <v>CAS-195505-H3L5N2</v>
      </c>
      <c r="B133">
        <f>SUMIFS(HoldHistory!Q:Q, HoldHistory!A:A, A133, HoldHistory!M:M, "Triage")</f>
        <v>0</v>
      </c>
      <c r="C133">
        <f>SUMIFS(HoldHistory!Q:Q, HoldHistory!A:A, A133, HoldHistory!M:M, "Task Plan")</f>
        <v>0</v>
      </c>
      <c r="D133">
        <f>SUMIFS(HoldHistory!Q:Q, HoldHistory!A:A, A133, HoldHistory!M:M, "Initial Design Review")</f>
        <v>0</v>
      </c>
      <c r="E133">
        <f>SUMIFS(HoldHistory!Q:Q, HoldHistory!A:A, A133, HoldHistory!M:M, "ReCAP")</f>
        <v>0</v>
      </c>
      <c r="F133">
        <f>SUMIFS(HoldHistory!Q:Q, HoldHistory!A:A, A133, HoldHistory!M:M, "Draft EA")</f>
        <v>0</v>
      </c>
      <c r="G133">
        <f>SUMIFS(HoldHistory!Q:Q, HoldHistory!A:A, A133, HoldHistory!M:M, "Structures Pre-SAM")</f>
        <v>0</v>
      </c>
      <c r="H133">
        <f>SUMIFS(HoldHistory!Q:Q, HoldHistory!A:A, A133, HoldHistory!M:M, "Structures SAM")</f>
        <v>0</v>
      </c>
      <c r="I133">
        <f>SUMIFS(HoldHistory!Q:Q, HoldHistory!A:A, A133, HoldHistory!M:M, "Final Design Review")</f>
        <v>0</v>
      </c>
    </row>
    <row r="134" spans="1:9" x14ac:dyDescent="0.35">
      <c r="A134" t="str">
        <v>CAS-195545-R6V4J5</v>
      </c>
      <c r="B134">
        <f>SUMIFS(HoldHistory!Q:Q, HoldHistory!A:A, A134, HoldHistory!M:M, "Triage")</f>
        <v>0</v>
      </c>
      <c r="C134">
        <f>SUMIFS(HoldHistory!Q:Q, HoldHistory!A:A, A134, HoldHistory!M:M, "Task Plan")</f>
        <v>0</v>
      </c>
      <c r="D134">
        <f>SUMIFS(HoldHistory!Q:Q, HoldHistory!A:A, A134, HoldHistory!M:M, "Initial Design Review")</f>
        <v>0</v>
      </c>
      <c r="E134">
        <f>SUMIFS(HoldHistory!Q:Q, HoldHistory!A:A, A134, HoldHistory!M:M, "ReCAP")</f>
        <v>0</v>
      </c>
      <c r="F134">
        <f>SUMIFS(HoldHistory!Q:Q, HoldHistory!A:A, A134, HoldHistory!M:M, "Draft EA")</f>
        <v>0</v>
      </c>
      <c r="G134">
        <f>SUMIFS(HoldHistory!Q:Q, HoldHistory!A:A, A134, HoldHistory!M:M, "Structures Pre-SAM")</f>
        <v>7</v>
      </c>
      <c r="H134">
        <f>SUMIFS(HoldHistory!Q:Q, HoldHistory!A:A, A134, HoldHistory!M:M, "Structures SAM")</f>
        <v>0</v>
      </c>
      <c r="I134">
        <f>SUMIFS(HoldHistory!Q:Q, HoldHistory!A:A, A134, HoldHistory!M:M, "Final Design Review")</f>
        <v>0</v>
      </c>
    </row>
    <row r="135" spans="1:9" x14ac:dyDescent="0.35">
      <c r="A135" t="str">
        <v>CAS-196152-X1T8H2</v>
      </c>
      <c r="B135">
        <f>SUMIFS(HoldHistory!Q:Q, HoldHistory!A:A, A135, HoldHistory!M:M, "Triage")</f>
        <v>0</v>
      </c>
      <c r="C135">
        <f>SUMIFS(HoldHistory!Q:Q, HoldHistory!A:A, A135, HoldHistory!M:M, "Task Plan")</f>
        <v>0</v>
      </c>
      <c r="D135">
        <f>SUMIFS(HoldHistory!Q:Q, HoldHistory!A:A, A135, HoldHistory!M:M, "Initial Design Review")</f>
        <v>0</v>
      </c>
      <c r="E135">
        <f>SUMIFS(HoldHistory!Q:Q, HoldHistory!A:A, A135, HoldHistory!M:M, "ReCAP")</f>
        <v>0</v>
      </c>
      <c r="F135">
        <f>SUMIFS(HoldHistory!Q:Q, HoldHistory!A:A, A135, HoldHistory!M:M, "Draft EA")</f>
        <v>0</v>
      </c>
      <c r="G135">
        <f>SUMIFS(HoldHistory!Q:Q, HoldHistory!A:A, A135, HoldHistory!M:M, "Structures Pre-SAM")</f>
        <v>10</v>
      </c>
      <c r="H135">
        <f>SUMIFS(HoldHistory!Q:Q, HoldHistory!A:A, A135, HoldHistory!M:M, "Structures SAM")</f>
        <v>14</v>
      </c>
      <c r="I135">
        <f>SUMIFS(HoldHistory!Q:Q, HoldHistory!A:A, A135, HoldHistory!M:M, "Final Design Review")</f>
        <v>0</v>
      </c>
    </row>
    <row r="136" spans="1:9" x14ac:dyDescent="0.35">
      <c r="A136" t="str">
        <v>CAS-196187-G4J4P3</v>
      </c>
      <c r="B136">
        <f>SUMIFS(HoldHistory!Q:Q, HoldHistory!A:A, A136, HoldHistory!M:M, "Triage")</f>
        <v>0</v>
      </c>
      <c r="C136">
        <f>SUMIFS(HoldHistory!Q:Q, HoldHistory!A:A, A136, HoldHistory!M:M, "Task Plan")</f>
        <v>0</v>
      </c>
      <c r="D136">
        <f>SUMIFS(HoldHistory!Q:Q, HoldHistory!A:A, A136, HoldHistory!M:M, "Initial Design Review")</f>
        <v>16</v>
      </c>
      <c r="E136">
        <f>SUMIFS(HoldHistory!Q:Q, HoldHistory!A:A, A136, HoldHistory!M:M, "ReCAP")</f>
        <v>68</v>
      </c>
      <c r="F136">
        <f>SUMIFS(HoldHistory!Q:Q, HoldHistory!A:A, A136, HoldHistory!M:M, "Draft EA")</f>
        <v>0</v>
      </c>
      <c r="G136">
        <f>SUMIFS(HoldHistory!Q:Q, HoldHistory!A:A, A136, HoldHistory!M:M, "Structures Pre-SAM")</f>
        <v>0</v>
      </c>
      <c r="H136">
        <f>SUMIFS(HoldHistory!Q:Q, HoldHistory!A:A, A136, HoldHistory!M:M, "Structures SAM")</f>
        <v>0</v>
      </c>
      <c r="I136">
        <f>SUMIFS(HoldHistory!Q:Q, HoldHistory!A:A, A136, HoldHistory!M:M, "Final Design Review")</f>
        <v>0</v>
      </c>
    </row>
    <row r="137" spans="1:9" x14ac:dyDescent="0.35">
      <c r="A137" t="str">
        <v>CAS-196388-L0G1Y1</v>
      </c>
      <c r="B137">
        <f>SUMIFS(HoldHistory!Q:Q, HoldHistory!A:A, A137, HoldHistory!M:M, "Triage")</f>
        <v>0</v>
      </c>
      <c r="C137">
        <f>SUMIFS(HoldHistory!Q:Q, HoldHistory!A:A, A137, HoldHistory!M:M, "Task Plan")</f>
        <v>0</v>
      </c>
      <c r="D137">
        <f>SUMIFS(HoldHistory!Q:Q, HoldHistory!A:A, A137, HoldHistory!M:M, "Initial Design Review")</f>
        <v>0</v>
      </c>
      <c r="E137">
        <f>SUMIFS(HoldHistory!Q:Q, HoldHistory!A:A, A137, HoldHistory!M:M, "ReCAP")</f>
        <v>0</v>
      </c>
      <c r="F137">
        <f>SUMIFS(HoldHistory!Q:Q, HoldHistory!A:A, A137, HoldHistory!M:M, "Draft EA")</f>
        <v>0</v>
      </c>
      <c r="G137">
        <f>SUMIFS(HoldHistory!Q:Q, HoldHistory!A:A, A137, HoldHistory!M:M, "Structures Pre-SAM")</f>
        <v>0</v>
      </c>
      <c r="H137">
        <f>SUMIFS(HoldHistory!Q:Q, HoldHistory!A:A, A137, HoldHistory!M:M, "Structures SAM")</f>
        <v>0</v>
      </c>
      <c r="I137">
        <f>SUMIFS(HoldHistory!Q:Q, HoldHistory!A:A, A137, HoldHistory!M:M, "Final Design Review")</f>
        <v>0</v>
      </c>
    </row>
    <row r="138" spans="1:9" x14ac:dyDescent="0.35">
      <c r="A138" t="str">
        <v>CAS-196404-Z9C4Q8</v>
      </c>
      <c r="B138">
        <f>SUMIFS(HoldHistory!Q:Q, HoldHistory!A:A, A138, HoldHistory!M:M, "Triage")</f>
        <v>0</v>
      </c>
      <c r="C138">
        <f>SUMIFS(HoldHistory!Q:Q, HoldHistory!A:A, A138, HoldHistory!M:M, "Task Plan")</f>
        <v>0</v>
      </c>
      <c r="D138">
        <f>SUMIFS(HoldHistory!Q:Q, HoldHistory!A:A, A138, HoldHistory!M:M, "Initial Design Review")</f>
        <v>0</v>
      </c>
      <c r="E138">
        <f>SUMIFS(HoldHistory!Q:Q, HoldHistory!A:A, A138, HoldHistory!M:M, "ReCAP")</f>
        <v>0</v>
      </c>
      <c r="F138">
        <f>SUMIFS(HoldHistory!Q:Q, HoldHistory!A:A, A138, HoldHistory!M:M, "Draft EA")</f>
        <v>0</v>
      </c>
      <c r="G138">
        <f>SUMIFS(HoldHistory!Q:Q, HoldHistory!A:A, A138, HoldHistory!M:M, "Structures Pre-SAM")</f>
        <v>0</v>
      </c>
      <c r="H138">
        <f>SUMIFS(HoldHistory!Q:Q, HoldHistory!A:A, A138, HoldHistory!M:M, "Structures SAM")</f>
        <v>0</v>
      </c>
      <c r="I138">
        <f>SUMIFS(HoldHistory!Q:Q, HoldHistory!A:A, A138, HoldHistory!M:M, "Final Design Review")</f>
        <v>0</v>
      </c>
    </row>
    <row r="139" spans="1:9" x14ac:dyDescent="0.35">
      <c r="A139" t="str">
        <v>CAS-196510-G0K6B8</v>
      </c>
      <c r="B139">
        <f>SUMIFS(HoldHistory!Q:Q, HoldHistory!A:A, A139, HoldHistory!M:M, "Triage")</f>
        <v>0</v>
      </c>
      <c r="C139">
        <f>SUMIFS(HoldHistory!Q:Q, HoldHistory!A:A, A139, HoldHistory!M:M, "Task Plan")</f>
        <v>0</v>
      </c>
      <c r="D139">
        <f>SUMIFS(HoldHistory!Q:Q, HoldHistory!A:A, A139, HoldHistory!M:M, "Initial Design Review")</f>
        <v>0</v>
      </c>
      <c r="E139">
        <f>SUMIFS(HoldHistory!Q:Q, HoldHistory!A:A, A139, HoldHistory!M:M, "ReCAP")</f>
        <v>0</v>
      </c>
      <c r="F139">
        <f>SUMIFS(HoldHistory!Q:Q, HoldHistory!A:A, A139, HoldHistory!M:M, "Draft EA")</f>
        <v>0</v>
      </c>
      <c r="G139">
        <f>SUMIFS(HoldHistory!Q:Q, HoldHistory!A:A, A139, HoldHistory!M:M, "Structures Pre-SAM")</f>
        <v>23.089565879628935</v>
      </c>
      <c r="H139">
        <f>SUMIFS(HoldHistory!Q:Q, HoldHistory!A:A, A139, HoldHistory!M:M, "Structures SAM")</f>
        <v>0</v>
      </c>
      <c r="I139">
        <f>SUMIFS(HoldHistory!Q:Q, HoldHistory!A:A, A139, HoldHistory!M:M, "Final Design Review")</f>
        <v>0</v>
      </c>
    </row>
    <row r="140" spans="1:9" x14ac:dyDescent="0.35">
      <c r="A140" t="str">
        <v>CAS-196528-T0G2Y5</v>
      </c>
      <c r="B140">
        <f>SUMIFS(HoldHistory!Q:Q, HoldHistory!A:A, A140, HoldHistory!M:M, "Triage")</f>
        <v>0</v>
      </c>
      <c r="C140">
        <f>SUMIFS(HoldHistory!Q:Q, HoldHistory!A:A, A140, HoldHistory!M:M, "Task Plan")</f>
        <v>0</v>
      </c>
      <c r="D140">
        <f>SUMIFS(HoldHistory!Q:Q, HoldHistory!A:A, A140, HoldHistory!M:M, "Initial Design Review")</f>
        <v>0</v>
      </c>
      <c r="E140">
        <f>SUMIFS(HoldHistory!Q:Q, HoldHistory!A:A, A140, HoldHistory!M:M, "ReCAP")</f>
        <v>0</v>
      </c>
      <c r="F140">
        <f>SUMIFS(HoldHistory!Q:Q, HoldHistory!A:A, A140, HoldHistory!M:M, "Draft EA")</f>
        <v>0</v>
      </c>
      <c r="G140">
        <f>SUMIFS(HoldHistory!Q:Q, HoldHistory!A:A, A140, HoldHistory!M:M, "Structures Pre-SAM")</f>
        <v>0</v>
      </c>
      <c r="H140">
        <f>SUMIFS(HoldHistory!Q:Q, HoldHistory!A:A, A140, HoldHistory!M:M, "Structures SAM")</f>
        <v>0</v>
      </c>
      <c r="I140">
        <f>SUMIFS(HoldHistory!Q:Q, HoldHistory!A:A, A140, HoldHistory!M:M, "Final Design Review")</f>
        <v>38</v>
      </c>
    </row>
    <row r="141" spans="1:9" x14ac:dyDescent="0.35">
      <c r="A141" t="str">
        <v>CAS-196710-P7R1Z3</v>
      </c>
      <c r="B141">
        <f>SUMIFS(HoldHistory!Q:Q, HoldHistory!A:A, A141, HoldHistory!M:M, "Triage")</f>
        <v>0</v>
      </c>
      <c r="C141">
        <f>SUMIFS(HoldHistory!Q:Q, HoldHistory!A:A, A141, HoldHistory!M:M, "Task Plan")</f>
        <v>0</v>
      </c>
      <c r="D141">
        <f>SUMIFS(HoldHistory!Q:Q, HoldHistory!A:A, A141, HoldHistory!M:M, "Initial Design Review")</f>
        <v>0</v>
      </c>
      <c r="E141">
        <f>SUMIFS(HoldHistory!Q:Q, HoldHistory!A:A, A141, HoldHistory!M:M, "ReCAP")</f>
        <v>0</v>
      </c>
      <c r="F141">
        <f>SUMIFS(HoldHistory!Q:Q, HoldHistory!A:A, A141, HoldHistory!M:M, "Draft EA")</f>
        <v>0</v>
      </c>
      <c r="G141">
        <f>SUMIFS(HoldHistory!Q:Q, HoldHistory!A:A, A141, HoldHistory!M:M, "Structures Pre-SAM")</f>
        <v>0</v>
      </c>
      <c r="H141">
        <f>SUMIFS(HoldHistory!Q:Q, HoldHistory!A:A, A141, HoldHistory!M:M, "Structures SAM")</f>
        <v>0</v>
      </c>
      <c r="I141">
        <f>SUMIFS(HoldHistory!Q:Q, HoldHistory!A:A, A141, HoldHistory!M:M, "Final Design Review")</f>
        <v>0</v>
      </c>
    </row>
    <row r="142" spans="1:9" x14ac:dyDescent="0.35">
      <c r="A142" t="str">
        <v>CAS-197405-N1T5T8</v>
      </c>
      <c r="B142">
        <f>SUMIFS(HoldHistory!Q:Q, HoldHistory!A:A, A142, HoldHistory!M:M, "Triage")</f>
        <v>0</v>
      </c>
      <c r="C142">
        <f>SUMIFS(HoldHistory!Q:Q, HoldHistory!A:A, A142, HoldHistory!M:M, "Task Plan")</f>
        <v>0</v>
      </c>
      <c r="D142">
        <f>SUMIFS(HoldHistory!Q:Q, HoldHistory!A:A, A142, HoldHistory!M:M, "Initial Design Review")</f>
        <v>0</v>
      </c>
      <c r="E142">
        <f>SUMIFS(HoldHistory!Q:Q, HoldHistory!A:A, A142, HoldHistory!M:M, "ReCAP")</f>
        <v>0</v>
      </c>
      <c r="F142">
        <f>SUMIFS(HoldHistory!Q:Q, HoldHistory!A:A, A142, HoldHistory!M:M, "Draft EA")</f>
        <v>0</v>
      </c>
      <c r="G142">
        <f>SUMIFS(HoldHistory!Q:Q, HoldHistory!A:A, A142, HoldHistory!M:M, "Structures Pre-SAM")</f>
        <v>20</v>
      </c>
      <c r="H142">
        <f>SUMIFS(HoldHistory!Q:Q, HoldHistory!A:A, A142, HoldHistory!M:M, "Structures SAM")</f>
        <v>0</v>
      </c>
      <c r="I142">
        <f>SUMIFS(HoldHistory!Q:Q, HoldHistory!A:A, A142, HoldHistory!M:M, "Final Design Review")</f>
        <v>0</v>
      </c>
    </row>
    <row r="143" spans="1:9" x14ac:dyDescent="0.35">
      <c r="A143" t="str">
        <v>CAS-197411-M9B7N6</v>
      </c>
      <c r="B143">
        <f>SUMIFS(HoldHistory!Q:Q, HoldHistory!A:A, A143, HoldHistory!M:M, "Triage")</f>
        <v>0</v>
      </c>
      <c r="C143">
        <f>SUMIFS(HoldHistory!Q:Q, HoldHistory!A:A, A143, HoldHistory!M:M, "Task Plan")</f>
        <v>0</v>
      </c>
      <c r="D143">
        <f>SUMIFS(HoldHistory!Q:Q, HoldHistory!A:A, A143, HoldHistory!M:M, "Initial Design Review")</f>
        <v>0</v>
      </c>
      <c r="E143">
        <f>SUMIFS(HoldHistory!Q:Q, HoldHistory!A:A, A143, HoldHistory!M:M, "ReCAP")</f>
        <v>0</v>
      </c>
      <c r="F143">
        <f>SUMIFS(HoldHistory!Q:Q, HoldHistory!A:A, A143, HoldHistory!M:M, "Draft EA")</f>
        <v>0</v>
      </c>
      <c r="G143">
        <f>SUMIFS(HoldHistory!Q:Q, HoldHistory!A:A, A143, HoldHistory!M:M, "Structures Pre-SAM")</f>
        <v>0</v>
      </c>
      <c r="H143">
        <f>SUMIFS(HoldHistory!Q:Q, HoldHistory!A:A, A143, HoldHistory!M:M, "Structures SAM")</f>
        <v>0</v>
      </c>
      <c r="I143">
        <f>SUMIFS(HoldHistory!Q:Q, HoldHistory!A:A, A143, HoldHistory!M:M, "Final Design Review")</f>
        <v>0</v>
      </c>
    </row>
    <row r="144" spans="1:9" x14ac:dyDescent="0.35">
      <c r="A144" t="str">
        <v>CAS-197438-D0Q5Z6</v>
      </c>
      <c r="B144">
        <f>SUMIFS(HoldHistory!Q:Q, HoldHistory!A:A, A144, HoldHistory!M:M, "Triage")</f>
        <v>0</v>
      </c>
      <c r="C144">
        <f>SUMIFS(HoldHistory!Q:Q, HoldHistory!A:A, A144, HoldHistory!M:M, "Task Plan")</f>
        <v>0</v>
      </c>
      <c r="D144">
        <f>SUMIFS(HoldHistory!Q:Q, HoldHistory!A:A, A144, HoldHistory!M:M, "Initial Design Review")</f>
        <v>0</v>
      </c>
      <c r="E144">
        <f>SUMIFS(HoldHistory!Q:Q, HoldHistory!A:A, A144, HoldHistory!M:M, "ReCAP")</f>
        <v>0</v>
      </c>
      <c r="F144">
        <f>SUMIFS(HoldHistory!Q:Q, HoldHistory!A:A, A144, HoldHistory!M:M, "Draft EA")</f>
        <v>0</v>
      </c>
      <c r="G144">
        <f>SUMIFS(HoldHistory!Q:Q, HoldHistory!A:A, A144, HoldHistory!M:M, "Structures Pre-SAM")</f>
        <v>0.75999459491140442</v>
      </c>
      <c r="H144">
        <f>SUMIFS(HoldHistory!Q:Q, HoldHistory!A:A, A144, HoldHistory!M:M, "Structures SAM")</f>
        <v>0</v>
      </c>
      <c r="I144">
        <f>SUMIFS(HoldHistory!Q:Q, HoldHistory!A:A, A144, HoldHistory!M:M, "Final Design Review")</f>
        <v>0</v>
      </c>
    </row>
    <row r="145" spans="1:9" x14ac:dyDescent="0.35">
      <c r="A145" t="str">
        <v>CAS-197442-L0F0G1</v>
      </c>
      <c r="B145">
        <f>SUMIFS(HoldHistory!Q:Q, HoldHistory!A:A, A145, HoldHistory!M:M, "Triage")</f>
        <v>0</v>
      </c>
      <c r="C145">
        <f>SUMIFS(HoldHistory!Q:Q, HoldHistory!A:A, A145, HoldHistory!M:M, "Task Plan")</f>
        <v>0</v>
      </c>
      <c r="D145">
        <f>SUMIFS(HoldHistory!Q:Q, HoldHistory!A:A, A145, HoldHistory!M:M, "Initial Design Review")</f>
        <v>0</v>
      </c>
      <c r="E145">
        <f>SUMIFS(HoldHistory!Q:Q, HoldHistory!A:A, A145, HoldHistory!M:M, "ReCAP")</f>
        <v>0</v>
      </c>
      <c r="F145">
        <f>SUMIFS(HoldHistory!Q:Q, HoldHistory!A:A, A145, HoldHistory!M:M, "Draft EA")</f>
        <v>0</v>
      </c>
      <c r="G145">
        <f>SUMIFS(HoldHistory!Q:Q, HoldHistory!A:A, A145, HoldHistory!M:M, "Structures Pre-SAM")</f>
        <v>8</v>
      </c>
      <c r="H145">
        <f>SUMIFS(HoldHistory!Q:Q, HoldHistory!A:A, A145, HoldHistory!M:M, "Structures SAM")</f>
        <v>0</v>
      </c>
      <c r="I145">
        <f>SUMIFS(HoldHistory!Q:Q, HoldHistory!A:A, A145, HoldHistory!M:M, "Final Design Review")</f>
        <v>0</v>
      </c>
    </row>
    <row r="146" spans="1:9" x14ac:dyDescent="0.35">
      <c r="A146" t="str">
        <v>CAS-197675-G5F6N5</v>
      </c>
      <c r="B146">
        <f>SUMIFS(HoldHistory!Q:Q, HoldHistory!A:A, A146, HoldHistory!M:M, "Triage")</f>
        <v>0</v>
      </c>
      <c r="C146">
        <f>SUMIFS(HoldHistory!Q:Q, HoldHistory!A:A, A146, HoldHistory!M:M, "Task Plan")</f>
        <v>0</v>
      </c>
      <c r="D146">
        <f>SUMIFS(HoldHistory!Q:Q, HoldHistory!A:A, A146, HoldHistory!M:M, "Initial Design Review")</f>
        <v>0</v>
      </c>
      <c r="E146">
        <f>SUMIFS(HoldHistory!Q:Q, HoldHistory!A:A, A146, HoldHistory!M:M, "ReCAP")</f>
        <v>0</v>
      </c>
      <c r="F146">
        <f>SUMIFS(HoldHistory!Q:Q, HoldHistory!A:A, A146, HoldHistory!M:M, "Draft EA")</f>
        <v>0</v>
      </c>
      <c r="G146">
        <f>SUMIFS(HoldHistory!Q:Q, HoldHistory!A:A, A146, HoldHistory!M:M, "Structures Pre-SAM")</f>
        <v>0</v>
      </c>
      <c r="H146">
        <f>SUMIFS(HoldHistory!Q:Q, HoldHistory!A:A, A146, HoldHistory!M:M, "Structures SAM")</f>
        <v>0</v>
      </c>
      <c r="I146">
        <f>SUMIFS(HoldHistory!Q:Q, HoldHistory!A:A, A146, HoldHistory!M:M, "Final Design Review")</f>
        <v>0</v>
      </c>
    </row>
    <row r="147" spans="1:9" x14ac:dyDescent="0.35">
      <c r="A147" t="str">
        <v>CAS-197677-V0X2Q5</v>
      </c>
      <c r="B147">
        <f>SUMIFS(HoldHistory!Q:Q, HoldHistory!A:A, A147, HoldHistory!M:M, "Triage")</f>
        <v>0</v>
      </c>
      <c r="C147">
        <f>SUMIFS(HoldHistory!Q:Q, HoldHistory!A:A, A147, HoldHistory!M:M, "Task Plan")</f>
        <v>0</v>
      </c>
      <c r="D147">
        <f>SUMIFS(HoldHistory!Q:Q, HoldHistory!A:A, A147, HoldHistory!M:M, "Initial Design Review")</f>
        <v>0</v>
      </c>
      <c r="E147">
        <f>SUMIFS(HoldHistory!Q:Q, HoldHistory!A:A, A147, HoldHistory!M:M, "ReCAP")</f>
        <v>0</v>
      </c>
      <c r="F147">
        <f>SUMIFS(HoldHistory!Q:Q, HoldHistory!A:A, A147, HoldHistory!M:M, "Draft EA")</f>
        <v>0</v>
      </c>
      <c r="G147">
        <f>SUMIFS(HoldHistory!Q:Q, HoldHistory!A:A, A147, HoldHistory!M:M, "Structures Pre-SAM")</f>
        <v>0</v>
      </c>
      <c r="H147">
        <f>SUMIFS(HoldHistory!Q:Q, HoldHistory!A:A, A147, HoldHistory!M:M, "Structures SAM")</f>
        <v>0</v>
      </c>
      <c r="I147">
        <f>SUMIFS(HoldHistory!Q:Q, HoldHistory!A:A, A147, HoldHistory!M:M, "Final Design Review")</f>
        <v>0</v>
      </c>
    </row>
    <row r="148" spans="1:9" x14ac:dyDescent="0.35">
      <c r="A148" t="str">
        <v>CAS-197681-M2J4H7</v>
      </c>
      <c r="B148">
        <f>SUMIFS(HoldHistory!Q:Q, HoldHistory!A:A, A148, HoldHistory!M:M, "Triage")</f>
        <v>0</v>
      </c>
      <c r="C148">
        <f>SUMIFS(HoldHistory!Q:Q, HoldHistory!A:A, A148, HoldHistory!M:M, "Task Plan")</f>
        <v>0</v>
      </c>
      <c r="D148">
        <f>SUMIFS(HoldHistory!Q:Q, HoldHistory!A:A, A148, HoldHistory!M:M, "Initial Design Review")</f>
        <v>0</v>
      </c>
      <c r="E148">
        <f>SUMIFS(HoldHistory!Q:Q, HoldHistory!A:A, A148, HoldHistory!M:M, "ReCAP")</f>
        <v>0</v>
      </c>
      <c r="F148">
        <f>SUMIFS(HoldHistory!Q:Q, HoldHistory!A:A, A148, HoldHistory!M:M, "Draft EA")</f>
        <v>0</v>
      </c>
      <c r="G148">
        <f>SUMIFS(HoldHistory!Q:Q, HoldHistory!A:A, A148, HoldHistory!M:M, "Structures Pre-SAM")</f>
        <v>5</v>
      </c>
      <c r="H148">
        <f>SUMIFS(HoldHistory!Q:Q, HoldHistory!A:A, A148, HoldHistory!M:M, "Structures SAM")</f>
        <v>0</v>
      </c>
      <c r="I148">
        <f>SUMIFS(HoldHistory!Q:Q, HoldHistory!A:A, A148, HoldHistory!M:M, "Final Design Review")</f>
        <v>0</v>
      </c>
    </row>
    <row r="149" spans="1:9" x14ac:dyDescent="0.35">
      <c r="A149" t="str">
        <v>CAS-197927-M7N5J8</v>
      </c>
      <c r="B149">
        <f>SUMIFS(HoldHistory!Q:Q, HoldHistory!A:A, A149, HoldHistory!M:M, "Triage")</f>
        <v>0</v>
      </c>
      <c r="C149">
        <f>SUMIFS(HoldHistory!Q:Q, HoldHistory!A:A, A149, HoldHistory!M:M, "Task Plan")</f>
        <v>0</v>
      </c>
      <c r="D149">
        <f>SUMIFS(HoldHistory!Q:Q, HoldHistory!A:A, A149, HoldHistory!M:M, "Initial Design Review")</f>
        <v>0</v>
      </c>
      <c r="E149">
        <f>SUMIFS(HoldHistory!Q:Q, HoldHistory!A:A, A149, HoldHistory!M:M, "ReCAP")</f>
        <v>0</v>
      </c>
      <c r="F149">
        <f>SUMIFS(HoldHistory!Q:Q, HoldHistory!A:A, A149, HoldHistory!M:M, "Draft EA")</f>
        <v>0</v>
      </c>
      <c r="G149">
        <f>SUMIFS(HoldHistory!Q:Q, HoldHistory!A:A, A149, HoldHistory!M:M, "Structures Pre-SAM")</f>
        <v>0</v>
      </c>
      <c r="H149">
        <f>SUMIFS(HoldHistory!Q:Q, HoldHistory!A:A, A149, HoldHistory!M:M, "Structures SAM")</f>
        <v>0</v>
      </c>
      <c r="I149">
        <f>SUMIFS(HoldHistory!Q:Q, HoldHistory!A:A, A149, HoldHistory!M:M, "Final Design Review")</f>
        <v>0</v>
      </c>
    </row>
    <row r="150" spans="1:9" x14ac:dyDescent="0.35">
      <c r="A150" t="str">
        <v>CAS-197939-X4R5Q9</v>
      </c>
      <c r="B150">
        <f>SUMIFS(HoldHistory!Q:Q, HoldHistory!A:A, A150, HoldHistory!M:M, "Triage")</f>
        <v>0</v>
      </c>
      <c r="C150">
        <f>SUMIFS(HoldHistory!Q:Q, HoldHistory!A:A, A150, HoldHistory!M:M, "Task Plan")</f>
        <v>0</v>
      </c>
      <c r="D150">
        <f>SUMIFS(HoldHistory!Q:Q, HoldHistory!A:A, A150, HoldHistory!M:M, "Initial Design Review")</f>
        <v>0</v>
      </c>
      <c r="E150">
        <f>SUMIFS(HoldHistory!Q:Q, HoldHistory!A:A, A150, HoldHistory!M:M, "ReCAP")</f>
        <v>0</v>
      </c>
      <c r="F150">
        <f>SUMIFS(HoldHistory!Q:Q, HoldHistory!A:A, A150, HoldHistory!M:M, "Draft EA")</f>
        <v>0</v>
      </c>
      <c r="G150">
        <f>SUMIFS(HoldHistory!Q:Q, HoldHistory!A:A, A150, HoldHistory!M:M, "Structures Pre-SAM")</f>
        <v>0</v>
      </c>
      <c r="H150">
        <f>SUMIFS(HoldHistory!Q:Q, HoldHistory!A:A, A150, HoldHistory!M:M, "Structures SAM")</f>
        <v>0</v>
      </c>
      <c r="I150">
        <f>SUMIFS(HoldHistory!Q:Q, HoldHistory!A:A, A150, HoldHistory!M:M, "Final Design Review")</f>
        <v>0</v>
      </c>
    </row>
    <row r="151" spans="1:9" x14ac:dyDescent="0.35">
      <c r="A151" t="str">
        <v>CAS-198103-P8B1G1</v>
      </c>
      <c r="B151">
        <f>SUMIFS(HoldHistory!Q:Q, HoldHistory!A:A, A151, HoldHistory!M:M, "Triage")</f>
        <v>0</v>
      </c>
      <c r="C151">
        <f>SUMIFS(HoldHistory!Q:Q, HoldHistory!A:A, A151, HoldHistory!M:M, "Task Plan")</f>
        <v>0</v>
      </c>
      <c r="D151">
        <f>SUMIFS(HoldHistory!Q:Q, HoldHistory!A:A, A151, HoldHistory!M:M, "Initial Design Review")</f>
        <v>0</v>
      </c>
      <c r="E151">
        <f>SUMIFS(HoldHistory!Q:Q, HoldHistory!A:A, A151, HoldHistory!M:M, "ReCAP")</f>
        <v>0</v>
      </c>
      <c r="F151">
        <f>SUMIFS(HoldHistory!Q:Q, HoldHistory!A:A, A151, HoldHistory!M:M, "Draft EA")</f>
        <v>0</v>
      </c>
      <c r="G151">
        <f>SUMIFS(HoldHistory!Q:Q, HoldHistory!A:A, A151, HoldHistory!M:M, "Structures Pre-SAM")</f>
        <v>90.972815821762197</v>
      </c>
      <c r="H151">
        <f>SUMIFS(HoldHistory!Q:Q, HoldHistory!A:A, A151, HoldHistory!M:M, "Structures SAM")</f>
        <v>0</v>
      </c>
      <c r="I151">
        <f>SUMIFS(HoldHistory!Q:Q, HoldHistory!A:A, A151, HoldHistory!M:M, "Final Design Review")</f>
        <v>0</v>
      </c>
    </row>
    <row r="152" spans="1:9" x14ac:dyDescent="0.35">
      <c r="A152" t="str">
        <v>CAS-198367-T0X0W2</v>
      </c>
      <c r="B152">
        <f>SUMIFS(HoldHistory!Q:Q, HoldHistory!A:A, A152, HoldHistory!M:M, "Triage")</f>
        <v>0</v>
      </c>
      <c r="C152">
        <f>SUMIFS(HoldHistory!Q:Q, HoldHistory!A:A, A152, HoldHistory!M:M, "Task Plan")</f>
        <v>0</v>
      </c>
      <c r="D152">
        <f>SUMIFS(HoldHistory!Q:Q, HoldHistory!A:A, A152, HoldHistory!M:M, "Initial Design Review")</f>
        <v>0</v>
      </c>
      <c r="E152">
        <f>SUMIFS(HoldHistory!Q:Q, HoldHistory!A:A, A152, HoldHistory!M:M, "ReCAP")</f>
        <v>0</v>
      </c>
      <c r="F152">
        <f>SUMIFS(HoldHistory!Q:Q, HoldHistory!A:A, A152, HoldHistory!M:M, "Draft EA")</f>
        <v>0</v>
      </c>
      <c r="G152">
        <f>SUMIFS(HoldHistory!Q:Q, HoldHistory!A:A, A152, HoldHistory!M:M, "Structures Pre-SAM")</f>
        <v>0</v>
      </c>
      <c r="H152">
        <f>SUMIFS(HoldHistory!Q:Q, HoldHistory!A:A, A152, HoldHistory!M:M, "Structures SAM")</f>
        <v>0</v>
      </c>
      <c r="I152">
        <f>SUMIFS(HoldHistory!Q:Q, HoldHistory!A:A, A152, HoldHistory!M:M, "Final Design Review")</f>
        <v>0</v>
      </c>
    </row>
    <row r="153" spans="1:9" x14ac:dyDescent="0.35">
      <c r="A153" t="str">
        <v>CAS-198657-Z0N8W7</v>
      </c>
      <c r="B153">
        <f>SUMIFS(HoldHistory!Q:Q, HoldHistory!A:A, A153, HoldHistory!M:M, "Triage")</f>
        <v>0</v>
      </c>
      <c r="C153">
        <f>SUMIFS(HoldHistory!Q:Q, HoldHistory!A:A, A153, HoldHistory!M:M, "Task Plan")</f>
        <v>0</v>
      </c>
      <c r="D153">
        <f>SUMIFS(HoldHistory!Q:Q, HoldHistory!A:A, A153, HoldHistory!M:M, "Initial Design Review")</f>
        <v>0</v>
      </c>
      <c r="E153">
        <f>SUMIFS(HoldHistory!Q:Q, HoldHistory!A:A, A153, HoldHistory!M:M, "ReCAP")</f>
        <v>0</v>
      </c>
      <c r="F153">
        <f>SUMIFS(HoldHistory!Q:Q, HoldHistory!A:A, A153, HoldHistory!M:M, "Draft EA")</f>
        <v>75</v>
      </c>
      <c r="G153">
        <f>SUMIFS(HoldHistory!Q:Q, HoldHistory!A:A, A153, HoldHistory!M:M, "Structures Pre-SAM")</f>
        <v>0</v>
      </c>
      <c r="H153">
        <f>SUMIFS(HoldHistory!Q:Q, HoldHistory!A:A, A153, HoldHistory!M:M, "Structures SAM")</f>
        <v>0</v>
      </c>
      <c r="I153">
        <f>SUMIFS(HoldHistory!Q:Q, HoldHistory!A:A, A153, HoldHistory!M:M, "Final Design Review")</f>
        <v>0</v>
      </c>
    </row>
    <row r="154" spans="1:9" x14ac:dyDescent="0.35">
      <c r="A154" t="str">
        <v>CAS-198799-C6F6G6</v>
      </c>
      <c r="B154">
        <f>SUMIFS(HoldHistory!Q:Q, HoldHistory!A:A, A154, HoldHistory!M:M, "Triage")</f>
        <v>0</v>
      </c>
      <c r="C154">
        <f>SUMIFS(HoldHistory!Q:Q, HoldHistory!A:A, A154, HoldHistory!M:M, "Task Plan")</f>
        <v>0</v>
      </c>
      <c r="D154">
        <f>SUMIFS(HoldHistory!Q:Q, HoldHistory!A:A, A154, HoldHistory!M:M, "Initial Design Review")</f>
        <v>0</v>
      </c>
      <c r="E154">
        <f>SUMIFS(HoldHistory!Q:Q, HoldHistory!A:A, A154, HoldHistory!M:M, "ReCAP")</f>
        <v>0</v>
      </c>
      <c r="F154">
        <f>SUMIFS(HoldHistory!Q:Q, HoldHistory!A:A, A154, HoldHistory!M:M, "Draft EA")</f>
        <v>0</v>
      </c>
      <c r="G154">
        <f>SUMIFS(HoldHistory!Q:Q, HoldHistory!A:A, A154, HoldHistory!M:M, "Structures Pre-SAM")</f>
        <v>0</v>
      </c>
      <c r="H154">
        <f>SUMIFS(HoldHistory!Q:Q, HoldHistory!A:A, A154, HoldHistory!M:M, "Structures SAM")</f>
        <v>0</v>
      </c>
      <c r="I154">
        <f>SUMIFS(HoldHistory!Q:Q, HoldHistory!A:A, A154, HoldHistory!M:M, "Final Design Review")</f>
        <v>0</v>
      </c>
    </row>
    <row r="155" spans="1:9" x14ac:dyDescent="0.35">
      <c r="A155" t="str">
        <v>CAS-198935-G6B6Z3</v>
      </c>
      <c r="B155">
        <f>SUMIFS(HoldHistory!Q:Q, HoldHistory!A:A, A155, HoldHistory!M:M, "Triage")</f>
        <v>0</v>
      </c>
      <c r="C155">
        <f>SUMIFS(HoldHistory!Q:Q, HoldHistory!A:A, A155, HoldHistory!M:M, "Task Plan")</f>
        <v>0</v>
      </c>
      <c r="D155">
        <f>SUMIFS(HoldHistory!Q:Q, HoldHistory!A:A, A155, HoldHistory!M:M, "Initial Design Review")</f>
        <v>0</v>
      </c>
      <c r="E155">
        <f>SUMIFS(HoldHistory!Q:Q, HoldHistory!A:A, A155, HoldHistory!M:M, "ReCAP")</f>
        <v>0</v>
      </c>
      <c r="F155">
        <f>SUMIFS(HoldHistory!Q:Q, HoldHistory!A:A, A155, HoldHistory!M:M, "Draft EA")</f>
        <v>56</v>
      </c>
      <c r="G155">
        <f>SUMIFS(HoldHistory!Q:Q, HoldHistory!A:A, A155, HoldHistory!M:M, "Structures Pre-SAM")</f>
        <v>0</v>
      </c>
      <c r="H155">
        <f>SUMIFS(HoldHistory!Q:Q, HoldHistory!A:A, A155, HoldHistory!M:M, "Structures SAM")</f>
        <v>0</v>
      </c>
      <c r="I155">
        <f>SUMIFS(HoldHistory!Q:Q, HoldHistory!A:A, A155, HoldHistory!M:M, "Final Design Review")</f>
        <v>0</v>
      </c>
    </row>
    <row r="156" spans="1:9" x14ac:dyDescent="0.35">
      <c r="A156" t="str">
        <v>CAS-198957-F2V4Y1</v>
      </c>
      <c r="B156">
        <f>SUMIFS(HoldHistory!Q:Q, HoldHistory!A:A, A156, HoldHistory!M:M, "Triage")</f>
        <v>0</v>
      </c>
      <c r="C156">
        <f>SUMIFS(HoldHistory!Q:Q, HoldHistory!A:A, A156, HoldHistory!M:M, "Task Plan")</f>
        <v>0</v>
      </c>
      <c r="D156">
        <f>SUMIFS(HoldHistory!Q:Q, HoldHistory!A:A, A156, HoldHistory!M:M, "Initial Design Review")</f>
        <v>0</v>
      </c>
      <c r="E156">
        <f>SUMIFS(HoldHistory!Q:Q, HoldHistory!A:A, A156, HoldHistory!M:M, "ReCAP")</f>
        <v>0</v>
      </c>
      <c r="F156">
        <f>SUMIFS(HoldHistory!Q:Q, HoldHistory!A:A, A156, HoldHistory!M:M, "Draft EA")</f>
        <v>0</v>
      </c>
      <c r="G156">
        <f>SUMIFS(HoldHistory!Q:Q, HoldHistory!A:A, A156, HoldHistory!M:M, "Structures Pre-SAM")</f>
        <v>0</v>
      </c>
      <c r="H156">
        <f>SUMIFS(HoldHistory!Q:Q, HoldHistory!A:A, A156, HoldHistory!M:M, "Structures SAM")</f>
        <v>0</v>
      </c>
      <c r="I156">
        <f>SUMIFS(HoldHistory!Q:Q, HoldHistory!A:A, A156, HoldHistory!M:M, "Final Design Review")</f>
        <v>5</v>
      </c>
    </row>
    <row r="157" spans="1:9" x14ac:dyDescent="0.35">
      <c r="A157" t="str">
        <v>CAS-199019-J5W9H9</v>
      </c>
      <c r="B157">
        <f>SUMIFS(HoldHistory!Q:Q, HoldHistory!A:A, A157, HoldHistory!M:M, "Triage")</f>
        <v>0</v>
      </c>
      <c r="C157">
        <f>SUMIFS(HoldHistory!Q:Q, HoldHistory!A:A, A157, HoldHistory!M:M, "Task Plan")</f>
        <v>0</v>
      </c>
      <c r="D157">
        <f>SUMIFS(HoldHistory!Q:Q, HoldHistory!A:A, A157, HoldHistory!M:M, "Initial Design Review")</f>
        <v>0</v>
      </c>
      <c r="E157">
        <f>SUMIFS(HoldHistory!Q:Q, HoldHistory!A:A, A157, HoldHistory!M:M, "ReCAP")</f>
        <v>0</v>
      </c>
      <c r="F157">
        <f>SUMIFS(HoldHistory!Q:Q, HoldHistory!A:A, A157, HoldHistory!M:M, "Draft EA")</f>
        <v>0</v>
      </c>
      <c r="G157">
        <f>SUMIFS(HoldHistory!Q:Q, HoldHistory!A:A, A157, HoldHistory!M:M, "Structures Pre-SAM")</f>
        <v>0</v>
      </c>
      <c r="H157">
        <f>SUMIFS(HoldHistory!Q:Q, HoldHistory!A:A, A157, HoldHistory!M:M, "Structures SAM")</f>
        <v>0</v>
      </c>
      <c r="I157">
        <f>SUMIFS(HoldHistory!Q:Q, HoldHistory!A:A, A157, HoldHistory!M:M, "Final Design Review")</f>
        <v>0</v>
      </c>
    </row>
    <row r="158" spans="1:9" x14ac:dyDescent="0.35">
      <c r="A158" t="str">
        <v>CAS-199094-M1P4B8</v>
      </c>
      <c r="B158">
        <f>SUMIFS(HoldHistory!Q:Q, HoldHistory!A:A, A158, HoldHistory!M:M, "Triage")</f>
        <v>0</v>
      </c>
      <c r="C158">
        <f>SUMIFS(HoldHistory!Q:Q, HoldHistory!A:A, A158, HoldHistory!M:M, "Task Plan")</f>
        <v>0</v>
      </c>
      <c r="D158">
        <f>SUMIFS(HoldHistory!Q:Q, HoldHistory!A:A, A158, HoldHistory!M:M, "Initial Design Review")</f>
        <v>0</v>
      </c>
      <c r="E158">
        <f>SUMIFS(HoldHistory!Q:Q, HoldHistory!A:A, A158, HoldHistory!M:M, "ReCAP")</f>
        <v>0</v>
      </c>
      <c r="F158">
        <f>SUMIFS(HoldHistory!Q:Q, HoldHistory!A:A, A158, HoldHistory!M:M, "Draft EA")</f>
        <v>0</v>
      </c>
      <c r="G158">
        <f>SUMIFS(HoldHistory!Q:Q, HoldHistory!A:A, A158, HoldHistory!M:M, "Structures Pre-SAM")</f>
        <v>0</v>
      </c>
      <c r="H158">
        <f>SUMIFS(HoldHistory!Q:Q, HoldHistory!A:A, A158, HoldHistory!M:M, "Structures SAM")</f>
        <v>0</v>
      </c>
      <c r="I158">
        <f>SUMIFS(HoldHistory!Q:Q, HoldHistory!A:A, A158, HoldHistory!M:M, "Final Design Review")</f>
        <v>0</v>
      </c>
    </row>
    <row r="159" spans="1:9" x14ac:dyDescent="0.35">
      <c r="A159" t="str">
        <v>CAS-199854-Z4X0D3</v>
      </c>
      <c r="B159">
        <f>SUMIFS(HoldHistory!Q:Q, HoldHistory!A:A, A159, HoldHistory!M:M, "Triage")</f>
        <v>0</v>
      </c>
      <c r="C159">
        <f>SUMIFS(HoldHistory!Q:Q, HoldHistory!A:A, A159, HoldHistory!M:M, "Task Plan")</f>
        <v>0</v>
      </c>
      <c r="D159">
        <f>SUMIFS(HoldHistory!Q:Q, HoldHistory!A:A, A159, HoldHistory!M:M, "Initial Design Review")</f>
        <v>0</v>
      </c>
      <c r="E159">
        <f>SUMIFS(HoldHistory!Q:Q, HoldHistory!A:A, A159, HoldHistory!M:M, "ReCAP")</f>
        <v>0</v>
      </c>
      <c r="F159">
        <f>SUMIFS(HoldHistory!Q:Q, HoldHistory!A:A, A159, HoldHistory!M:M, "Draft EA")</f>
        <v>34.997765856482147</v>
      </c>
      <c r="G159">
        <f>SUMIFS(HoldHistory!Q:Q, HoldHistory!A:A, A159, HoldHistory!M:M, "Structures Pre-SAM")</f>
        <v>12.941974780093005</v>
      </c>
      <c r="H159">
        <f>SUMIFS(HoldHistory!Q:Q, HoldHistory!A:A, A159, HoldHistory!M:M, "Structures SAM")</f>
        <v>24.048623576389218</v>
      </c>
      <c r="I159">
        <f>SUMIFS(HoldHistory!Q:Q, HoldHistory!A:A, A159, HoldHistory!M:M, "Final Design Review")</f>
        <v>0</v>
      </c>
    </row>
    <row r="160" spans="1:9" x14ac:dyDescent="0.35">
      <c r="A160" t="str">
        <v>CAS-200416-T5T7F9</v>
      </c>
      <c r="B160">
        <f>SUMIFS(HoldHistory!Q:Q, HoldHistory!A:A, A160, HoldHistory!M:M, "Triage")</f>
        <v>0</v>
      </c>
      <c r="C160">
        <f>SUMIFS(HoldHistory!Q:Q, HoldHistory!A:A, A160, HoldHistory!M:M, "Task Plan")</f>
        <v>0</v>
      </c>
      <c r="D160">
        <f>SUMIFS(HoldHistory!Q:Q, HoldHistory!A:A, A160, HoldHistory!M:M, "Initial Design Review")</f>
        <v>0</v>
      </c>
      <c r="E160">
        <f>SUMIFS(HoldHistory!Q:Q, HoldHistory!A:A, A160, HoldHistory!M:M, "ReCAP")</f>
        <v>0</v>
      </c>
      <c r="F160">
        <f>SUMIFS(HoldHistory!Q:Q, HoldHistory!A:A, A160, HoldHistory!M:M, "Draft EA")</f>
        <v>0</v>
      </c>
      <c r="G160">
        <f>SUMIFS(HoldHistory!Q:Q, HoldHistory!A:A, A160, HoldHistory!M:M, "Structures Pre-SAM")</f>
        <v>7</v>
      </c>
      <c r="H160">
        <f>SUMIFS(HoldHistory!Q:Q, HoldHistory!A:A, A160, HoldHistory!M:M, "Structures SAM")</f>
        <v>0</v>
      </c>
      <c r="I160">
        <f>SUMIFS(HoldHistory!Q:Q, HoldHistory!A:A, A160, HoldHistory!M:M, "Final Design Review")</f>
        <v>12</v>
      </c>
    </row>
    <row r="161" spans="1:9" x14ac:dyDescent="0.35">
      <c r="A161" t="str">
        <v>CAS-200450-M1N6H5</v>
      </c>
      <c r="B161">
        <f>SUMIFS(HoldHistory!Q:Q, HoldHistory!A:A, A161, HoldHistory!M:M, "Triage")</f>
        <v>0</v>
      </c>
      <c r="C161">
        <f>SUMIFS(HoldHistory!Q:Q, HoldHistory!A:A, A161, HoldHistory!M:M, "Task Plan")</f>
        <v>0</v>
      </c>
      <c r="D161">
        <f>SUMIFS(HoldHistory!Q:Q, HoldHistory!A:A, A161, HoldHistory!M:M, "Initial Design Review")</f>
        <v>0</v>
      </c>
      <c r="E161">
        <f>SUMIFS(HoldHistory!Q:Q, HoldHistory!A:A, A161, HoldHistory!M:M, "ReCAP")</f>
        <v>114</v>
      </c>
      <c r="F161">
        <f>SUMIFS(HoldHistory!Q:Q, HoldHistory!A:A, A161, HoldHistory!M:M, "Draft EA")</f>
        <v>0</v>
      </c>
      <c r="G161">
        <f>SUMIFS(HoldHistory!Q:Q, HoldHistory!A:A, A161, HoldHistory!M:M, "Structures Pre-SAM")</f>
        <v>0</v>
      </c>
      <c r="H161">
        <f>SUMIFS(HoldHistory!Q:Q, HoldHistory!A:A, A161, HoldHistory!M:M, "Structures SAM")</f>
        <v>0</v>
      </c>
      <c r="I161">
        <f>SUMIFS(HoldHistory!Q:Q, HoldHistory!A:A, A161, HoldHistory!M:M, "Final Design Review")</f>
        <v>0</v>
      </c>
    </row>
    <row r="162" spans="1:9" x14ac:dyDescent="0.35">
      <c r="A162" t="str">
        <v>CAS-200647-C0G3W2</v>
      </c>
      <c r="B162">
        <f>SUMIFS(HoldHistory!Q:Q, HoldHistory!A:A, A162, HoldHistory!M:M, "Triage")</f>
        <v>0</v>
      </c>
      <c r="C162">
        <f>SUMIFS(HoldHistory!Q:Q, HoldHistory!A:A, A162, HoldHistory!M:M, "Task Plan")</f>
        <v>0</v>
      </c>
      <c r="D162">
        <f>SUMIFS(HoldHistory!Q:Q, HoldHistory!A:A, A162, HoldHistory!M:M, "Initial Design Review")</f>
        <v>0</v>
      </c>
      <c r="E162">
        <f>SUMIFS(HoldHistory!Q:Q, HoldHistory!A:A, A162, HoldHistory!M:M, "ReCAP")</f>
        <v>0</v>
      </c>
      <c r="F162">
        <f>SUMIFS(HoldHistory!Q:Q, HoldHistory!A:A, A162, HoldHistory!M:M, "Draft EA")</f>
        <v>0</v>
      </c>
      <c r="G162">
        <f>SUMIFS(HoldHistory!Q:Q, HoldHistory!A:A, A162, HoldHistory!M:M, "Structures Pre-SAM")</f>
        <v>0</v>
      </c>
      <c r="H162">
        <f>SUMIFS(HoldHistory!Q:Q, HoldHistory!A:A, A162, HoldHistory!M:M, "Structures SAM")</f>
        <v>0</v>
      </c>
      <c r="I162">
        <f>SUMIFS(HoldHistory!Q:Q, HoldHistory!A:A, A162, HoldHistory!M:M, "Final Design Review")</f>
        <v>0</v>
      </c>
    </row>
    <row r="163" spans="1:9" x14ac:dyDescent="0.35">
      <c r="A163" t="str">
        <v>CAS-200911-V2N2B7</v>
      </c>
      <c r="B163">
        <f>SUMIFS(HoldHistory!Q:Q, HoldHistory!A:A, A163, HoldHistory!M:M, "Triage")</f>
        <v>0</v>
      </c>
      <c r="C163">
        <f>SUMIFS(HoldHistory!Q:Q, HoldHistory!A:A, A163, HoldHistory!M:M, "Task Plan")</f>
        <v>0</v>
      </c>
      <c r="D163">
        <f>SUMIFS(HoldHistory!Q:Q, HoldHistory!A:A, A163, HoldHistory!M:M, "Initial Design Review")</f>
        <v>0</v>
      </c>
      <c r="E163">
        <f>SUMIFS(HoldHistory!Q:Q, HoldHistory!A:A, A163, HoldHistory!M:M, "ReCAP")</f>
        <v>0</v>
      </c>
      <c r="F163">
        <f>SUMIFS(HoldHistory!Q:Q, HoldHistory!A:A, A163, HoldHistory!M:M, "Draft EA")</f>
        <v>0</v>
      </c>
      <c r="G163">
        <f>SUMIFS(HoldHistory!Q:Q, HoldHistory!A:A, A163, HoldHistory!M:M, "Structures Pre-SAM")</f>
        <v>0</v>
      </c>
      <c r="H163">
        <f>SUMIFS(HoldHistory!Q:Q, HoldHistory!A:A, A163, HoldHistory!M:M, "Structures SAM")</f>
        <v>0</v>
      </c>
      <c r="I163">
        <f>SUMIFS(HoldHistory!Q:Q, HoldHistory!A:A, A163, HoldHistory!M:M, "Final Design Review")</f>
        <v>0</v>
      </c>
    </row>
    <row r="164" spans="1:9" x14ac:dyDescent="0.35">
      <c r="A164" t="str">
        <v>CAS-200981-C9W1J4</v>
      </c>
      <c r="B164">
        <f>SUMIFS(HoldHistory!Q:Q, HoldHistory!A:A, A164, HoldHistory!M:M, "Triage")</f>
        <v>0</v>
      </c>
      <c r="C164">
        <f>SUMIFS(HoldHistory!Q:Q, HoldHistory!A:A, A164, HoldHistory!M:M, "Task Plan")</f>
        <v>0</v>
      </c>
      <c r="D164">
        <f>SUMIFS(HoldHistory!Q:Q, HoldHistory!A:A, A164, HoldHistory!M:M, "Initial Design Review")</f>
        <v>0</v>
      </c>
      <c r="E164">
        <f>SUMIFS(HoldHistory!Q:Q, HoldHistory!A:A, A164, HoldHistory!M:M, "ReCAP")</f>
        <v>0</v>
      </c>
      <c r="F164">
        <f>SUMIFS(HoldHistory!Q:Q, HoldHistory!A:A, A164, HoldHistory!M:M, "Draft EA")</f>
        <v>0</v>
      </c>
      <c r="G164">
        <f>SUMIFS(HoldHistory!Q:Q, HoldHistory!A:A, A164, HoldHistory!M:M, "Structures Pre-SAM")</f>
        <v>0</v>
      </c>
      <c r="H164">
        <f>SUMIFS(HoldHistory!Q:Q, HoldHistory!A:A, A164, HoldHistory!M:M, "Structures SAM")</f>
        <v>0</v>
      </c>
      <c r="I164">
        <f>SUMIFS(HoldHistory!Q:Q, HoldHistory!A:A, A164, HoldHistory!M:M, "Final Design Review")</f>
        <v>0</v>
      </c>
    </row>
    <row r="165" spans="1:9" x14ac:dyDescent="0.35">
      <c r="A165" t="str">
        <v>CAS-201228-P6L9F1</v>
      </c>
      <c r="B165">
        <f>SUMIFS(HoldHistory!Q:Q, HoldHistory!A:A, A165, HoldHistory!M:M, "Triage")</f>
        <v>0</v>
      </c>
      <c r="C165">
        <f>SUMIFS(HoldHistory!Q:Q, HoldHistory!A:A, A165, HoldHistory!M:M, "Task Plan")</f>
        <v>0</v>
      </c>
      <c r="D165">
        <f>SUMIFS(HoldHistory!Q:Q, HoldHistory!A:A, A165, HoldHistory!M:M, "Initial Design Review")</f>
        <v>0</v>
      </c>
      <c r="E165">
        <f>SUMIFS(HoldHistory!Q:Q, HoldHistory!A:A, A165, HoldHistory!M:M, "ReCAP")</f>
        <v>0</v>
      </c>
      <c r="F165">
        <f>SUMIFS(HoldHistory!Q:Q, HoldHistory!A:A, A165, HoldHistory!M:M, "Draft EA")</f>
        <v>0</v>
      </c>
      <c r="G165">
        <f>SUMIFS(HoldHistory!Q:Q, HoldHistory!A:A, A165, HoldHistory!M:M, "Structures Pre-SAM")</f>
        <v>0</v>
      </c>
      <c r="H165">
        <f>SUMIFS(HoldHistory!Q:Q, HoldHistory!A:A, A165, HoldHistory!M:M, "Structures SAM")</f>
        <v>0</v>
      </c>
      <c r="I165">
        <f>SUMIFS(HoldHistory!Q:Q, HoldHistory!A:A, A165, HoldHistory!M:M, "Final Design Review")</f>
        <v>0</v>
      </c>
    </row>
    <row r="166" spans="1:9" x14ac:dyDescent="0.35">
      <c r="A166" t="str">
        <v>CAS-201395-C8Q3M7</v>
      </c>
      <c r="B166">
        <f>SUMIFS(HoldHistory!Q:Q, HoldHistory!A:A, A166, HoldHistory!M:M, "Triage")</f>
        <v>14</v>
      </c>
      <c r="C166">
        <f>SUMIFS(HoldHistory!Q:Q, HoldHistory!A:A, A166, HoldHistory!M:M, "Task Plan")</f>
        <v>0</v>
      </c>
      <c r="D166">
        <f>SUMIFS(HoldHistory!Q:Q, HoldHistory!A:A, A166, HoldHistory!M:M, "Initial Design Review")</f>
        <v>55</v>
      </c>
      <c r="E166">
        <f>SUMIFS(HoldHistory!Q:Q, HoldHistory!A:A, A166, HoldHistory!M:M, "ReCAP")</f>
        <v>0</v>
      </c>
      <c r="F166">
        <f>SUMIFS(HoldHistory!Q:Q, HoldHistory!A:A, A166, HoldHistory!M:M, "Draft EA")</f>
        <v>0</v>
      </c>
      <c r="G166">
        <f>SUMIFS(HoldHistory!Q:Q, HoldHistory!A:A, A166, HoldHistory!M:M, "Structures Pre-SAM")</f>
        <v>5</v>
      </c>
      <c r="H166">
        <f>SUMIFS(HoldHistory!Q:Q, HoldHistory!A:A, A166, HoldHistory!M:M, "Structures SAM")</f>
        <v>0</v>
      </c>
      <c r="I166">
        <f>SUMIFS(HoldHistory!Q:Q, HoldHistory!A:A, A166, HoldHistory!M:M, "Final Design Review")</f>
        <v>0</v>
      </c>
    </row>
    <row r="167" spans="1:9" x14ac:dyDescent="0.35">
      <c r="A167" t="str">
        <v>CAS-201529-L3G9F6</v>
      </c>
      <c r="B167">
        <f>SUMIFS(HoldHistory!Q:Q, HoldHistory!A:A, A167, HoldHistory!M:M, "Triage")</f>
        <v>0</v>
      </c>
      <c r="C167">
        <f>SUMIFS(HoldHistory!Q:Q, HoldHistory!A:A, A167, HoldHistory!M:M, "Task Plan")</f>
        <v>0</v>
      </c>
      <c r="D167">
        <f>SUMIFS(HoldHistory!Q:Q, HoldHistory!A:A, A167, HoldHistory!M:M, "Initial Design Review")</f>
        <v>0</v>
      </c>
      <c r="E167">
        <f>SUMIFS(HoldHistory!Q:Q, HoldHistory!A:A, A167, HoldHistory!M:M, "ReCAP")</f>
        <v>0</v>
      </c>
      <c r="F167">
        <f>SUMIFS(HoldHistory!Q:Q, HoldHistory!A:A, A167, HoldHistory!M:M, "Draft EA")</f>
        <v>0</v>
      </c>
      <c r="G167">
        <f>SUMIFS(HoldHistory!Q:Q, HoldHistory!A:A, A167, HoldHistory!M:M, "Structures Pre-SAM")</f>
        <v>24</v>
      </c>
      <c r="H167">
        <f>SUMIFS(HoldHistory!Q:Q, HoldHistory!A:A, A167, HoldHistory!M:M, "Structures SAM")</f>
        <v>0</v>
      </c>
      <c r="I167">
        <f>SUMIFS(HoldHistory!Q:Q, HoldHistory!A:A, A167, HoldHistory!M:M, "Final Design Review")</f>
        <v>0</v>
      </c>
    </row>
    <row r="168" spans="1:9" x14ac:dyDescent="0.35">
      <c r="A168" t="str">
        <v>CAS-201883-Q5S8R2</v>
      </c>
      <c r="B168">
        <f>SUMIFS(HoldHistory!Q:Q, HoldHistory!A:A, A168, HoldHistory!M:M, "Triage")</f>
        <v>0</v>
      </c>
      <c r="C168">
        <f>SUMIFS(HoldHistory!Q:Q, HoldHistory!A:A, A168, HoldHistory!M:M, "Task Plan")</f>
        <v>0</v>
      </c>
      <c r="D168">
        <f>SUMIFS(HoldHistory!Q:Q, HoldHistory!A:A, A168, HoldHistory!M:M, "Initial Design Review")</f>
        <v>0</v>
      </c>
      <c r="E168">
        <f>SUMIFS(HoldHistory!Q:Q, HoldHistory!A:A, A168, HoldHistory!M:M, "ReCAP")</f>
        <v>0</v>
      </c>
      <c r="F168">
        <f>SUMIFS(HoldHistory!Q:Q, HoldHistory!A:A, A168, HoldHistory!M:M, "Draft EA")</f>
        <v>21</v>
      </c>
      <c r="G168">
        <f>SUMIFS(HoldHistory!Q:Q, HoldHistory!A:A, A168, HoldHistory!M:M, "Structures Pre-SAM")</f>
        <v>0</v>
      </c>
      <c r="H168">
        <f>SUMIFS(HoldHistory!Q:Q, HoldHistory!A:A, A168, HoldHistory!M:M, "Structures SAM")</f>
        <v>8</v>
      </c>
      <c r="I168">
        <f>SUMIFS(HoldHistory!Q:Q, HoldHistory!A:A, A168, HoldHistory!M:M, "Final Design Review")</f>
        <v>0</v>
      </c>
    </row>
    <row r="169" spans="1:9" x14ac:dyDescent="0.35">
      <c r="A169" t="str">
        <v>CAS-201903-S8T5T1</v>
      </c>
      <c r="B169">
        <f>SUMIFS(HoldHistory!Q:Q, HoldHistory!A:A, A169, HoldHistory!M:M, "Triage")</f>
        <v>0</v>
      </c>
      <c r="C169">
        <f>SUMIFS(HoldHistory!Q:Q, HoldHistory!A:A, A169, HoldHistory!M:M, "Task Plan")</f>
        <v>0</v>
      </c>
      <c r="D169">
        <f>SUMIFS(HoldHistory!Q:Q, HoldHistory!A:A, A169, HoldHistory!M:M, "Initial Design Review")</f>
        <v>0</v>
      </c>
      <c r="E169">
        <f>SUMIFS(HoldHistory!Q:Q, HoldHistory!A:A, A169, HoldHistory!M:M, "ReCAP")</f>
        <v>0</v>
      </c>
      <c r="F169">
        <f>SUMIFS(HoldHistory!Q:Q, HoldHistory!A:A, A169, HoldHistory!M:M, "Draft EA")</f>
        <v>0</v>
      </c>
      <c r="G169">
        <f>SUMIFS(HoldHistory!Q:Q, HoldHistory!A:A, A169, HoldHistory!M:M, "Structures Pre-SAM")</f>
        <v>5</v>
      </c>
      <c r="H169">
        <f>SUMIFS(HoldHistory!Q:Q, HoldHistory!A:A, A169, HoldHistory!M:M, "Structures SAM")</f>
        <v>0</v>
      </c>
      <c r="I169">
        <f>SUMIFS(HoldHistory!Q:Q, HoldHistory!A:A, A169, HoldHistory!M:M, "Final Design Review")</f>
        <v>0</v>
      </c>
    </row>
    <row r="170" spans="1:9" x14ac:dyDescent="0.35">
      <c r="A170" t="str">
        <v>CAS-201983-P9Z3Q3</v>
      </c>
      <c r="B170">
        <f>SUMIFS(HoldHistory!Q:Q, HoldHistory!A:A, A170, HoldHistory!M:M, "Triage")</f>
        <v>0</v>
      </c>
      <c r="C170">
        <f>SUMIFS(HoldHistory!Q:Q, HoldHistory!A:A, A170, HoldHistory!M:M, "Task Plan")</f>
        <v>15</v>
      </c>
      <c r="D170">
        <f>SUMIFS(HoldHistory!Q:Q, HoldHistory!A:A, A170, HoldHistory!M:M, "Initial Design Review")</f>
        <v>12</v>
      </c>
      <c r="E170">
        <f>SUMIFS(HoldHistory!Q:Q, HoldHistory!A:A, A170, HoldHistory!M:M, "ReCAP")</f>
        <v>158</v>
      </c>
      <c r="F170">
        <f>SUMIFS(HoldHistory!Q:Q, HoldHistory!A:A, A170, HoldHistory!M:M, "Draft EA")</f>
        <v>61</v>
      </c>
      <c r="G170">
        <f>SUMIFS(HoldHistory!Q:Q, HoldHistory!A:A, A170, HoldHistory!M:M, "Structures Pre-SAM")</f>
        <v>0</v>
      </c>
      <c r="H170">
        <f>SUMIFS(HoldHistory!Q:Q, HoldHistory!A:A, A170, HoldHistory!M:M, "Structures SAM")</f>
        <v>0</v>
      </c>
      <c r="I170">
        <f>SUMIFS(HoldHistory!Q:Q, HoldHistory!A:A, A170, HoldHistory!M:M, "Final Design Review")</f>
        <v>0</v>
      </c>
    </row>
    <row r="171" spans="1:9" x14ac:dyDescent="0.35">
      <c r="A171" t="str">
        <v>CAS-202170-D3L0S5</v>
      </c>
      <c r="B171">
        <f>SUMIFS(HoldHistory!Q:Q, HoldHistory!A:A, A171, HoldHistory!M:M, "Triage")</f>
        <v>0</v>
      </c>
      <c r="C171">
        <f>SUMIFS(HoldHistory!Q:Q, HoldHistory!A:A, A171, HoldHistory!M:M, "Task Plan")</f>
        <v>0</v>
      </c>
      <c r="D171">
        <f>SUMIFS(HoldHistory!Q:Q, HoldHistory!A:A, A171, HoldHistory!M:M, "Initial Design Review")</f>
        <v>0</v>
      </c>
      <c r="E171">
        <f>SUMIFS(HoldHistory!Q:Q, HoldHistory!A:A, A171, HoldHistory!M:M, "ReCAP")</f>
        <v>0</v>
      </c>
      <c r="F171">
        <f>SUMIFS(HoldHistory!Q:Q, HoldHistory!A:A, A171, HoldHistory!M:M, "Draft EA")</f>
        <v>0</v>
      </c>
      <c r="G171">
        <f>SUMIFS(HoldHistory!Q:Q, HoldHistory!A:A, A171, HoldHistory!M:M, "Structures Pre-SAM")</f>
        <v>0</v>
      </c>
      <c r="H171">
        <f>SUMIFS(HoldHistory!Q:Q, HoldHistory!A:A, A171, HoldHistory!M:M, "Structures SAM")</f>
        <v>0</v>
      </c>
      <c r="I171">
        <f>SUMIFS(HoldHistory!Q:Q, HoldHistory!A:A, A171, HoldHistory!M:M, "Final Design Review")</f>
        <v>0</v>
      </c>
    </row>
    <row r="172" spans="1:9" x14ac:dyDescent="0.35">
      <c r="A172" t="str">
        <v>CAS-202833-N9W3K4</v>
      </c>
      <c r="B172">
        <f>SUMIFS(HoldHistory!Q:Q, HoldHistory!A:A, A172, HoldHistory!M:M, "Triage")</f>
        <v>0</v>
      </c>
      <c r="C172">
        <f>SUMIFS(HoldHistory!Q:Q, HoldHistory!A:A, A172, HoldHistory!M:M, "Task Plan")</f>
        <v>0</v>
      </c>
      <c r="D172">
        <f>SUMIFS(HoldHistory!Q:Q, HoldHistory!A:A, A172, HoldHistory!M:M, "Initial Design Review")</f>
        <v>0</v>
      </c>
      <c r="E172">
        <f>SUMIFS(HoldHistory!Q:Q, HoldHistory!A:A, A172, HoldHistory!M:M, "ReCAP")</f>
        <v>0</v>
      </c>
      <c r="F172">
        <f>SUMIFS(HoldHistory!Q:Q, HoldHistory!A:A, A172, HoldHistory!M:M, "Draft EA")</f>
        <v>0</v>
      </c>
      <c r="G172">
        <f>SUMIFS(HoldHistory!Q:Q, HoldHistory!A:A, A172, HoldHistory!M:M, "Structures Pre-SAM")</f>
        <v>45.839112175926857</v>
      </c>
      <c r="H172">
        <f>SUMIFS(HoldHistory!Q:Q, HoldHistory!A:A, A172, HoldHistory!M:M, "Structures SAM")</f>
        <v>0</v>
      </c>
      <c r="I172">
        <f>SUMIFS(HoldHistory!Q:Q, HoldHistory!A:A, A172, HoldHistory!M:M, "Final Design Review")</f>
        <v>0</v>
      </c>
    </row>
    <row r="173" spans="1:9" x14ac:dyDescent="0.35">
      <c r="A173" t="str">
        <v>CAS-202842-Y9F8T8</v>
      </c>
      <c r="B173">
        <f>SUMIFS(HoldHistory!Q:Q, HoldHistory!A:A, A173, HoldHistory!M:M, "Triage")</f>
        <v>0</v>
      </c>
      <c r="C173">
        <f>SUMIFS(HoldHistory!Q:Q, HoldHistory!A:A, A173, HoldHistory!M:M, "Task Plan")</f>
        <v>137.19163204861252</v>
      </c>
      <c r="D173">
        <f>SUMIFS(HoldHistory!Q:Q, HoldHistory!A:A, A173, HoldHistory!M:M, "Initial Design Review")</f>
        <v>0</v>
      </c>
      <c r="E173">
        <f>SUMIFS(HoldHistory!Q:Q, HoldHistory!A:A, A173, HoldHistory!M:M, "ReCAP")</f>
        <v>0</v>
      </c>
      <c r="F173">
        <f>SUMIFS(HoldHistory!Q:Q, HoldHistory!A:A, A173, HoldHistory!M:M, "Draft EA")</f>
        <v>0</v>
      </c>
      <c r="G173">
        <f>SUMIFS(HoldHistory!Q:Q, HoldHistory!A:A, A173, HoldHistory!M:M, "Structures Pre-SAM")</f>
        <v>0</v>
      </c>
      <c r="H173">
        <f>SUMIFS(HoldHistory!Q:Q, HoldHistory!A:A, A173, HoldHistory!M:M, "Structures SAM")</f>
        <v>0</v>
      </c>
      <c r="I173">
        <f>SUMIFS(HoldHistory!Q:Q, HoldHistory!A:A, A173, HoldHistory!M:M, "Final Design Review")</f>
        <v>0</v>
      </c>
    </row>
    <row r="174" spans="1:9" x14ac:dyDescent="0.35">
      <c r="A174" t="str">
        <v>CAS-202845-P9X0S6</v>
      </c>
      <c r="B174">
        <f>SUMIFS(HoldHistory!Q:Q, HoldHistory!A:A, A174, HoldHistory!M:M, "Triage")</f>
        <v>0</v>
      </c>
      <c r="C174">
        <f>SUMIFS(HoldHistory!Q:Q, HoldHistory!A:A, A174, HoldHistory!M:M, "Task Plan")</f>
        <v>0</v>
      </c>
      <c r="D174">
        <f>SUMIFS(HoldHistory!Q:Q, HoldHistory!A:A, A174, HoldHistory!M:M, "Initial Design Review")</f>
        <v>0</v>
      </c>
      <c r="E174">
        <f>SUMIFS(HoldHistory!Q:Q, HoldHistory!A:A, A174, HoldHistory!M:M, "ReCAP")</f>
        <v>0</v>
      </c>
      <c r="F174">
        <f>SUMIFS(HoldHistory!Q:Q, HoldHistory!A:A, A174, HoldHistory!M:M, "Draft EA")</f>
        <v>0</v>
      </c>
      <c r="G174">
        <f>SUMIFS(HoldHistory!Q:Q, HoldHistory!A:A, A174, HoldHistory!M:M, "Structures Pre-SAM")</f>
        <v>20.037145474540011</v>
      </c>
      <c r="H174">
        <f>SUMIFS(HoldHistory!Q:Q, HoldHistory!A:A, A174, HoldHistory!M:M, "Structures SAM")</f>
        <v>0</v>
      </c>
      <c r="I174">
        <f>SUMIFS(HoldHistory!Q:Q, HoldHistory!A:A, A174, HoldHistory!M:M, "Final Design Review")</f>
        <v>0</v>
      </c>
    </row>
    <row r="175" spans="1:9" x14ac:dyDescent="0.35">
      <c r="A175" t="str">
        <v>CAS-202950-T4J8X6</v>
      </c>
      <c r="B175">
        <f>SUMIFS(HoldHistory!Q:Q, HoldHistory!A:A, A175, HoldHistory!M:M, "Triage")</f>
        <v>0</v>
      </c>
      <c r="C175">
        <f>SUMIFS(HoldHistory!Q:Q, HoldHistory!A:A, A175, HoldHistory!M:M, "Task Plan")</f>
        <v>0</v>
      </c>
      <c r="D175">
        <f>SUMIFS(HoldHistory!Q:Q, HoldHistory!A:A, A175, HoldHistory!M:M, "Initial Design Review")</f>
        <v>0</v>
      </c>
      <c r="E175">
        <f>SUMIFS(HoldHistory!Q:Q, HoldHistory!A:A, A175, HoldHistory!M:M, "ReCAP")</f>
        <v>0</v>
      </c>
      <c r="F175">
        <f>SUMIFS(HoldHistory!Q:Q, HoldHistory!A:A, A175, HoldHistory!M:M, "Draft EA")</f>
        <v>0</v>
      </c>
      <c r="G175">
        <f>SUMIFS(HoldHistory!Q:Q, HoldHistory!A:A, A175, HoldHistory!M:M, "Structures Pre-SAM")</f>
        <v>0</v>
      </c>
      <c r="H175">
        <f>SUMIFS(HoldHistory!Q:Q, HoldHistory!A:A, A175, HoldHistory!M:M, "Structures SAM")</f>
        <v>0</v>
      </c>
      <c r="I175">
        <f>SUMIFS(HoldHistory!Q:Q, HoldHistory!A:A, A175, HoldHistory!M:M, "Final Design Review")</f>
        <v>0</v>
      </c>
    </row>
    <row r="176" spans="1:9" x14ac:dyDescent="0.35">
      <c r="A176" t="str">
        <v>CAS-203158-R3M0V9</v>
      </c>
      <c r="B176">
        <f>SUMIFS(HoldHistory!Q:Q, HoldHistory!A:A, A176, HoldHistory!M:M, "Triage")</f>
        <v>0</v>
      </c>
      <c r="C176">
        <f>SUMIFS(HoldHistory!Q:Q, HoldHistory!A:A, A176, HoldHistory!M:M, "Task Plan")</f>
        <v>0</v>
      </c>
      <c r="D176">
        <f>SUMIFS(HoldHistory!Q:Q, HoldHistory!A:A, A176, HoldHistory!M:M, "Initial Design Review")</f>
        <v>0</v>
      </c>
      <c r="E176">
        <f>SUMIFS(HoldHistory!Q:Q, HoldHistory!A:A, A176, HoldHistory!M:M, "ReCAP")</f>
        <v>0</v>
      </c>
      <c r="F176">
        <f>SUMIFS(HoldHistory!Q:Q, HoldHistory!A:A, A176, HoldHistory!M:M, "Draft EA")</f>
        <v>0</v>
      </c>
      <c r="G176">
        <f>SUMIFS(HoldHistory!Q:Q, HoldHistory!A:A, A176, HoldHistory!M:M, "Structures Pre-SAM")</f>
        <v>0</v>
      </c>
      <c r="H176">
        <f>SUMIFS(HoldHistory!Q:Q, HoldHistory!A:A, A176, HoldHistory!M:M, "Structures SAM")</f>
        <v>0</v>
      </c>
      <c r="I176">
        <f>SUMIFS(HoldHistory!Q:Q, HoldHistory!A:A, A176, HoldHistory!M:M, "Final Design Review")</f>
        <v>0</v>
      </c>
    </row>
    <row r="177" spans="1:9" x14ac:dyDescent="0.35">
      <c r="A177" t="str">
        <v>CAS-203434-K7W1R0</v>
      </c>
      <c r="B177">
        <f>SUMIFS(HoldHistory!Q:Q, HoldHistory!A:A, A177, HoldHistory!M:M, "Triage")</f>
        <v>0</v>
      </c>
      <c r="C177">
        <f>SUMIFS(HoldHistory!Q:Q, HoldHistory!A:A, A177, HoldHistory!M:M, "Task Plan")</f>
        <v>0</v>
      </c>
      <c r="D177">
        <f>SUMIFS(HoldHistory!Q:Q, HoldHistory!A:A, A177, HoldHistory!M:M, "Initial Design Review")</f>
        <v>0</v>
      </c>
      <c r="E177">
        <f>SUMIFS(HoldHistory!Q:Q, HoldHistory!A:A, A177, HoldHistory!M:M, "ReCAP")</f>
        <v>0</v>
      </c>
      <c r="F177">
        <f>SUMIFS(HoldHistory!Q:Q, HoldHistory!A:A, A177, HoldHistory!M:M, "Draft EA")</f>
        <v>0</v>
      </c>
      <c r="G177">
        <f>SUMIFS(HoldHistory!Q:Q, HoldHistory!A:A, A177, HoldHistory!M:M, "Structures Pre-SAM")</f>
        <v>15.151072870372445</v>
      </c>
      <c r="H177">
        <f>SUMIFS(HoldHistory!Q:Q, HoldHistory!A:A, A177, HoldHistory!M:M, "Structures SAM")</f>
        <v>0</v>
      </c>
      <c r="I177">
        <f>SUMIFS(HoldHistory!Q:Q, HoldHistory!A:A, A177, HoldHistory!M:M, "Final Design Review")</f>
        <v>0</v>
      </c>
    </row>
    <row r="178" spans="1:9" x14ac:dyDescent="0.35">
      <c r="A178" t="str">
        <v>CAS-204477-B6P7F6</v>
      </c>
      <c r="B178">
        <f>SUMIFS(HoldHistory!Q:Q, HoldHistory!A:A, A178, HoldHistory!M:M, "Triage")</f>
        <v>0</v>
      </c>
      <c r="C178">
        <f>SUMIFS(HoldHistory!Q:Q, HoldHistory!A:A, A178, HoldHistory!M:M, "Task Plan")</f>
        <v>0</v>
      </c>
      <c r="D178">
        <f>SUMIFS(HoldHistory!Q:Q, HoldHistory!A:A, A178, HoldHistory!M:M, "Initial Design Review")</f>
        <v>0</v>
      </c>
      <c r="E178">
        <f>SUMIFS(HoldHistory!Q:Q, HoldHistory!A:A, A178, HoldHistory!M:M, "ReCAP")</f>
        <v>0</v>
      </c>
      <c r="F178">
        <f>SUMIFS(HoldHistory!Q:Q, HoldHistory!A:A, A178, HoldHistory!M:M, "Draft EA")</f>
        <v>0</v>
      </c>
      <c r="G178">
        <f>SUMIFS(HoldHistory!Q:Q, HoldHistory!A:A, A178, HoldHistory!M:M, "Structures Pre-SAM")</f>
        <v>49</v>
      </c>
      <c r="H178">
        <f>SUMIFS(HoldHistory!Q:Q, HoldHistory!A:A, A178, HoldHistory!M:M, "Structures SAM")</f>
        <v>3</v>
      </c>
      <c r="I178">
        <f>SUMIFS(HoldHistory!Q:Q, HoldHistory!A:A, A178, HoldHistory!M:M, "Final Design Review")</f>
        <v>0</v>
      </c>
    </row>
    <row r="179" spans="1:9" x14ac:dyDescent="0.35">
      <c r="A179" t="str">
        <v>CAS-204533-F9R6V0</v>
      </c>
      <c r="B179">
        <f>SUMIFS(HoldHistory!Q:Q, HoldHistory!A:A, A179, HoldHistory!M:M, "Triage")</f>
        <v>0</v>
      </c>
      <c r="C179">
        <f>SUMIFS(HoldHistory!Q:Q, HoldHistory!A:A, A179, HoldHistory!M:M, "Task Plan")</f>
        <v>0</v>
      </c>
      <c r="D179">
        <f>SUMIFS(HoldHistory!Q:Q, HoldHistory!A:A, A179, HoldHistory!M:M, "Initial Design Review")</f>
        <v>0</v>
      </c>
      <c r="E179">
        <f>SUMIFS(HoldHistory!Q:Q, HoldHistory!A:A, A179, HoldHistory!M:M, "ReCAP")</f>
        <v>0</v>
      </c>
      <c r="F179">
        <f>SUMIFS(HoldHistory!Q:Q, HoldHistory!A:A, A179, HoldHistory!M:M, "Draft EA")</f>
        <v>0</v>
      </c>
      <c r="G179">
        <f>SUMIFS(HoldHistory!Q:Q, HoldHistory!A:A, A179, HoldHistory!M:M, "Structures Pre-SAM")</f>
        <v>0</v>
      </c>
      <c r="H179">
        <f>SUMIFS(HoldHistory!Q:Q, HoldHistory!A:A, A179, HoldHistory!M:M, "Structures SAM")</f>
        <v>0</v>
      </c>
      <c r="I179">
        <f>SUMIFS(HoldHistory!Q:Q, HoldHistory!A:A, A179, HoldHistory!M:M, "Final Design Review")</f>
        <v>0</v>
      </c>
    </row>
    <row r="180" spans="1:9" x14ac:dyDescent="0.35">
      <c r="A180" t="str">
        <v>CAS-204568-T9M7P1</v>
      </c>
      <c r="B180">
        <f>SUMIFS(HoldHistory!Q:Q, HoldHistory!A:A, A180, HoldHistory!M:M, "Triage")</f>
        <v>0</v>
      </c>
      <c r="C180">
        <f>SUMIFS(HoldHistory!Q:Q, HoldHistory!A:A, A180, HoldHistory!M:M, "Task Plan")</f>
        <v>0</v>
      </c>
      <c r="D180">
        <f>SUMIFS(HoldHistory!Q:Q, HoldHistory!A:A, A180, HoldHistory!M:M, "Initial Design Review")</f>
        <v>0</v>
      </c>
      <c r="E180">
        <f>SUMIFS(HoldHistory!Q:Q, HoldHistory!A:A, A180, HoldHistory!M:M, "ReCAP")</f>
        <v>0</v>
      </c>
      <c r="F180">
        <f>SUMIFS(HoldHistory!Q:Q, HoldHistory!A:A, A180, HoldHistory!M:M, "Draft EA")</f>
        <v>0</v>
      </c>
      <c r="G180">
        <f>SUMIFS(HoldHistory!Q:Q, HoldHistory!A:A, A180, HoldHistory!M:M, "Structures Pre-SAM")</f>
        <v>0</v>
      </c>
      <c r="H180">
        <f>SUMIFS(HoldHistory!Q:Q, HoldHistory!A:A, A180, HoldHistory!M:M, "Structures SAM")</f>
        <v>0</v>
      </c>
      <c r="I180">
        <f>SUMIFS(HoldHistory!Q:Q, HoldHistory!A:A, A180, HoldHistory!M:M, "Final Design Review")</f>
        <v>0</v>
      </c>
    </row>
    <row r="181" spans="1:9" x14ac:dyDescent="0.35">
      <c r="A181" t="str">
        <v>CAS-204584-H7R3F1</v>
      </c>
      <c r="B181">
        <f>SUMIFS(HoldHistory!Q:Q, HoldHistory!A:A, A181, HoldHistory!M:M, "Triage")</f>
        <v>0</v>
      </c>
      <c r="C181">
        <f>SUMIFS(HoldHistory!Q:Q, HoldHistory!A:A, A181, HoldHistory!M:M, "Task Plan")</f>
        <v>0</v>
      </c>
      <c r="D181">
        <f>SUMIFS(HoldHistory!Q:Q, HoldHistory!A:A, A181, HoldHistory!M:M, "Initial Design Review")</f>
        <v>0</v>
      </c>
      <c r="E181">
        <f>SUMIFS(HoldHistory!Q:Q, HoldHistory!A:A, A181, HoldHistory!M:M, "ReCAP")</f>
        <v>0</v>
      </c>
      <c r="F181">
        <f>SUMIFS(HoldHistory!Q:Q, HoldHistory!A:A, A181, HoldHistory!M:M, "Draft EA")</f>
        <v>0</v>
      </c>
      <c r="G181">
        <f>SUMIFS(HoldHistory!Q:Q, HoldHistory!A:A, A181, HoldHistory!M:M, "Structures Pre-SAM")</f>
        <v>0</v>
      </c>
      <c r="H181">
        <f>SUMIFS(HoldHistory!Q:Q, HoldHistory!A:A, A181, HoldHistory!M:M, "Structures SAM")</f>
        <v>0</v>
      </c>
      <c r="I181">
        <f>SUMIFS(HoldHistory!Q:Q, HoldHistory!A:A, A181, HoldHistory!M:M, "Final Design Review")</f>
        <v>0</v>
      </c>
    </row>
    <row r="182" spans="1:9" x14ac:dyDescent="0.35">
      <c r="A182" t="str">
        <v>CAS-204884-Y7L5Y9</v>
      </c>
      <c r="B182">
        <f>SUMIFS(HoldHistory!Q:Q, HoldHistory!A:A, A182, HoldHistory!M:M, "Triage")</f>
        <v>0</v>
      </c>
      <c r="C182">
        <f>SUMIFS(HoldHistory!Q:Q, HoldHistory!A:A, A182, HoldHistory!M:M, "Task Plan")</f>
        <v>0</v>
      </c>
      <c r="D182">
        <f>SUMIFS(HoldHistory!Q:Q, HoldHistory!A:A, A182, HoldHistory!M:M, "Initial Design Review")</f>
        <v>0</v>
      </c>
      <c r="E182">
        <f>SUMIFS(HoldHistory!Q:Q, HoldHistory!A:A, A182, HoldHistory!M:M, "ReCAP")</f>
        <v>0</v>
      </c>
      <c r="F182">
        <f>SUMIFS(HoldHistory!Q:Q, HoldHistory!A:A, A182, HoldHistory!M:M, "Draft EA")</f>
        <v>0</v>
      </c>
      <c r="G182">
        <f>SUMIFS(HoldHistory!Q:Q, HoldHistory!A:A, A182, HoldHistory!M:M, "Structures Pre-SAM")</f>
        <v>12.2229516319494</v>
      </c>
      <c r="H182">
        <f>SUMIFS(HoldHistory!Q:Q, HoldHistory!A:A, A182, HoldHistory!M:M, "Structures SAM")</f>
        <v>0</v>
      </c>
      <c r="I182">
        <f>SUMIFS(HoldHistory!Q:Q, HoldHistory!A:A, A182, HoldHistory!M:M, "Final Design Review")</f>
        <v>0</v>
      </c>
    </row>
    <row r="183" spans="1:9" x14ac:dyDescent="0.35">
      <c r="A183" t="str">
        <v>CAS-205005-P8G9D1</v>
      </c>
      <c r="B183">
        <f>SUMIFS(HoldHistory!Q:Q, HoldHistory!A:A, A183, HoldHistory!M:M, "Triage")</f>
        <v>0</v>
      </c>
      <c r="C183">
        <f>SUMIFS(HoldHistory!Q:Q, HoldHistory!A:A, A183, HoldHistory!M:M, "Task Plan")</f>
        <v>0</v>
      </c>
      <c r="D183">
        <f>SUMIFS(HoldHistory!Q:Q, HoldHistory!A:A, A183, HoldHistory!M:M, "Initial Design Review")</f>
        <v>0</v>
      </c>
      <c r="E183">
        <f>SUMIFS(HoldHistory!Q:Q, HoldHistory!A:A, A183, HoldHistory!M:M, "ReCAP")</f>
        <v>0</v>
      </c>
      <c r="F183">
        <f>SUMIFS(HoldHistory!Q:Q, HoldHistory!A:A, A183, HoldHistory!M:M, "Draft EA")</f>
        <v>0</v>
      </c>
      <c r="G183">
        <f>SUMIFS(HoldHistory!Q:Q, HoldHistory!A:A, A183, HoldHistory!M:M, "Structures Pre-SAM")</f>
        <v>0</v>
      </c>
      <c r="H183">
        <f>SUMIFS(HoldHistory!Q:Q, HoldHistory!A:A, A183, HoldHistory!M:M, "Structures SAM")</f>
        <v>0</v>
      </c>
      <c r="I183">
        <f>SUMIFS(HoldHistory!Q:Q, HoldHistory!A:A, A183, HoldHistory!M:M, "Final Design Review")</f>
        <v>0</v>
      </c>
    </row>
    <row r="184" spans="1:9" x14ac:dyDescent="0.35">
      <c r="A184" t="str">
        <v>CAS-205374-B9P0H8</v>
      </c>
      <c r="B184">
        <f>SUMIFS(HoldHistory!Q:Q, HoldHistory!A:A, A184, HoldHistory!M:M, "Triage")</f>
        <v>0</v>
      </c>
      <c r="C184">
        <f>SUMIFS(HoldHistory!Q:Q, HoldHistory!A:A, A184, HoldHistory!M:M, "Task Plan")</f>
        <v>0</v>
      </c>
      <c r="D184">
        <f>SUMIFS(HoldHistory!Q:Q, HoldHistory!A:A, A184, HoldHistory!M:M, "Initial Design Review")</f>
        <v>0</v>
      </c>
      <c r="E184">
        <f>SUMIFS(HoldHistory!Q:Q, HoldHistory!A:A, A184, HoldHistory!M:M, "ReCAP")</f>
        <v>111</v>
      </c>
      <c r="F184">
        <f>SUMIFS(HoldHistory!Q:Q, HoldHistory!A:A, A184, HoldHistory!M:M, "Draft EA")</f>
        <v>0</v>
      </c>
      <c r="G184">
        <f>SUMIFS(HoldHistory!Q:Q, HoldHistory!A:A, A184, HoldHistory!M:M, "Structures Pre-SAM")</f>
        <v>0</v>
      </c>
      <c r="H184">
        <f>SUMIFS(HoldHistory!Q:Q, HoldHistory!A:A, A184, HoldHistory!M:M, "Structures SAM")</f>
        <v>0</v>
      </c>
      <c r="I184">
        <f>SUMIFS(HoldHistory!Q:Q, HoldHistory!A:A, A184, HoldHistory!M:M, "Final Design Review")</f>
        <v>0</v>
      </c>
    </row>
    <row r="185" spans="1:9" x14ac:dyDescent="0.35">
      <c r="A185" t="str">
        <v>CAS-205427-C1Y4X2</v>
      </c>
      <c r="B185">
        <f>SUMIFS(HoldHistory!Q:Q, HoldHistory!A:A, A185, HoldHistory!M:M, "Triage")</f>
        <v>0</v>
      </c>
      <c r="C185">
        <f>SUMIFS(HoldHistory!Q:Q, HoldHistory!A:A, A185, HoldHistory!M:M, "Task Plan")</f>
        <v>0</v>
      </c>
      <c r="D185">
        <f>SUMIFS(HoldHistory!Q:Q, HoldHistory!A:A, A185, HoldHistory!M:M, "Initial Design Review")</f>
        <v>0</v>
      </c>
      <c r="E185">
        <f>SUMIFS(HoldHistory!Q:Q, HoldHistory!A:A, A185, HoldHistory!M:M, "ReCAP")</f>
        <v>0</v>
      </c>
      <c r="F185">
        <f>SUMIFS(HoldHistory!Q:Q, HoldHistory!A:A, A185, HoldHistory!M:M, "Draft EA")</f>
        <v>0</v>
      </c>
      <c r="G185">
        <f>SUMIFS(HoldHistory!Q:Q, HoldHistory!A:A, A185, HoldHistory!M:M, "Structures Pre-SAM")</f>
        <v>27.723012615744665</v>
      </c>
      <c r="H185">
        <f>SUMIFS(HoldHistory!Q:Q, HoldHistory!A:A, A185, HoldHistory!M:M, "Structures SAM")</f>
        <v>0</v>
      </c>
      <c r="I185">
        <f>SUMIFS(HoldHistory!Q:Q, HoldHistory!A:A, A185, HoldHistory!M:M, "Final Design Review")</f>
        <v>0</v>
      </c>
    </row>
    <row r="186" spans="1:9" x14ac:dyDescent="0.35">
      <c r="A186" t="str">
        <v>CAS-205525-C5B7F5</v>
      </c>
      <c r="B186">
        <f>SUMIFS(HoldHistory!Q:Q, HoldHistory!A:A, A186, HoldHistory!M:M, "Triage")</f>
        <v>0</v>
      </c>
      <c r="C186">
        <f>SUMIFS(HoldHistory!Q:Q, HoldHistory!A:A, A186, HoldHistory!M:M, "Task Plan")</f>
        <v>0</v>
      </c>
      <c r="D186">
        <f>SUMIFS(HoldHistory!Q:Q, HoldHistory!A:A, A186, HoldHistory!M:M, "Initial Design Review")</f>
        <v>0</v>
      </c>
      <c r="E186">
        <f>SUMIFS(HoldHistory!Q:Q, HoldHistory!A:A, A186, HoldHistory!M:M, "ReCAP")</f>
        <v>0</v>
      </c>
      <c r="F186">
        <f>SUMIFS(HoldHistory!Q:Q, HoldHistory!A:A, A186, HoldHistory!M:M, "Draft EA")</f>
        <v>0</v>
      </c>
      <c r="G186">
        <f>SUMIFS(HoldHistory!Q:Q, HoldHistory!A:A, A186, HoldHistory!M:M, "Structures Pre-SAM")</f>
        <v>13</v>
      </c>
      <c r="H186">
        <f>SUMIFS(HoldHistory!Q:Q, HoldHistory!A:A, A186, HoldHistory!M:M, "Structures SAM")</f>
        <v>0</v>
      </c>
      <c r="I186">
        <f>SUMIFS(HoldHistory!Q:Q, HoldHistory!A:A, A186, HoldHistory!M:M, "Final Design Review")</f>
        <v>0</v>
      </c>
    </row>
    <row r="187" spans="1:9" x14ac:dyDescent="0.35">
      <c r="A187" t="str">
        <v>CAS-205656-P5F6V8</v>
      </c>
      <c r="B187">
        <f>SUMIFS(HoldHistory!Q:Q, HoldHistory!A:A, A187, HoldHistory!M:M, "Triage")</f>
        <v>0</v>
      </c>
      <c r="C187">
        <f>SUMIFS(HoldHistory!Q:Q, HoldHistory!A:A, A187, HoldHistory!M:M, "Task Plan")</f>
        <v>48</v>
      </c>
      <c r="D187">
        <f>SUMIFS(HoldHistory!Q:Q, HoldHistory!A:A, A187, HoldHistory!M:M, "Initial Design Review")</f>
        <v>0</v>
      </c>
      <c r="E187">
        <f>SUMIFS(HoldHistory!Q:Q, HoldHistory!A:A, A187, HoldHistory!M:M, "ReCAP")</f>
        <v>0</v>
      </c>
      <c r="F187">
        <f>SUMIFS(HoldHistory!Q:Q, HoldHistory!A:A, A187, HoldHistory!M:M, "Draft EA")</f>
        <v>0</v>
      </c>
      <c r="G187">
        <f>SUMIFS(HoldHistory!Q:Q, HoldHistory!A:A, A187, HoldHistory!M:M, "Structures Pre-SAM")</f>
        <v>0</v>
      </c>
      <c r="H187">
        <f>SUMIFS(HoldHistory!Q:Q, HoldHistory!A:A, A187, HoldHistory!M:M, "Structures SAM")</f>
        <v>0</v>
      </c>
      <c r="I187">
        <f>SUMIFS(HoldHistory!Q:Q, HoldHistory!A:A, A187, HoldHistory!M:M, "Final Design Review")</f>
        <v>0</v>
      </c>
    </row>
    <row r="188" spans="1:9" x14ac:dyDescent="0.35">
      <c r="A188" t="str">
        <v>CAS-205836-W0G9Y2</v>
      </c>
      <c r="B188">
        <f>SUMIFS(HoldHistory!Q:Q, HoldHistory!A:A, A188, HoldHistory!M:M, "Triage")</f>
        <v>0</v>
      </c>
      <c r="C188">
        <f>SUMIFS(HoldHistory!Q:Q, HoldHistory!A:A, A188, HoldHistory!M:M, "Task Plan")</f>
        <v>0</v>
      </c>
      <c r="D188">
        <f>SUMIFS(HoldHistory!Q:Q, HoldHistory!A:A, A188, HoldHistory!M:M, "Initial Design Review")</f>
        <v>0</v>
      </c>
      <c r="E188">
        <f>SUMIFS(HoldHistory!Q:Q, HoldHistory!A:A, A188, HoldHistory!M:M, "ReCAP")</f>
        <v>0</v>
      </c>
      <c r="F188">
        <f>SUMIFS(HoldHistory!Q:Q, HoldHistory!A:A, A188, HoldHistory!M:M, "Draft EA")</f>
        <v>0</v>
      </c>
      <c r="G188">
        <f>SUMIFS(HoldHistory!Q:Q, HoldHistory!A:A, A188, HoldHistory!M:M, "Structures Pre-SAM")</f>
        <v>195.98075018518284</v>
      </c>
      <c r="H188">
        <f>SUMIFS(HoldHistory!Q:Q, HoldHistory!A:A, A188, HoldHistory!M:M, "Structures SAM")</f>
        <v>0</v>
      </c>
      <c r="I188">
        <f>SUMIFS(HoldHistory!Q:Q, HoldHistory!A:A, A188, HoldHistory!M:M, "Final Design Review")</f>
        <v>0</v>
      </c>
    </row>
    <row r="189" spans="1:9" x14ac:dyDescent="0.35">
      <c r="A189" t="str">
        <v>CAS-206203-T9C9K7</v>
      </c>
      <c r="B189">
        <f>SUMIFS(HoldHistory!Q:Q, HoldHistory!A:A, A189, HoldHistory!M:M, "Triage")</f>
        <v>0</v>
      </c>
      <c r="C189">
        <f>SUMIFS(HoldHistory!Q:Q, HoldHistory!A:A, A189, HoldHistory!M:M, "Task Plan")</f>
        <v>0</v>
      </c>
      <c r="D189">
        <f>SUMIFS(HoldHistory!Q:Q, HoldHistory!A:A, A189, HoldHistory!M:M, "Initial Design Review")</f>
        <v>0</v>
      </c>
      <c r="E189">
        <f>SUMIFS(HoldHistory!Q:Q, HoldHistory!A:A, A189, HoldHistory!M:M, "ReCAP")</f>
        <v>0</v>
      </c>
      <c r="F189">
        <f>SUMIFS(HoldHistory!Q:Q, HoldHistory!A:A, A189, HoldHistory!M:M, "Draft EA")</f>
        <v>0</v>
      </c>
      <c r="G189">
        <f>SUMIFS(HoldHistory!Q:Q, HoldHistory!A:A, A189, HoldHistory!M:M, "Structures Pre-SAM")</f>
        <v>2</v>
      </c>
      <c r="H189">
        <f>SUMIFS(HoldHistory!Q:Q, HoldHistory!A:A, A189, HoldHistory!M:M, "Structures SAM")</f>
        <v>0</v>
      </c>
      <c r="I189">
        <f>SUMIFS(HoldHistory!Q:Q, HoldHistory!A:A, A189, HoldHistory!M:M, "Final Design Review")</f>
        <v>0</v>
      </c>
    </row>
    <row r="190" spans="1:9" x14ac:dyDescent="0.35">
      <c r="A190" t="str">
        <v>CAS-206329-W3L9V4</v>
      </c>
      <c r="B190">
        <f>SUMIFS(HoldHistory!Q:Q, HoldHistory!A:A, A190, HoldHistory!M:M, "Triage")</f>
        <v>0</v>
      </c>
      <c r="C190">
        <f>SUMIFS(HoldHistory!Q:Q, HoldHistory!A:A, A190, HoldHistory!M:M, "Task Plan")</f>
        <v>0</v>
      </c>
      <c r="D190">
        <f>SUMIFS(HoldHistory!Q:Q, HoldHistory!A:A, A190, HoldHistory!M:M, "Initial Design Review")</f>
        <v>0</v>
      </c>
      <c r="E190">
        <f>SUMIFS(HoldHistory!Q:Q, HoldHistory!A:A, A190, HoldHistory!M:M, "ReCAP")</f>
        <v>0</v>
      </c>
      <c r="F190">
        <f>SUMIFS(HoldHistory!Q:Q, HoldHistory!A:A, A190, HoldHistory!M:M, "Draft EA")</f>
        <v>0</v>
      </c>
      <c r="G190">
        <f>SUMIFS(HoldHistory!Q:Q, HoldHistory!A:A, A190, HoldHistory!M:M, "Structures Pre-SAM")</f>
        <v>0</v>
      </c>
      <c r="H190">
        <f>SUMIFS(HoldHistory!Q:Q, HoldHistory!A:A, A190, HoldHistory!M:M, "Structures SAM")</f>
        <v>0</v>
      </c>
      <c r="I190">
        <f>SUMIFS(HoldHistory!Q:Q, HoldHistory!A:A, A190, HoldHistory!M:M, "Final Design Review")</f>
        <v>6</v>
      </c>
    </row>
    <row r="191" spans="1:9" x14ac:dyDescent="0.35">
      <c r="A191" t="str">
        <v>CAS-206430-X7F9T8</v>
      </c>
      <c r="B191">
        <f>SUMIFS(HoldHistory!Q:Q, HoldHistory!A:A, A191, HoldHistory!M:M, "Triage")</f>
        <v>0</v>
      </c>
      <c r="C191">
        <f>SUMIFS(HoldHistory!Q:Q, HoldHistory!A:A, A191, HoldHistory!M:M, "Task Plan")</f>
        <v>0</v>
      </c>
      <c r="D191">
        <f>SUMIFS(HoldHistory!Q:Q, HoldHistory!A:A, A191, HoldHistory!M:M, "Initial Design Review")</f>
        <v>0</v>
      </c>
      <c r="E191">
        <f>SUMIFS(HoldHistory!Q:Q, HoldHistory!A:A, A191, HoldHistory!M:M, "ReCAP")</f>
        <v>0</v>
      </c>
      <c r="F191">
        <f>SUMIFS(HoldHistory!Q:Q, HoldHistory!A:A, A191, HoldHistory!M:M, "Draft EA")</f>
        <v>161</v>
      </c>
      <c r="G191">
        <f>SUMIFS(HoldHistory!Q:Q, HoldHistory!A:A, A191, HoldHistory!M:M, "Structures Pre-SAM")</f>
        <v>0</v>
      </c>
      <c r="H191">
        <f>SUMIFS(HoldHistory!Q:Q, HoldHistory!A:A, A191, HoldHistory!M:M, "Structures SAM")</f>
        <v>0</v>
      </c>
      <c r="I191">
        <f>SUMIFS(HoldHistory!Q:Q, HoldHistory!A:A, A191, HoldHistory!M:M, "Final Design Review")</f>
        <v>0</v>
      </c>
    </row>
    <row r="192" spans="1:9" x14ac:dyDescent="0.35">
      <c r="A192" t="str">
        <v>CAS-206648-K3P6L0</v>
      </c>
      <c r="B192">
        <f>SUMIFS(HoldHistory!Q:Q, HoldHistory!A:A, A192, HoldHistory!M:M, "Triage")</f>
        <v>0</v>
      </c>
      <c r="C192">
        <f>SUMIFS(HoldHistory!Q:Q, HoldHistory!A:A, A192, HoldHistory!M:M, "Task Plan")</f>
        <v>0</v>
      </c>
      <c r="D192">
        <f>SUMIFS(HoldHistory!Q:Q, HoldHistory!A:A, A192, HoldHistory!M:M, "Initial Design Review")</f>
        <v>4</v>
      </c>
      <c r="E192">
        <f>SUMIFS(HoldHistory!Q:Q, HoldHistory!A:A, A192, HoldHistory!M:M, "ReCAP")</f>
        <v>200</v>
      </c>
      <c r="F192">
        <f>SUMIFS(HoldHistory!Q:Q, HoldHistory!A:A, A192, HoldHistory!M:M, "Draft EA")</f>
        <v>0</v>
      </c>
      <c r="G192">
        <f>SUMIFS(HoldHistory!Q:Q, HoldHistory!A:A, A192, HoldHistory!M:M, "Structures Pre-SAM")</f>
        <v>0</v>
      </c>
      <c r="H192">
        <f>SUMIFS(HoldHistory!Q:Q, HoldHistory!A:A, A192, HoldHistory!M:M, "Structures SAM")</f>
        <v>0</v>
      </c>
      <c r="I192">
        <f>SUMIFS(HoldHistory!Q:Q, HoldHistory!A:A, A192, HoldHistory!M:M, "Final Design Review")</f>
        <v>0</v>
      </c>
    </row>
    <row r="193" spans="1:9" x14ac:dyDescent="0.35">
      <c r="A193" t="str">
        <v>CAS-206911-R6K5S7</v>
      </c>
      <c r="B193">
        <f>SUMIFS(HoldHistory!Q:Q, HoldHistory!A:A, A193, HoldHistory!M:M, "Triage")</f>
        <v>0</v>
      </c>
      <c r="C193">
        <f>SUMIFS(HoldHistory!Q:Q, HoldHistory!A:A, A193, HoldHistory!M:M, "Task Plan")</f>
        <v>0</v>
      </c>
      <c r="D193">
        <f>SUMIFS(HoldHistory!Q:Q, HoldHistory!A:A, A193, HoldHistory!M:M, "Initial Design Review")</f>
        <v>0</v>
      </c>
      <c r="E193">
        <f>SUMIFS(HoldHistory!Q:Q, HoldHistory!A:A, A193, HoldHistory!M:M, "ReCAP")</f>
        <v>0</v>
      </c>
      <c r="F193">
        <f>SUMIFS(HoldHistory!Q:Q, HoldHistory!A:A, A193, HoldHistory!M:M, "Draft EA")</f>
        <v>0</v>
      </c>
      <c r="G193">
        <f>SUMIFS(HoldHistory!Q:Q, HoldHistory!A:A, A193, HoldHistory!M:M, "Structures Pre-SAM")</f>
        <v>0</v>
      </c>
      <c r="H193">
        <f>SUMIFS(HoldHistory!Q:Q, HoldHistory!A:A, A193, HoldHistory!M:M, "Structures SAM")</f>
        <v>49.140442754629476</v>
      </c>
      <c r="I193">
        <f>SUMIFS(HoldHistory!Q:Q, HoldHistory!A:A, A193, HoldHistory!M:M, "Final Design Review")</f>
        <v>0</v>
      </c>
    </row>
    <row r="194" spans="1:9" x14ac:dyDescent="0.35">
      <c r="A194" t="str">
        <v>CAS-207640-F0D9W5</v>
      </c>
      <c r="B194">
        <f>SUMIFS(HoldHistory!Q:Q, HoldHistory!A:A, A194, HoldHistory!M:M, "Triage")</f>
        <v>0</v>
      </c>
      <c r="C194">
        <f>SUMIFS(HoldHistory!Q:Q, HoldHistory!A:A, A194, HoldHistory!M:M, "Task Plan")</f>
        <v>0</v>
      </c>
      <c r="D194">
        <f>SUMIFS(HoldHistory!Q:Q, HoldHistory!A:A, A194, HoldHistory!M:M, "Initial Design Review")</f>
        <v>0</v>
      </c>
      <c r="E194">
        <f>SUMIFS(HoldHistory!Q:Q, HoldHistory!A:A, A194, HoldHistory!M:M, "ReCAP")</f>
        <v>0</v>
      </c>
      <c r="F194">
        <f>SUMIFS(HoldHistory!Q:Q, HoldHistory!A:A, A194, HoldHistory!M:M, "Draft EA")</f>
        <v>0</v>
      </c>
      <c r="G194">
        <f>SUMIFS(HoldHistory!Q:Q, HoldHistory!A:A, A194, HoldHistory!M:M, "Structures Pre-SAM")</f>
        <v>12</v>
      </c>
      <c r="H194">
        <f>SUMIFS(HoldHistory!Q:Q, HoldHistory!A:A, A194, HoldHistory!M:M, "Structures SAM")</f>
        <v>0</v>
      </c>
      <c r="I194">
        <f>SUMIFS(HoldHistory!Q:Q, HoldHistory!A:A, A194, HoldHistory!M:M, "Final Design Review")</f>
        <v>0</v>
      </c>
    </row>
    <row r="195" spans="1:9" x14ac:dyDescent="0.35">
      <c r="A195" t="str">
        <v>CAS-207810-L9N9C1</v>
      </c>
      <c r="B195">
        <f>SUMIFS(HoldHistory!Q:Q, HoldHistory!A:A, A195, HoldHistory!M:M, "Triage")</f>
        <v>0</v>
      </c>
      <c r="C195">
        <f>SUMIFS(HoldHistory!Q:Q, HoldHistory!A:A, A195, HoldHistory!M:M, "Task Plan")</f>
        <v>0</v>
      </c>
      <c r="D195">
        <f>SUMIFS(HoldHistory!Q:Q, HoldHistory!A:A, A195, HoldHistory!M:M, "Initial Design Review")</f>
        <v>0</v>
      </c>
      <c r="E195">
        <f>SUMIFS(HoldHistory!Q:Q, HoldHistory!A:A, A195, HoldHistory!M:M, "ReCAP")</f>
        <v>0</v>
      </c>
      <c r="F195">
        <f>SUMIFS(HoldHistory!Q:Q, HoldHistory!A:A, A195, HoldHistory!M:M, "Draft EA")</f>
        <v>56</v>
      </c>
      <c r="G195">
        <f>SUMIFS(HoldHistory!Q:Q, HoldHistory!A:A, A195, HoldHistory!M:M, "Structures Pre-SAM")</f>
        <v>0</v>
      </c>
      <c r="H195">
        <f>SUMIFS(HoldHistory!Q:Q, HoldHistory!A:A, A195, HoldHistory!M:M, "Structures SAM")</f>
        <v>0</v>
      </c>
      <c r="I195">
        <f>SUMIFS(HoldHistory!Q:Q, HoldHistory!A:A, A195, HoldHistory!M:M, "Final Design Review")</f>
        <v>0</v>
      </c>
    </row>
    <row r="196" spans="1:9" x14ac:dyDescent="0.35">
      <c r="A196" t="str">
        <v>CAS-207964-W7Y0T3</v>
      </c>
      <c r="B196">
        <f>SUMIFS(HoldHistory!Q:Q, HoldHistory!A:A, A196, HoldHistory!M:M, "Triage")</f>
        <v>0</v>
      </c>
      <c r="C196">
        <f>SUMIFS(HoldHistory!Q:Q, HoldHistory!A:A, A196, HoldHistory!M:M, "Task Plan")</f>
        <v>0</v>
      </c>
      <c r="D196">
        <f>SUMIFS(HoldHistory!Q:Q, HoldHistory!A:A, A196, HoldHistory!M:M, "Initial Design Review")</f>
        <v>0</v>
      </c>
      <c r="E196">
        <f>SUMIFS(HoldHistory!Q:Q, HoldHistory!A:A, A196, HoldHistory!M:M, "ReCAP")</f>
        <v>0</v>
      </c>
      <c r="F196">
        <f>SUMIFS(HoldHistory!Q:Q, HoldHistory!A:A, A196, HoldHistory!M:M, "Draft EA")</f>
        <v>0</v>
      </c>
      <c r="G196">
        <f>SUMIFS(HoldHistory!Q:Q, HoldHistory!A:A, A196, HoldHistory!M:M, "Structures Pre-SAM")</f>
        <v>0</v>
      </c>
      <c r="H196">
        <f>SUMIFS(HoldHistory!Q:Q, HoldHistory!A:A, A196, HoldHistory!M:M, "Structures SAM")</f>
        <v>0</v>
      </c>
      <c r="I196">
        <f>SUMIFS(HoldHistory!Q:Q, HoldHistory!A:A, A196, HoldHistory!M:M, "Final Design Review")</f>
        <v>0</v>
      </c>
    </row>
    <row r="197" spans="1:9" x14ac:dyDescent="0.35">
      <c r="A197" t="str">
        <v>CAS-208078-K6V0Q3</v>
      </c>
      <c r="B197">
        <f>SUMIFS(HoldHistory!Q:Q, HoldHistory!A:A, A197, HoldHistory!M:M, "Triage")</f>
        <v>0</v>
      </c>
      <c r="C197">
        <f>SUMIFS(HoldHistory!Q:Q, HoldHistory!A:A, A197, HoldHistory!M:M, "Task Plan")</f>
        <v>0</v>
      </c>
      <c r="D197">
        <f>SUMIFS(HoldHistory!Q:Q, HoldHistory!A:A, A197, HoldHistory!M:M, "Initial Design Review")</f>
        <v>0</v>
      </c>
      <c r="E197">
        <f>SUMIFS(HoldHistory!Q:Q, HoldHistory!A:A, A197, HoldHistory!M:M, "ReCAP")</f>
        <v>0</v>
      </c>
      <c r="F197">
        <f>SUMIFS(HoldHistory!Q:Q, HoldHistory!A:A, A197, HoldHistory!M:M, "Draft EA")</f>
        <v>147</v>
      </c>
      <c r="G197">
        <f>SUMIFS(HoldHistory!Q:Q, HoldHistory!A:A, A197, HoldHistory!M:M, "Structures Pre-SAM")</f>
        <v>57</v>
      </c>
      <c r="H197">
        <f>SUMIFS(HoldHistory!Q:Q, HoldHistory!A:A, A197, HoldHistory!M:M, "Structures SAM")</f>
        <v>0</v>
      </c>
      <c r="I197">
        <f>SUMIFS(HoldHistory!Q:Q, HoldHistory!A:A, A197, HoldHistory!M:M, "Final Design Review")</f>
        <v>0</v>
      </c>
    </row>
    <row r="198" spans="1:9" x14ac:dyDescent="0.35">
      <c r="A198" t="str">
        <v>CAS-208201-S2D9L5</v>
      </c>
      <c r="B198">
        <f>SUMIFS(HoldHistory!Q:Q, HoldHistory!A:A, A198, HoldHistory!M:M, "Triage")</f>
        <v>74</v>
      </c>
      <c r="C198">
        <f>SUMIFS(HoldHistory!Q:Q, HoldHistory!A:A, A198, HoldHistory!M:M, "Task Plan")</f>
        <v>0</v>
      </c>
      <c r="D198">
        <f>SUMIFS(HoldHistory!Q:Q, HoldHistory!A:A, A198, HoldHistory!M:M, "Initial Design Review")</f>
        <v>0</v>
      </c>
      <c r="E198">
        <f>SUMIFS(HoldHistory!Q:Q, HoldHistory!A:A, A198, HoldHistory!M:M, "ReCAP")</f>
        <v>0</v>
      </c>
      <c r="F198">
        <f>SUMIFS(HoldHistory!Q:Q, HoldHistory!A:A, A198, HoldHistory!M:M, "Draft EA")</f>
        <v>0</v>
      </c>
      <c r="G198">
        <f>SUMIFS(HoldHistory!Q:Q, HoldHistory!A:A, A198, HoldHistory!M:M, "Structures Pre-SAM")</f>
        <v>0</v>
      </c>
      <c r="H198">
        <f>SUMIFS(HoldHistory!Q:Q, HoldHistory!A:A, A198, HoldHistory!M:M, "Structures SAM")</f>
        <v>0</v>
      </c>
      <c r="I198">
        <f>SUMIFS(HoldHistory!Q:Q, HoldHistory!A:A, A198, HoldHistory!M:M, "Final Design Review")</f>
        <v>0</v>
      </c>
    </row>
    <row r="199" spans="1:9" x14ac:dyDescent="0.35">
      <c r="A199" t="str">
        <v>CAS-208225-L3F8Z8</v>
      </c>
      <c r="B199">
        <f>SUMIFS(HoldHistory!Q:Q, HoldHistory!A:A, A199, HoldHistory!M:M, "Triage")</f>
        <v>0</v>
      </c>
      <c r="C199">
        <f>SUMIFS(HoldHistory!Q:Q, HoldHistory!A:A, A199, HoldHistory!M:M, "Task Plan")</f>
        <v>0</v>
      </c>
      <c r="D199">
        <f>SUMIFS(HoldHistory!Q:Q, HoldHistory!A:A, A199, HoldHistory!M:M, "Initial Design Review")</f>
        <v>0</v>
      </c>
      <c r="E199">
        <f>SUMIFS(HoldHistory!Q:Q, HoldHistory!A:A, A199, HoldHistory!M:M, "ReCAP")</f>
        <v>0</v>
      </c>
      <c r="F199">
        <f>SUMIFS(HoldHistory!Q:Q, HoldHistory!A:A, A199, HoldHistory!M:M, "Draft EA")</f>
        <v>0</v>
      </c>
      <c r="G199">
        <f>SUMIFS(HoldHistory!Q:Q, HoldHistory!A:A, A199, HoldHistory!M:M, "Structures Pre-SAM")</f>
        <v>0</v>
      </c>
      <c r="H199">
        <f>SUMIFS(HoldHistory!Q:Q, HoldHistory!A:A, A199, HoldHistory!M:M, "Structures SAM")</f>
        <v>0</v>
      </c>
      <c r="I199">
        <f>SUMIFS(HoldHistory!Q:Q, HoldHistory!A:A, A199, HoldHistory!M:M, "Final Design Review")</f>
        <v>0</v>
      </c>
    </row>
    <row r="200" spans="1:9" x14ac:dyDescent="0.35">
      <c r="A200" t="str">
        <v>CAS-208328-F3P5N3</v>
      </c>
      <c r="B200">
        <f>SUMIFS(HoldHistory!Q:Q, HoldHistory!A:A, A200, HoldHistory!M:M, "Triage")</f>
        <v>0</v>
      </c>
      <c r="C200">
        <f>SUMIFS(HoldHistory!Q:Q, HoldHistory!A:A, A200, HoldHistory!M:M, "Task Plan")</f>
        <v>0</v>
      </c>
      <c r="D200">
        <f>SUMIFS(HoldHistory!Q:Q, HoldHistory!A:A, A200, HoldHistory!M:M, "Initial Design Review")</f>
        <v>0</v>
      </c>
      <c r="E200">
        <f>SUMIFS(HoldHistory!Q:Q, HoldHistory!A:A, A200, HoldHistory!M:M, "ReCAP")</f>
        <v>6</v>
      </c>
      <c r="F200">
        <f>SUMIFS(HoldHistory!Q:Q, HoldHistory!A:A, A200, HoldHistory!M:M, "Draft EA")</f>
        <v>0</v>
      </c>
      <c r="G200">
        <f>SUMIFS(HoldHistory!Q:Q, HoldHistory!A:A, A200, HoldHistory!M:M, "Structures Pre-SAM")</f>
        <v>0</v>
      </c>
      <c r="H200">
        <f>SUMIFS(HoldHistory!Q:Q, HoldHistory!A:A, A200, HoldHistory!M:M, "Structures SAM")</f>
        <v>0</v>
      </c>
      <c r="I200">
        <f>SUMIFS(HoldHistory!Q:Q, HoldHistory!A:A, A200, HoldHistory!M:M, "Final Design Review")</f>
        <v>0</v>
      </c>
    </row>
    <row r="201" spans="1:9" x14ac:dyDescent="0.35">
      <c r="A201" t="str">
        <v>CAS-208345-H5N6Y2</v>
      </c>
      <c r="B201">
        <f>SUMIFS(HoldHistory!Q:Q, HoldHistory!A:A, A201, HoldHistory!M:M, "Triage")</f>
        <v>0</v>
      </c>
      <c r="C201">
        <f>SUMIFS(HoldHistory!Q:Q, HoldHistory!A:A, A201, HoldHistory!M:M, "Task Plan")</f>
        <v>0</v>
      </c>
      <c r="D201">
        <f>SUMIFS(HoldHistory!Q:Q, HoldHistory!A:A, A201, HoldHistory!M:M, "Initial Design Review")</f>
        <v>0</v>
      </c>
      <c r="E201">
        <f>SUMIFS(HoldHistory!Q:Q, HoldHistory!A:A, A201, HoldHistory!M:M, "ReCAP")</f>
        <v>0</v>
      </c>
      <c r="F201">
        <f>SUMIFS(HoldHistory!Q:Q, HoldHistory!A:A, A201, HoldHistory!M:M, "Draft EA")</f>
        <v>18</v>
      </c>
      <c r="G201">
        <f>SUMIFS(HoldHistory!Q:Q, HoldHistory!A:A, A201, HoldHistory!M:M, "Structures Pre-SAM")</f>
        <v>0</v>
      </c>
      <c r="H201">
        <f>SUMIFS(HoldHistory!Q:Q, HoldHistory!A:A, A201, HoldHistory!M:M, "Structures SAM")</f>
        <v>0</v>
      </c>
      <c r="I201">
        <f>SUMIFS(HoldHistory!Q:Q, HoldHistory!A:A, A201, HoldHistory!M:M, "Final Design Review")</f>
        <v>0</v>
      </c>
    </row>
    <row r="202" spans="1:9" x14ac:dyDescent="0.35">
      <c r="A202" t="str">
        <v>CAS-208479-S9T6P8</v>
      </c>
      <c r="B202">
        <f>SUMIFS(HoldHistory!Q:Q, HoldHistory!A:A, A202, HoldHistory!M:M, "Triage")</f>
        <v>0</v>
      </c>
      <c r="C202">
        <f>SUMIFS(HoldHistory!Q:Q, HoldHistory!A:A, A202, HoldHistory!M:M, "Task Plan")</f>
        <v>0</v>
      </c>
      <c r="D202">
        <f>SUMIFS(HoldHistory!Q:Q, HoldHistory!A:A, A202, HoldHistory!M:M, "Initial Design Review")</f>
        <v>0</v>
      </c>
      <c r="E202">
        <f>SUMIFS(HoldHistory!Q:Q, HoldHistory!A:A, A202, HoldHistory!M:M, "ReCAP")</f>
        <v>0</v>
      </c>
      <c r="F202">
        <f>SUMIFS(HoldHistory!Q:Q, HoldHistory!A:A, A202, HoldHistory!M:M, "Draft EA")</f>
        <v>0</v>
      </c>
      <c r="G202">
        <f>SUMIFS(HoldHistory!Q:Q, HoldHistory!A:A, A202, HoldHistory!M:M, "Structures Pre-SAM")</f>
        <v>17</v>
      </c>
      <c r="H202">
        <f>SUMIFS(HoldHistory!Q:Q, HoldHistory!A:A, A202, HoldHistory!M:M, "Structures SAM")</f>
        <v>0</v>
      </c>
      <c r="I202">
        <f>SUMIFS(HoldHistory!Q:Q, HoldHistory!A:A, A202, HoldHistory!M:M, "Final Design Review")</f>
        <v>0</v>
      </c>
    </row>
    <row r="203" spans="1:9" x14ac:dyDescent="0.35">
      <c r="A203" t="str">
        <v>CAS-208752-K5M9S5</v>
      </c>
      <c r="B203">
        <f>SUMIFS(HoldHistory!Q:Q, HoldHistory!A:A, A203, HoldHistory!M:M, "Triage")</f>
        <v>0</v>
      </c>
      <c r="C203">
        <f>SUMIFS(HoldHistory!Q:Q, HoldHistory!A:A, A203, HoldHistory!M:M, "Task Plan")</f>
        <v>0</v>
      </c>
      <c r="D203">
        <f>SUMIFS(HoldHistory!Q:Q, HoldHistory!A:A, A203, HoldHistory!M:M, "Initial Design Review")</f>
        <v>0</v>
      </c>
      <c r="E203">
        <f>SUMIFS(HoldHistory!Q:Q, HoldHistory!A:A, A203, HoldHistory!M:M, "ReCAP")</f>
        <v>0</v>
      </c>
      <c r="F203">
        <f>SUMIFS(HoldHistory!Q:Q, HoldHistory!A:A, A203, HoldHistory!M:M, "Draft EA")</f>
        <v>0</v>
      </c>
      <c r="G203">
        <f>SUMIFS(HoldHistory!Q:Q, HoldHistory!A:A, A203, HoldHistory!M:M, "Structures Pre-SAM")</f>
        <v>0</v>
      </c>
      <c r="H203">
        <f>SUMIFS(HoldHistory!Q:Q, HoldHistory!A:A, A203, HoldHistory!M:M, "Structures SAM")</f>
        <v>0</v>
      </c>
      <c r="I203">
        <f>SUMIFS(HoldHistory!Q:Q, HoldHistory!A:A, A203, HoldHistory!M:M, "Final Design Review")</f>
        <v>0</v>
      </c>
    </row>
    <row r="204" spans="1:9" x14ac:dyDescent="0.35">
      <c r="A204" t="str">
        <v>CAS-208767-V9H7F2</v>
      </c>
      <c r="B204">
        <f>SUMIFS(HoldHistory!Q:Q, HoldHistory!A:A, A204, HoldHistory!M:M, "Triage")</f>
        <v>0</v>
      </c>
      <c r="C204">
        <f>SUMIFS(HoldHistory!Q:Q, HoldHistory!A:A, A204, HoldHistory!M:M, "Task Plan")</f>
        <v>15.01931269675697</v>
      </c>
      <c r="D204">
        <f>SUMIFS(HoldHistory!Q:Q, HoldHistory!A:A, A204, HoldHistory!M:M, "Initial Design Review")</f>
        <v>0</v>
      </c>
      <c r="E204">
        <f>SUMIFS(HoldHistory!Q:Q, HoldHistory!A:A, A204, HoldHistory!M:M, "ReCAP")</f>
        <v>58.707567025456228</v>
      </c>
      <c r="F204">
        <f>SUMIFS(HoldHistory!Q:Q, HoldHistory!A:A, A204, HoldHistory!M:M, "Draft EA")</f>
        <v>0.9997204398168833</v>
      </c>
      <c r="G204">
        <f>SUMIFS(HoldHistory!Q:Q, HoldHistory!A:A, A204, HoldHistory!M:M, "Structures Pre-SAM")</f>
        <v>0</v>
      </c>
      <c r="H204">
        <f>SUMIFS(HoldHistory!Q:Q, HoldHistory!A:A, A204, HoldHistory!M:M, "Structures SAM")</f>
        <v>0</v>
      </c>
      <c r="I204">
        <f>SUMIFS(HoldHistory!Q:Q, HoldHistory!A:A, A204, HoldHistory!M:M, "Final Design Review")</f>
        <v>0</v>
      </c>
    </row>
    <row r="205" spans="1:9" x14ac:dyDescent="0.35">
      <c r="A205" t="str">
        <v>CAS-208880-Z4N5T5</v>
      </c>
      <c r="B205">
        <f>SUMIFS(HoldHistory!Q:Q, HoldHistory!A:A, A205, HoldHistory!M:M, "Triage")</f>
        <v>0</v>
      </c>
      <c r="C205">
        <f>SUMIFS(HoldHistory!Q:Q, HoldHistory!A:A, A205, HoldHistory!M:M, "Task Plan")</f>
        <v>0</v>
      </c>
      <c r="D205">
        <f>SUMIFS(HoldHistory!Q:Q, HoldHistory!A:A, A205, HoldHistory!M:M, "Initial Design Review")</f>
        <v>0</v>
      </c>
      <c r="E205">
        <f>SUMIFS(HoldHistory!Q:Q, HoldHistory!A:A, A205, HoldHistory!M:M, "ReCAP")</f>
        <v>1.9703209953731857</v>
      </c>
      <c r="F205">
        <f>SUMIFS(HoldHistory!Q:Q, HoldHistory!A:A, A205, HoldHistory!M:M, "Draft EA")</f>
        <v>0</v>
      </c>
      <c r="G205">
        <f>SUMIFS(HoldHistory!Q:Q, HoldHistory!A:A, A205, HoldHistory!M:M, "Structures Pre-SAM")</f>
        <v>0</v>
      </c>
      <c r="H205">
        <f>SUMIFS(HoldHistory!Q:Q, HoldHistory!A:A, A205, HoldHistory!M:M, "Structures SAM")</f>
        <v>0</v>
      </c>
      <c r="I205">
        <f>SUMIFS(HoldHistory!Q:Q, HoldHistory!A:A, A205, HoldHistory!M:M, "Final Design Review")</f>
        <v>0</v>
      </c>
    </row>
    <row r="206" spans="1:9" x14ac:dyDescent="0.35">
      <c r="A206" t="str">
        <v>CAS-209107-K3H5Y2</v>
      </c>
      <c r="B206">
        <f>SUMIFS(HoldHistory!Q:Q, HoldHistory!A:A, A206, HoldHistory!M:M, "Triage")</f>
        <v>0</v>
      </c>
      <c r="C206">
        <f>SUMIFS(HoldHistory!Q:Q, HoldHistory!A:A, A206, HoldHistory!M:M, "Task Plan")</f>
        <v>0</v>
      </c>
      <c r="D206">
        <f>SUMIFS(HoldHistory!Q:Q, HoldHistory!A:A, A206, HoldHistory!M:M, "Initial Design Review")</f>
        <v>0</v>
      </c>
      <c r="E206">
        <f>SUMIFS(HoldHistory!Q:Q, HoldHistory!A:A, A206, HoldHistory!M:M, "ReCAP")</f>
        <v>0</v>
      </c>
      <c r="F206">
        <f>SUMIFS(HoldHistory!Q:Q, HoldHistory!A:A, A206, HoldHistory!M:M, "Draft EA")</f>
        <v>0</v>
      </c>
      <c r="G206">
        <f>SUMIFS(HoldHistory!Q:Q, HoldHistory!A:A, A206, HoldHistory!M:M, "Structures Pre-SAM")</f>
        <v>80</v>
      </c>
      <c r="H206">
        <f>SUMIFS(HoldHistory!Q:Q, HoldHistory!A:A, A206, HoldHistory!M:M, "Structures SAM")</f>
        <v>0</v>
      </c>
      <c r="I206">
        <f>SUMIFS(HoldHistory!Q:Q, HoldHistory!A:A, A206, HoldHistory!M:M, "Final Design Review")</f>
        <v>0</v>
      </c>
    </row>
    <row r="207" spans="1:9" x14ac:dyDescent="0.35">
      <c r="A207" t="str">
        <v>CAS-209262-D0F3M3</v>
      </c>
      <c r="B207">
        <f>SUMIFS(HoldHistory!Q:Q, HoldHistory!A:A, A207, HoldHistory!M:M, "Triage")</f>
        <v>0</v>
      </c>
      <c r="C207">
        <f>SUMIFS(HoldHistory!Q:Q, HoldHistory!A:A, A207, HoldHistory!M:M, "Task Plan")</f>
        <v>0</v>
      </c>
      <c r="D207">
        <f>SUMIFS(HoldHistory!Q:Q, HoldHistory!A:A, A207, HoldHistory!M:M, "Initial Design Review")</f>
        <v>0</v>
      </c>
      <c r="E207">
        <f>SUMIFS(HoldHistory!Q:Q, HoldHistory!A:A, A207, HoldHistory!M:M, "ReCAP")</f>
        <v>0</v>
      </c>
      <c r="F207">
        <f>SUMIFS(HoldHistory!Q:Q, HoldHistory!A:A, A207, HoldHistory!M:M, "Draft EA")</f>
        <v>0</v>
      </c>
      <c r="G207">
        <f>SUMIFS(HoldHistory!Q:Q, HoldHistory!A:A, A207, HoldHistory!M:M, "Structures Pre-SAM")</f>
        <v>0</v>
      </c>
      <c r="H207">
        <f>SUMIFS(HoldHistory!Q:Q, HoldHistory!A:A, A207, HoldHistory!M:M, "Structures SAM")</f>
        <v>0</v>
      </c>
      <c r="I207">
        <f>SUMIFS(HoldHistory!Q:Q, HoldHistory!A:A, A207, HoldHistory!M:M, "Final Design Review")</f>
        <v>0</v>
      </c>
    </row>
    <row r="208" spans="1:9" x14ac:dyDescent="0.35">
      <c r="A208" t="str">
        <v>CAS-209515-V9H4S1</v>
      </c>
      <c r="B208">
        <f>SUMIFS(HoldHistory!Q:Q, HoldHistory!A:A, A208, HoldHistory!M:M, "Triage")</f>
        <v>0</v>
      </c>
      <c r="C208">
        <f>SUMIFS(HoldHistory!Q:Q, HoldHistory!A:A, A208, HoldHistory!M:M, "Task Plan")</f>
        <v>0</v>
      </c>
      <c r="D208">
        <f>SUMIFS(HoldHistory!Q:Q, HoldHistory!A:A, A208, HoldHistory!M:M, "Initial Design Review")</f>
        <v>0</v>
      </c>
      <c r="E208">
        <f>SUMIFS(HoldHistory!Q:Q, HoldHistory!A:A, A208, HoldHistory!M:M, "ReCAP")</f>
        <v>0</v>
      </c>
      <c r="F208">
        <f>SUMIFS(HoldHistory!Q:Q, HoldHistory!A:A, A208, HoldHistory!M:M, "Draft EA")</f>
        <v>0</v>
      </c>
      <c r="G208">
        <f>SUMIFS(HoldHistory!Q:Q, HoldHistory!A:A, A208, HoldHistory!M:M, "Structures Pre-SAM")</f>
        <v>0</v>
      </c>
      <c r="H208">
        <f>SUMIFS(HoldHistory!Q:Q, HoldHistory!A:A, A208, HoldHistory!M:M, "Structures SAM")</f>
        <v>20</v>
      </c>
      <c r="I208">
        <f>SUMIFS(HoldHistory!Q:Q, HoldHistory!A:A, A208, HoldHistory!M:M, "Final Design Review")</f>
        <v>0</v>
      </c>
    </row>
    <row r="209" spans="1:9" x14ac:dyDescent="0.35">
      <c r="A209" t="str">
        <v>CAS-209519-H6S3P4</v>
      </c>
      <c r="B209">
        <f>SUMIFS(HoldHistory!Q:Q, HoldHistory!A:A, A209, HoldHistory!M:M, "Triage")</f>
        <v>0</v>
      </c>
      <c r="C209">
        <f>SUMIFS(HoldHistory!Q:Q, HoldHistory!A:A, A209, HoldHistory!M:M, "Task Plan")</f>
        <v>0</v>
      </c>
      <c r="D209">
        <f>SUMIFS(HoldHistory!Q:Q, HoldHistory!A:A, A209, HoldHistory!M:M, "Initial Design Review")</f>
        <v>0</v>
      </c>
      <c r="E209">
        <f>SUMIFS(HoldHistory!Q:Q, HoldHistory!A:A, A209, HoldHistory!M:M, "ReCAP")</f>
        <v>0</v>
      </c>
      <c r="F209">
        <f>SUMIFS(HoldHistory!Q:Q, HoldHistory!A:A, A209, HoldHistory!M:M, "Draft EA")</f>
        <v>0</v>
      </c>
      <c r="G209">
        <f>SUMIFS(HoldHistory!Q:Q, HoldHistory!A:A, A209, HoldHistory!M:M, "Structures Pre-SAM")</f>
        <v>0</v>
      </c>
      <c r="H209">
        <f>SUMIFS(HoldHistory!Q:Q, HoldHistory!A:A, A209, HoldHistory!M:M, "Structures SAM")</f>
        <v>0</v>
      </c>
      <c r="I209">
        <f>SUMIFS(HoldHistory!Q:Q, HoldHistory!A:A, A209, HoldHistory!M:M, "Final Design Review")</f>
        <v>0</v>
      </c>
    </row>
    <row r="210" spans="1:9" x14ac:dyDescent="0.35">
      <c r="A210" t="str">
        <v>CAS-209535-P6J0Y9</v>
      </c>
      <c r="B210">
        <f>SUMIFS(HoldHistory!Q:Q, HoldHistory!A:A, A210, HoldHistory!M:M, "Triage")</f>
        <v>0</v>
      </c>
      <c r="C210">
        <f>SUMIFS(HoldHistory!Q:Q, HoldHistory!A:A, A210, HoldHistory!M:M, "Task Plan")</f>
        <v>0</v>
      </c>
      <c r="D210">
        <f>SUMIFS(HoldHistory!Q:Q, HoldHistory!A:A, A210, HoldHistory!M:M, "Initial Design Review")</f>
        <v>0</v>
      </c>
      <c r="E210">
        <f>SUMIFS(HoldHistory!Q:Q, HoldHistory!A:A, A210, HoldHistory!M:M, "ReCAP")</f>
        <v>0</v>
      </c>
      <c r="F210">
        <f>SUMIFS(HoldHistory!Q:Q, HoldHistory!A:A, A210, HoldHistory!M:M, "Draft EA")</f>
        <v>32.878345972218085</v>
      </c>
      <c r="G210">
        <f>SUMIFS(HoldHistory!Q:Q, HoldHistory!A:A, A210, HoldHistory!M:M, "Structures Pre-SAM")</f>
        <v>0</v>
      </c>
      <c r="H210">
        <f>SUMIFS(HoldHistory!Q:Q, HoldHistory!A:A, A210, HoldHistory!M:M, "Structures SAM")</f>
        <v>0</v>
      </c>
      <c r="I210">
        <f>SUMIFS(HoldHistory!Q:Q, HoldHistory!A:A, A210, HoldHistory!M:M, "Final Design Review")</f>
        <v>0</v>
      </c>
    </row>
    <row r="211" spans="1:9" x14ac:dyDescent="0.35">
      <c r="A211" t="str">
        <v>CAS-209903-G9F6B0</v>
      </c>
      <c r="B211">
        <f>SUMIFS(HoldHistory!Q:Q, HoldHistory!A:A, A211, HoldHistory!M:M, "Triage")</f>
        <v>0</v>
      </c>
      <c r="C211">
        <f>SUMIFS(HoldHistory!Q:Q, HoldHistory!A:A, A211, HoldHistory!M:M, "Task Plan")</f>
        <v>0</v>
      </c>
      <c r="D211">
        <f>SUMIFS(HoldHistory!Q:Q, HoldHistory!A:A, A211, HoldHistory!M:M, "Initial Design Review")</f>
        <v>0</v>
      </c>
      <c r="E211">
        <f>SUMIFS(HoldHistory!Q:Q, HoldHistory!A:A, A211, HoldHistory!M:M, "ReCAP")</f>
        <v>0</v>
      </c>
      <c r="F211">
        <f>SUMIFS(HoldHistory!Q:Q, HoldHistory!A:A, A211, HoldHistory!M:M, "Draft EA")</f>
        <v>13</v>
      </c>
      <c r="G211">
        <f>SUMIFS(HoldHistory!Q:Q, HoldHistory!A:A, A211, HoldHistory!M:M, "Structures Pre-SAM")</f>
        <v>0</v>
      </c>
      <c r="H211">
        <f>SUMIFS(HoldHistory!Q:Q, HoldHistory!A:A, A211, HoldHistory!M:M, "Structures SAM")</f>
        <v>0</v>
      </c>
      <c r="I211">
        <f>SUMIFS(HoldHistory!Q:Q, HoldHistory!A:A, A211, HoldHistory!M:M, "Final Design Review")</f>
        <v>0</v>
      </c>
    </row>
    <row r="212" spans="1:9" x14ac:dyDescent="0.35">
      <c r="A212" t="str">
        <v>CAS-210050-V2F9D8</v>
      </c>
      <c r="B212">
        <f>SUMIFS(HoldHistory!Q:Q, HoldHistory!A:A, A212, HoldHistory!M:M, "Triage")</f>
        <v>0</v>
      </c>
      <c r="C212">
        <f>SUMIFS(HoldHistory!Q:Q, HoldHistory!A:A, A212, HoldHistory!M:M, "Task Plan")</f>
        <v>0</v>
      </c>
      <c r="D212">
        <f>SUMIFS(HoldHistory!Q:Q, HoldHistory!A:A, A212, HoldHistory!M:M, "Initial Design Review")</f>
        <v>0</v>
      </c>
      <c r="E212">
        <f>SUMIFS(HoldHistory!Q:Q, HoldHistory!A:A, A212, HoldHistory!M:M, "ReCAP")</f>
        <v>0</v>
      </c>
      <c r="F212">
        <f>SUMIFS(HoldHistory!Q:Q, HoldHistory!A:A, A212, HoldHistory!M:M, "Draft EA")</f>
        <v>0</v>
      </c>
      <c r="G212">
        <f>SUMIFS(HoldHistory!Q:Q, HoldHistory!A:A, A212, HoldHistory!M:M, "Structures Pre-SAM")</f>
        <v>1</v>
      </c>
      <c r="H212">
        <f>SUMIFS(HoldHistory!Q:Q, HoldHistory!A:A, A212, HoldHistory!M:M, "Structures SAM")</f>
        <v>0</v>
      </c>
      <c r="I212">
        <f>SUMIFS(HoldHistory!Q:Q, HoldHistory!A:A, A212, HoldHistory!M:M, "Final Design Review")</f>
        <v>0</v>
      </c>
    </row>
    <row r="213" spans="1:9" x14ac:dyDescent="0.35">
      <c r="A213" t="str">
        <v>CAS-210139-Z4V3C0</v>
      </c>
      <c r="B213">
        <f>SUMIFS(HoldHistory!Q:Q, HoldHistory!A:A, A213, HoldHistory!M:M, "Triage")</f>
        <v>0</v>
      </c>
      <c r="C213">
        <f>SUMIFS(HoldHistory!Q:Q, HoldHistory!A:A, A213, HoldHistory!M:M, "Task Plan")</f>
        <v>0</v>
      </c>
      <c r="D213">
        <f>SUMIFS(HoldHistory!Q:Q, HoldHistory!A:A, A213, HoldHistory!M:M, "Initial Design Review")</f>
        <v>0</v>
      </c>
      <c r="E213">
        <f>SUMIFS(HoldHistory!Q:Q, HoldHistory!A:A, A213, HoldHistory!M:M, "ReCAP")</f>
        <v>0</v>
      </c>
      <c r="F213">
        <f>SUMIFS(HoldHistory!Q:Q, HoldHistory!A:A, A213, HoldHistory!M:M, "Draft EA")</f>
        <v>0</v>
      </c>
      <c r="G213">
        <f>SUMIFS(HoldHistory!Q:Q, HoldHistory!A:A, A213, HoldHistory!M:M, "Structures Pre-SAM")</f>
        <v>0</v>
      </c>
      <c r="H213">
        <f>SUMIFS(HoldHistory!Q:Q, HoldHistory!A:A, A213, HoldHistory!M:M, "Structures SAM")</f>
        <v>0</v>
      </c>
      <c r="I213">
        <f>SUMIFS(HoldHistory!Q:Q, HoldHistory!A:A, A213, HoldHistory!M:M, "Final Design Review")</f>
        <v>0</v>
      </c>
    </row>
    <row r="214" spans="1:9" x14ac:dyDescent="0.35">
      <c r="A214" t="str">
        <v>CAS-210588-S8G6T8</v>
      </c>
      <c r="B214">
        <f>SUMIFS(HoldHistory!Q:Q, HoldHistory!A:A, A214, HoldHistory!M:M, "Triage")</f>
        <v>0</v>
      </c>
      <c r="C214">
        <f>SUMIFS(HoldHistory!Q:Q, HoldHistory!A:A, A214, HoldHistory!M:M, "Task Plan")</f>
        <v>0</v>
      </c>
      <c r="D214">
        <f>SUMIFS(HoldHistory!Q:Q, HoldHistory!A:A, A214, HoldHistory!M:M, "Initial Design Review")</f>
        <v>0</v>
      </c>
      <c r="E214">
        <f>SUMIFS(HoldHistory!Q:Q, HoldHistory!A:A, A214, HoldHistory!M:M, "ReCAP")</f>
        <v>0</v>
      </c>
      <c r="F214">
        <f>SUMIFS(HoldHistory!Q:Q, HoldHistory!A:A, A214, HoldHistory!M:M, "Draft EA")</f>
        <v>0</v>
      </c>
      <c r="G214">
        <f>SUMIFS(HoldHistory!Q:Q, HoldHistory!A:A, A214, HoldHistory!M:M, "Structures Pre-SAM")</f>
        <v>90.21002001157467</v>
      </c>
      <c r="H214">
        <f>SUMIFS(HoldHistory!Q:Q, HoldHistory!A:A, A214, HoldHistory!M:M, "Structures SAM")</f>
        <v>0</v>
      </c>
      <c r="I214">
        <f>SUMIFS(HoldHistory!Q:Q, HoldHistory!A:A, A214, HoldHistory!M:M, "Final Design Review")</f>
        <v>0</v>
      </c>
    </row>
    <row r="215" spans="1:9" x14ac:dyDescent="0.35">
      <c r="A215" t="str">
        <v>CAS-210811-B5T3S7</v>
      </c>
      <c r="B215">
        <f>SUMIFS(HoldHistory!Q:Q, HoldHistory!A:A, A215, HoldHistory!M:M, "Triage")</f>
        <v>0</v>
      </c>
      <c r="C215">
        <f>SUMIFS(HoldHistory!Q:Q, HoldHistory!A:A, A215, HoldHistory!M:M, "Task Plan")</f>
        <v>0</v>
      </c>
      <c r="D215">
        <f>SUMIFS(HoldHistory!Q:Q, HoldHistory!A:A, A215, HoldHistory!M:M, "Initial Design Review")</f>
        <v>0</v>
      </c>
      <c r="E215">
        <f>SUMIFS(HoldHistory!Q:Q, HoldHistory!A:A, A215, HoldHistory!M:M, "ReCAP")</f>
        <v>0</v>
      </c>
      <c r="F215">
        <f>SUMIFS(HoldHistory!Q:Q, HoldHistory!A:A, A215, HoldHistory!M:M, "Draft EA")</f>
        <v>0</v>
      </c>
      <c r="G215">
        <f>SUMIFS(HoldHistory!Q:Q, HoldHistory!A:A, A215, HoldHistory!M:M, "Structures Pre-SAM")</f>
        <v>0</v>
      </c>
      <c r="H215">
        <f>SUMIFS(HoldHistory!Q:Q, HoldHistory!A:A, A215, HoldHistory!M:M, "Structures SAM")</f>
        <v>0</v>
      </c>
      <c r="I215">
        <f>SUMIFS(HoldHistory!Q:Q, HoldHistory!A:A, A215, HoldHistory!M:M, "Final Design Review")</f>
        <v>0</v>
      </c>
    </row>
    <row r="216" spans="1:9" x14ac:dyDescent="0.35">
      <c r="A216" t="str">
        <v>CAS-211300-T1H8H2</v>
      </c>
      <c r="B216">
        <f>SUMIFS(HoldHistory!Q:Q, HoldHistory!A:A, A216, HoldHistory!M:M, "Triage")</f>
        <v>0</v>
      </c>
      <c r="C216">
        <f>SUMIFS(HoldHistory!Q:Q, HoldHistory!A:A, A216, HoldHistory!M:M, "Task Plan")</f>
        <v>0</v>
      </c>
      <c r="D216">
        <f>SUMIFS(HoldHistory!Q:Q, HoldHistory!A:A, A216, HoldHistory!M:M, "Initial Design Review")</f>
        <v>0</v>
      </c>
      <c r="E216">
        <f>SUMIFS(HoldHistory!Q:Q, HoldHistory!A:A, A216, HoldHistory!M:M, "ReCAP")</f>
        <v>0</v>
      </c>
      <c r="F216">
        <f>SUMIFS(HoldHistory!Q:Q, HoldHistory!A:A, A216, HoldHistory!M:M, "Draft EA")</f>
        <v>0</v>
      </c>
      <c r="G216">
        <f>SUMIFS(HoldHistory!Q:Q, HoldHistory!A:A, A216, HoldHistory!M:M, "Structures Pre-SAM")</f>
        <v>0</v>
      </c>
      <c r="H216">
        <f>SUMIFS(HoldHistory!Q:Q, HoldHistory!A:A, A216, HoldHistory!M:M, "Structures SAM")</f>
        <v>0</v>
      </c>
      <c r="I216">
        <f>SUMIFS(HoldHistory!Q:Q, HoldHistory!A:A, A216, HoldHistory!M:M, "Final Design Review")</f>
        <v>0</v>
      </c>
    </row>
    <row r="217" spans="1:9" x14ac:dyDescent="0.35">
      <c r="A217" t="str">
        <v>CAS-211369-S2T0P2</v>
      </c>
      <c r="B217">
        <f>SUMIFS(HoldHistory!Q:Q, HoldHistory!A:A, A217, HoldHistory!M:M, "Triage")</f>
        <v>52.820924004634435</v>
      </c>
      <c r="C217">
        <f>SUMIFS(HoldHistory!Q:Q, HoldHistory!A:A, A217, HoldHistory!M:M, "Task Plan")</f>
        <v>13.968890011579788</v>
      </c>
      <c r="D217">
        <f>SUMIFS(HoldHistory!Q:Q, HoldHistory!A:A, A217, HoldHistory!M:M, "Initial Design Review")</f>
        <v>0</v>
      </c>
      <c r="E217">
        <f>SUMIFS(HoldHistory!Q:Q, HoldHistory!A:A, A217, HoldHistory!M:M, "ReCAP")</f>
        <v>0</v>
      </c>
      <c r="F217">
        <f>SUMIFS(HoldHistory!Q:Q, HoldHistory!A:A, A217, HoldHistory!M:M, "Draft EA")</f>
        <v>0</v>
      </c>
      <c r="G217">
        <f>SUMIFS(HoldHistory!Q:Q, HoldHistory!A:A, A217, HoldHistory!M:M, "Structures Pre-SAM")</f>
        <v>0</v>
      </c>
      <c r="H217">
        <f>SUMIFS(HoldHistory!Q:Q, HoldHistory!A:A, A217, HoldHistory!M:M, "Structures SAM")</f>
        <v>0</v>
      </c>
      <c r="I217">
        <f>SUMIFS(HoldHistory!Q:Q, HoldHistory!A:A, A217, HoldHistory!M:M, "Final Design Review")</f>
        <v>0</v>
      </c>
    </row>
    <row r="218" spans="1:9" x14ac:dyDescent="0.35">
      <c r="A218" t="str">
        <v>CAS-211414-N2Q5H9</v>
      </c>
      <c r="B218">
        <f>SUMIFS(HoldHistory!Q:Q, HoldHistory!A:A, A218, HoldHistory!M:M, "Triage")</f>
        <v>0</v>
      </c>
      <c r="C218">
        <f>SUMIFS(HoldHistory!Q:Q, HoldHistory!A:A, A218, HoldHistory!M:M, "Task Plan")</f>
        <v>0</v>
      </c>
      <c r="D218">
        <f>SUMIFS(HoldHistory!Q:Q, HoldHistory!A:A, A218, HoldHistory!M:M, "Initial Design Review")</f>
        <v>0</v>
      </c>
      <c r="E218">
        <f>SUMIFS(HoldHistory!Q:Q, HoldHistory!A:A, A218, HoldHistory!M:M, "ReCAP")</f>
        <v>0</v>
      </c>
      <c r="F218">
        <f>SUMIFS(HoldHistory!Q:Q, HoldHistory!A:A, A218, HoldHistory!M:M, "Draft EA")</f>
        <v>0</v>
      </c>
      <c r="G218">
        <f>SUMIFS(HoldHistory!Q:Q, HoldHistory!A:A, A218, HoldHistory!M:M, "Structures Pre-SAM")</f>
        <v>0</v>
      </c>
      <c r="H218">
        <f>SUMIFS(HoldHistory!Q:Q, HoldHistory!A:A, A218, HoldHistory!M:M, "Structures SAM")</f>
        <v>0</v>
      </c>
      <c r="I218">
        <f>SUMIFS(HoldHistory!Q:Q, HoldHistory!A:A, A218, HoldHistory!M:M, "Final Design Review")</f>
        <v>61</v>
      </c>
    </row>
    <row r="219" spans="1:9" x14ac:dyDescent="0.35">
      <c r="A219" t="str">
        <v>CAS-211677-T7S6M2</v>
      </c>
      <c r="B219">
        <f>SUMIFS(HoldHistory!Q:Q, HoldHistory!A:A, A219, HoldHistory!M:M, "Triage")</f>
        <v>0</v>
      </c>
      <c r="C219">
        <f>SUMIFS(HoldHistory!Q:Q, HoldHistory!A:A, A219, HoldHistory!M:M, "Task Plan")</f>
        <v>0</v>
      </c>
      <c r="D219">
        <f>SUMIFS(HoldHistory!Q:Q, HoldHistory!A:A, A219, HoldHistory!M:M, "Initial Design Review")</f>
        <v>0</v>
      </c>
      <c r="E219">
        <f>SUMIFS(HoldHistory!Q:Q, HoldHistory!A:A, A219, HoldHistory!M:M, "ReCAP")</f>
        <v>31.849544907410746</v>
      </c>
      <c r="F219">
        <f>SUMIFS(HoldHistory!Q:Q, HoldHistory!A:A, A219, HoldHistory!M:M, "Draft EA")</f>
        <v>0</v>
      </c>
      <c r="G219">
        <f>SUMIFS(HoldHistory!Q:Q, HoldHistory!A:A, A219, HoldHistory!M:M, "Structures Pre-SAM")</f>
        <v>0</v>
      </c>
      <c r="H219">
        <f>SUMIFS(HoldHistory!Q:Q, HoldHistory!A:A, A219, HoldHistory!M:M, "Structures SAM")</f>
        <v>0</v>
      </c>
      <c r="I219">
        <f>SUMIFS(HoldHistory!Q:Q, HoldHistory!A:A, A219, HoldHistory!M:M, "Final Design Review")</f>
        <v>0</v>
      </c>
    </row>
    <row r="220" spans="1:9" x14ac:dyDescent="0.35">
      <c r="A220" t="str">
        <v>CAS-211709-M8Z7F3</v>
      </c>
      <c r="B220">
        <f>SUMIFS(HoldHistory!Q:Q, HoldHistory!A:A, A220, HoldHistory!M:M, "Triage")</f>
        <v>0</v>
      </c>
      <c r="C220">
        <f>SUMIFS(HoldHistory!Q:Q, HoldHistory!A:A, A220, HoldHistory!M:M, "Task Plan")</f>
        <v>0</v>
      </c>
      <c r="D220">
        <f>SUMIFS(HoldHistory!Q:Q, HoldHistory!A:A, A220, HoldHistory!M:M, "Initial Design Review")</f>
        <v>0</v>
      </c>
      <c r="E220">
        <f>SUMIFS(HoldHistory!Q:Q, HoldHistory!A:A, A220, HoldHistory!M:M, "ReCAP")</f>
        <v>0</v>
      </c>
      <c r="F220">
        <f>SUMIFS(HoldHistory!Q:Q, HoldHistory!A:A, A220, HoldHistory!M:M, "Draft EA")</f>
        <v>0</v>
      </c>
      <c r="G220">
        <f>SUMIFS(HoldHistory!Q:Q, HoldHistory!A:A, A220, HoldHistory!M:M, "Structures Pre-SAM")</f>
        <v>0</v>
      </c>
      <c r="H220">
        <f>SUMIFS(HoldHistory!Q:Q, HoldHistory!A:A, A220, HoldHistory!M:M, "Structures SAM")</f>
        <v>0</v>
      </c>
      <c r="I220">
        <f>SUMIFS(HoldHistory!Q:Q, HoldHistory!A:A, A220, HoldHistory!M:M, "Final Design Review")</f>
        <v>0</v>
      </c>
    </row>
    <row r="221" spans="1:9" x14ac:dyDescent="0.35">
      <c r="A221" t="str">
        <v>CAS-211841-Y5G5F0</v>
      </c>
      <c r="B221">
        <f>SUMIFS(HoldHistory!Q:Q, HoldHistory!A:A, A221, HoldHistory!M:M, "Triage")</f>
        <v>0</v>
      </c>
      <c r="C221">
        <f>SUMIFS(HoldHistory!Q:Q, HoldHistory!A:A, A221, HoldHistory!M:M, "Task Plan")</f>
        <v>0</v>
      </c>
      <c r="D221">
        <f>SUMIFS(HoldHistory!Q:Q, HoldHistory!A:A, A221, HoldHistory!M:M, "Initial Design Review")</f>
        <v>0</v>
      </c>
      <c r="E221">
        <f>SUMIFS(HoldHistory!Q:Q, HoldHistory!A:A, A221, HoldHistory!M:M, "ReCAP")</f>
        <v>0</v>
      </c>
      <c r="F221">
        <f>SUMIFS(HoldHistory!Q:Q, HoldHistory!A:A, A221, HoldHistory!M:M, "Draft EA")</f>
        <v>0</v>
      </c>
      <c r="G221">
        <f>SUMIFS(HoldHistory!Q:Q, HoldHistory!A:A, A221, HoldHistory!M:M, "Structures Pre-SAM")</f>
        <v>70</v>
      </c>
      <c r="H221">
        <f>SUMIFS(HoldHistory!Q:Q, HoldHistory!A:A, A221, HoldHistory!M:M, "Structures SAM")</f>
        <v>0</v>
      </c>
      <c r="I221">
        <f>SUMIFS(HoldHistory!Q:Q, HoldHistory!A:A, A221, HoldHistory!M:M, "Final Design Review")</f>
        <v>154</v>
      </c>
    </row>
    <row r="222" spans="1:9" x14ac:dyDescent="0.35">
      <c r="A222" t="str">
        <v>CAS-211912-F1J1D6</v>
      </c>
      <c r="B222">
        <f>SUMIFS(HoldHistory!Q:Q, HoldHistory!A:A, A222, HoldHistory!M:M, "Triage")</f>
        <v>0</v>
      </c>
      <c r="C222">
        <f>SUMIFS(HoldHistory!Q:Q, HoldHistory!A:A, A222, HoldHistory!M:M, "Task Plan")</f>
        <v>0</v>
      </c>
      <c r="D222">
        <f>SUMIFS(HoldHistory!Q:Q, HoldHistory!A:A, A222, HoldHistory!M:M, "Initial Design Review")</f>
        <v>0</v>
      </c>
      <c r="E222">
        <f>SUMIFS(HoldHistory!Q:Q, HoldHistory!A:A, A222, HoldHistory!M:M, "ReCAP")</f>
        <v>22.933908900464303</v>
      </c>
      <c r="F222">
        <f>SUMIFS(HoldHistory!Q:Q, HoldHistory!A:A, A222, HoldHistory!M:M, "Draft EA")</f>
        <v>0</v>
      </c>
      <c r="G222">
        <f>SUMIFS(HoldHistory!Q:Q, HoldHistory!A:A, A222, HoldHistory!M:M, "Structures Pre-SAM")</f>
        <v>0</v>
      </c>
      <c r="H222">
        <f>SUMIFS(HoldHistory!Q:Q, HoldHistory!A:A, A222, HoldHistory!M:M, "Structures SAM")</f>
        <v>0</v>
      </c>
      <c r="I222">
        <f>SUMIFS(HoldHistory!Q:Q, HoldHistory!A:A, A222, HoldHistory!M:M, "Final Design Review")</f>
        <v>0</v>
      </c>
    </row>
    <row r="223" spans="1:9" x14ac:dyDescent="0.35">
      <c r="A223" t="str">
        <v>CAS-212076-M1Z9M3</v>
      </c>
      <c r="B223">
        <f>SUMIFS(HoldHistory!Q:Q, HoldHistory!A:A, A223, HoldHistory!M:M, "Triage")</f>
        <v>0</v>
      </c>
      <c r="C223">
        <f>SUMIFS(HoldHistory!Q:Q, HoldHistory!A:A, A223, HoldHistory!M:M, "Task Plan")</f>
        <v>0</v>
      </c>
      <c r="D223">
        <f>SUMIFS(HoldHistory!Q:Q, HoldHistory!A:A, A223, HoldHistory!M:M, "Initial Design Review")</f>
        <v>0</v>
      </c>
      <c r="E223">
        <f>SUMIFS(HoldHistory!Q:Q, HoldHistory!A:A, A223, HoldHistory!M:M, "ReCAP")</f>
        <v>0</v>
      </c>
      <c r="F223">
        <f>SUMIFS(HoldHistory!Q:Q, HoldHistory!A:A, A223, HoldHistory!M:M, "Draft EA")</f>
        <v>0</v>
      </c>
      <c r="G223">
        <f>SUMIFS(HoldHistory!Q:Q, HoldHistory!A:A, A223, HoldHistory!M:M, "Structures Pre-SAM")</f>
        <v>0</v>
      </c>
      <c r="H223">
        <f>SUMIFS(HoldHistory!Q:Q, HoldHistory!A:A, A223, HoldHistory!M:M, "Structures SAM")</f>
        <v>0</v>
      </c>
      <c r="I223">
        <f>SUMIFS(HoldHistory!Q:Q, HoldHistory!A:A, A223, HoldHistory!M:M, "Final Design Review")</f>
        <v>0</v>
      </c>
    </row>
    <row r="224" spans="1:9" x14ac:dyDescent="0.35">
      <c r="A224" t="str">
        <v>CAS-212100-L9L0L9</v>
      </c>
      <c r="B224">
        <f>SUMIFS(HoldHistory!Q:Q, HoldHistory!A:A, A224, HoldHistory!M:M, "Triage")</f>
        <v>0</v>
      </c>
      <c r="C224">
        <f>SUMIFS(HoldHistory!Q:Q, HoldHistory!A:A, A224, HoldHistory!M:M, "Task Plan")</f>
        <v>0</v>
      </c>
      <c r="D224">
        <f>SUMIFS(HoldHistory!Q:Q, HoldHistory!A:A, A224, HoldHistory!M:M, "Initial Design Review")</f>
        <v>0</v>
      </c>
      <c r="E224">
        <f>SUMIFS(HoldHistory!Q:Q, HoldHistory!A:A, A224, HoldHistory!M:M, "ReCAP")</f>
        <v>0</v>
      </c>
      <c r="F224">
        <f>SUMIFS(HoldHistory!Q:Q, HoldHistory!A:A, A224, HoldHistory!M:M, "Draft EA")</f>
        <v>12</v>
      </c>
      <c r="G224">
        <f>SUMIFS(HoldHistory!Q:Q, HoldHistory!A:A, A224, HoldHistory!M:M, "Structures Pre-SAM")</f>
        <v>0</v>
      </c>
      <c r="H224">
        <f>SUMIFS(HoldHistory!Q:Q, HoldHistory!A:A, A224, HoldHistory!M:M, "Structures SAM")</f>
        <v>0</v>
      </c>
      <c r="I224">
        <f>SUMIFS(HoldHistory!Q:Q, HoldHistory!A:A, A224, HoldHistory!M:M, "Final Design Review")</f>
        <v>0</v>
      </c>
    </row>
    <row r="225" spans="1:9" x14ac:dyDescent="0.35">
      <c r="A225" t="str">
        <v>CAS-212236-S9W7F9</v>
      </c>
      <c r="B225">
        <f>SUMIFS(HoldHistory!Q:Q, HoldHistory!A:A, A225, HoldHistory!M:M, "Triage")</f>
        <v>0</v>
      </c>
      <c r="C225">
        <f>SUMIFS(HoldHistory!Q:Q, HoldHistory!A:A, A225, HoldHistory!M:M, "Task Plan")</f>
        <v>0</v>
      </c>
      <c r="D225">
        <f>SUMIFS(HoldHistory!Q:Q, HoldHistory!A:A, A225, HoldHistory!M:M, "Initial Design Review")</f>
        <v>0</v>
      </c>
      <c r="E225">
        <f>SUMIFS(HoldHistory!Q:Q, HoldHistory!A:A, A225, HoldHistory!M:M, "ReCAP")</f>
        <v>11</v>
      </c>
      <c r="F225">
        <f>SUMIFS(HoldHistory!Q:Q, HoldHistory!A:A, A225, HoldHistory!M:M, "Draft EA")</f>
        <v>0</v>
      </c>
      <c r="G225">
        <f>SUMIFS(HoldHistory!Q:Q, HoldHistory!A:A, A225, HoldHistory!M:M, "Structures Pre-SAM")</f>
        <v>0</v>
      </c>
      <c r="H225">
        <f>SUMIFS(HoldHistory!Q:Q, HoldHistory!A:A, A225, HoldHistory!M:M, "Structures SAM")</f>
        <v>0</v>
      </c>
      <c r="I225">
        <f>SUMIFS(HoldHistory!Q:Q, HoldHistory!A:A, A225, HoldHistory!M:M, "Final Design Review")</f>
        <v>0</v>
      </c>
    </row>
    <row r="226" spans="1:9" x14ac:dyDescent="0.35">
      <c r="A226" t="str">
        <v>CAS-212348-P3N0P1</v>
      </c>
      <c r="B226">
        <f>SUMIFS(HoldHistory!Q:Q, HoldHistory!A:A, A226, HoldHistory!M:M, "Triage")</f>
        <v>0</v>
      </c>
      <c r="C226">
        <f>SUMIFS(HoldHistory!Q:Q, HoldHistory!A:A, A226, HoldHistory!M:M, "Task Plan")</f>
        <v>0</v>
      </c>
      <c r="D226">
        <f>SUMIFS(HoldHistory!Q:Q, HoldHistory!A:A, A226, HoldHistory!M:M, "Initial Design Review")</f>
        <v>0</v>
      </c>
      <c r="E226">
        <f>SUMIFS(HoldHistory!Q:Q, HoldHistory!A:A, A226, HoldHistory!M:M, "ReCAP")</f>
        <v>13</v>
      </c>
      <c r="F226">
        <f>SUMIFS(HoldHistory!Q:Q, HoldHistory!A:A, A226, HoldHistory!M:M, "Draft EA")</f>
        <v>0</v>
      </c>
      <c r="G226">
        <f>SUMIFS(HoldHistory!Q:Q, HoldHistory!A:A, A226, HoldHistory!M:M, "Structures Pre-SAM")</f>
        <v>15</v>
      </c>
      <c r="H226">
        <f>SUMIFS(HoldHistory!Q:Q, HoldHistory!A:A, A226, HoldHistory!M:M, "Structures SAM")</f>
        <v>0</v>
      </c>
      <c r="I226">
        <f>SUMIFS(HoldHistory!Q:Q, HoldHistory!A:A, A226, HoldHistory!M:M, "Final Design Review")</f>
        <v>0</v>
      </c>
    </row>
    <row r="227" spans="1:9" x14ac:dyDescent="0.35">
      <c r="A227" t="str">
        <v>CAS-212750-T3V4R5</v>
      </c>
      <c r="B227">
        <f>SUMIFS(HoldHistory!Q:Q, HoldHistory!A:A, A227, HoldHistory!M:M, "Triage")</f>
        <v>0</v>
      </c>
      <c r="C227">
        <f>SUMIFS(HoldHistory!Q:Q, HoldHistory!A:A, A227, HoldHistory!M:M, "Task Plan")</f>
        <v>0</v>
      </c>
      <c r="D227">
        <f>SUMIFS(HoldHistory!Q:Q, HoldHistory!A:A, A227, HoldHistory!M:M, "Initial Design Review")</f>
        <v>0</v>
      </c>
      <c r="E227">
        <f>SUMIFS(HoldHistory!Q:Q, HoldHistory!A:A, A227, HoldHistory!M:M, "ReCAP")</f>
        <v>0</v>
      </c>
      <c r="F227">
        <f>SUMIFS(HoldHistory!Q:Q, HoldHistory!A:A, A227, HoldHistory!M:M, "Draft EA")</f>
        <v>0</v>
      </c>
      <c r="G227">
        <f>SUMIFS(HoldHistory!Q:Q, HoldHistory!A:A, A227, HoldHistory!M:M, "Structures Pre-SAM")</f>
        <v>23</v>
      </c>
      <c r="H227">
        <f>SUMIFS(HoldHistory!Q:Q, HoldHistory!A:A, A227, HoldHistory!M:M, "Structures SAM")</f>
        <v>0</v>
      </c>
      <c r="I227">
        <f>SUMIFS(HoldHistory!Q:Q, HoldHistory!A:A, A227, HoldHistory!M:M, "Final Design Review")</f>
        <v>0</v>
      </c>
    </row>
    <row r="228" spans="1:9" x14ac:dyDescent="0.35">
      <c r="A228" t="str">
        <v>CAS-212797-M5C7V0</v>
      </c>
      <c r="B228">
        <f>SUMIFS(HoldHistory!Q:Q, HoldHistory!A:A, A228, HoldHistory!M:M, "Triage")</f>
        <v>0</v>
      </c>
      <c r="C228">
        <f>SUMIFS(HoldHistory!Q:Q, HoldHistory!A:A, A228, HoldHistory!M:M, "Task Plan")</f>
        <v>0</v>
      </c>
      <c r="D228">
        <f>SUMIFS(HoldHistory!Q:Q, HoldHistory!A:A, A228, HoldHistory!M:M, "Initial Design Review")</f>
        <v>0</v>
      </c>
      <c r="E228">
        <f>SUMIFS(HoldHistory!Q:Q, HoldHistory!A:A, A228, HoldHistory!M:M, "ReCAP")</f>
        <v>1</v>
      </c>
      <c r="F228">
        <f>SUMIFS(HoldHistory!Q:Q, HoldHistory!A:A, A228, HoldHistory!M:M, "Draft EA")</f>
        <v>0</v>
      </c>
      <c r="G228">
        <f>SUMIFS(HoldHistory!Q:Q, HoldHistory!A:A, A228, HoldHistory!M:M, "Structures Pre-SAM")</f>
        <v>18</v>
      </c>
      <c r="H228">
        <f>SUMIFS(HoldHistory!Q:Q, HoldHistory!A:A, A228, HoldHistory!M:M, "Structures SAM")</f>
        <v>0</v>
      </c>
      <c r="I228">
        <f>SUMIFS(HoldHistory!Q:Q, HoldHistory!A:A, A228, HoldHistory!M:M, "Final Design Review")</f>
        <v>0</v>
      </c>
    </row>
    <row r="229" spans="1:9" x14ac:dyDescent="0.35">
      <c r="A229" t="str">
        <v>CAS-213274-M6L9G9</v>
      </c>
      <c r="B229">
        <f>SUMIFS(HoldHistory!Q:Q, HoldHistory!A:A, A229, HoldHistory!M:M, "Triage")</f>
        <v>8.1177294444496511</v>
      </c>
      <c r="C229">
        <f>SUMIFS(HoldHistory!Q:Q, HoldHistory!A:A, A229, HoldHistory!M:M, "Task Plan")</f>
        <v>0</v>
      </c>
      <c r="D229">
        <f>SUMIFS(HoldHistory!Q:Q, HoldHistory!A:A, A229, HoldHistory!M:M, "Initial Design Review")</f>
        <v>0</v>
      </c>
      <c r="E229">
        <f>SUMIFS(HoldHistory!Q:Q, HoldHistory!A:A, A229, HoldHistory!M:M, "ReCAP")</f>
        <v>0</v>
      </c>
      <c r="F229">
        <f>SUMIFS(HoldHistory!Q:Q, HoldHistory!A:A, A229, HoldHistory!M:M, "Draft EA")</f>
        <v>0</v>
      </c>
      <c r="G229">
        <f>SUMIFS(HoldHistory!Q:Q, HoldHistory!A:A, A229, HoldHistory!M:M, "Structures Pre-SAM")</f>
        <v>0</v>
      </c>
      <c r="H229">
        <f>SUMIFS(HoldHistory!Q:Q, HoldHistory!A:A, A229, HoldHistory!M:M, "Structures SAM")</f>
        <v>0</v>
      </c>
      <c r="I229">
        <f>SUMIFS(HoldHistory!Q:Q, HoldHistory!A:A, A229, HoldHistory!M:M, "Final Design Review")</f>
        <v>0</v>
      </c>
    </row>
    <row r="230" spans="1:9" x14ac:dyDescent="0.35">
      <c r="A230" t="str">
        <v>CAS-213687-B8X9B9</v>
      </c>
      <c r="B230">
        <f>SUMIFS(HoldHistory!Q:Q, HoldHistory!A:A, A230, HoldHistory!M:M, "Triage")</f>
        <v>9</v>
      </c>
      <c r="C230">
        <f>SUMIFS(HoldHistory!Q:Q, HoldHistory!A:A, A230, HoldHistory!M:M, "Task Plan")</f>
        <v>0</v>
      </c>
      <c r="D230">
        <f>SUMIFS(HoldHistory!Q:Q, HoldHistory!A:A, A230, HoldHistory!M:M, "Initial Design Review")</f>
        <v>0</v>
      </c>
      <c r="E230">
        <f>SUMIFS(HoldHistory!Q:Q, HoldHistory!A:A, A230, HoldHistory!M:M, "ReCAP")</f>
        <v>0</v>
      </c>
      <c r="F230">
        <f>SUMIFS(HoldHistory!Q:Q, HoldHistory!A:A, A230, HoldHistory!M:M, "Draft EA")</f>
        <v>0</v>
      </c>
      <c r="G230">
        <f>SUMIFS(HoldHistory!Q:Q, HoldHistory!A:A, A230, HoldHistory!M:M, "Structures Pre-SAM")</f>
        <v>0</v>
      </c>
      <c r="H230">
        <f>SUMIFS(HoldHistory!Q:Q, HoldHistory!A:A, A230, HoldHistory!M:M, "Structures SAM")</f>
        <v>0</v>
      </c>
      <c r="I230">
        <f>SUMIFS(HoldHistory!Q:Q, HoldHistory!A:A, A230, HoldHistory!M:M, "Final Design Review")</f>
        <v>0</v>
      </c>
    </row>
    <row r="231" spans="1:9" x14ac:dyDescent="0.35">
      <c r="A231" t="str">
        <v>CAS-213828-D5B6R2</v>
      </c>
      <c r="B231">
        <f>SUMIFS(HoldHistory!Q:Q, HoldHistory!A:A, A231, HoldHistory!M:M, "Triage")</f>
        <v>6</v>
      </c>
      <c r="C231">
        <f>SUMIFS(HoldHistory!Q:Q, HoldHistory!A:A, A231, HoldHistory!M:M, "Task Plan")</f>
        <v>0</v>
      </c>
      <c r="D231">
        <f>SUMIFS(HoldHistory!Q:Q, HoldHistory!A:A, A231, HoldHistory!M:M, "Initial Design Review")</f>
        <v>0</v>
      </c>
      <c r="E231">
        <f>SUMIFS(HoldHistory!Q:Q, HoldHistory!A:A, A231, HoldHistory!M:M, "ReCAP")</f>
        <v>0</v>
      </c>
      <c r="F231">
        <f>SUMIFS(HoldHistory!Q:Q, HoldHistory!A:A, A231, HoldHistory!M:M, "Draft EA")</f>
        <v>0</v>
      </c>
      <c r="G231">
        <f>SUMIFS(HoldHistory!Q:Q, HoldHistory!A:A, A231, HoldHistory!M:M, "Structures Pre-SAM")</f>
        <v>7</v>
      </c>
      <c r="H231">
        <f>SUMIFS(HoldHistory!Q:Q, HoldHistory!A:A, A231, HoldHistory!M:M, "Structures SAM")</f>
        <v>0</v>
      </c>
      <c r="I231">
        <f>SUMIFS(HoldHistory!Q:Q, HoldHistory!A:A, A231, HoldHistory!M:M, "Final Design Review")</f>
        <v>0</v>
      </c>
    </row>
    <row r="232" spans="1:9" x14ac:dyDescent="0.35">
      <c r="A232" t="str">
        <v>CAS-213876-K2X7Z2</v>
      </c>
      <c r="B232">
        <f>SUMIFS(HoldHistory!Q:Q, HoldHistory!A:A, A232, HoldHistory!M:M, "Triage")</f>
        <v>80</v>
      </c>
      <c r="C232">
        <f>SUMIFS(HoldHistory!Q:Q, HoldHistory!A:A, A232, HoldHistory!M:M, "Task Plan")</f>
        <v>0</v>
      </c>
      <c r="D232">
        <f>SUMIFS(HoldHistory!Q:Q, HoldHistory!A:A, A232, HoldHistory!M:M, "Initial Design Review")</f>
        <v>0</v>
      </c>
      <c r="E232">
        <f>SUMIFS(HoldHistory!Q:Q, HoldHistory!A:A, A232, HoldHistory!M:M, "ReCAP")</f>
        <v>0</v>
      </c>
      <c r="F232">
        <f>SUMIFS(HoldHistory!Q:Q, HoldHistory!A:A, A232, HoldHistory!M:M, "Draft EA")</f>
        <v>0</v>
      </c>
      <c r="G232">
        <f>SUMIFS(HoldHistory!Q:Q, HoldHistory!A:A, A232, HoldHistory!M:M, "Structures Pre-SAM")</f>
        <v>0</v>
      </c>
      <c r="H232">
        <f>SUMIFS(HoldHistory!Q:Q, HoldHistory!A:A, A232, HoldHistory!M:M, "Structures SAM")</f>
        <v>0</v>
      </c>
      <c r="I232">
        <f>SUMIFS(HoldHistory!Q:Q, HoldHistory!A:A, A232, HoldHistory!M:M, "Final Design Review")</f>
        <v>0</v>
      </c>
    </row>
    <row r="233" spans="1:9" x14ac:dyDescent="0.35">
      <c r="A233" t="str">
        <v>CAS-214671-H6L7D1</v>
      </c>
      <c r="B233">
        <f>SUMIFS(HoldHistory!Q:Q, HoldHistory!A:A, A233, HoldHistory!M:M, "Triage")</f>
        <v>80</v>
      </c>
      <c r="C233">
        <f>SUMIFS(HoldHistory!Q:Q, HoldHistory!A:A, A233, HoldHistory!M:M, "Task Plan")</f>
        <v>24</v>
      </c>
      <c r="D233">
        <f>SUMIFS(HoldHistory!Q:Q, HoldHistory!A:A, A233, HoldHistory!M:M, "Initial Design Review")</f>
        <v>0</v>
      </c>
      <c r="E233">
        <f>SUMIFS(HoldHistory!Q:Q, HoldHistory!A:A, A233, HoldHistory!M:M, "ReCAP")</f>
        <v>0</v>
      </c>
      <c r="F233">
        <f>SUMIFS(HoldHistory!Q:Q, HoldHistory!A:A, A233, HoldHistory!M:M, "Draft EA")</f>
        <v>0</v>
      </c>
      <c r="G233">
        <f>SUMIFS(HoldHistory!Q:Q, HoldHistory!A:A, A233, HoldHistory!M:M, "Structures Pre-SAM")</f>
        <v>0</v>
      </c>
      <c r="H233">
        <f>SUMIFS(HoldHistory!Q:Q, HoldHistory!A:A, A233, HoldHistory!M:M, "Structures SAM")</f>
        <v>0</v>
      </c>
      <c r="I233">
        <f>SUMIFS(HoldHistory!Q:Q, HoldHistory!A:A, A233, HoldHistory!M:M, "Final Design Review")</f>
        <v>0</v>
      </c>
    </row>
    <row r="234" spans="1:9" x14ac:dyDescent="0.35">
      <c r="A234" t="str">
        <v>CAS-214994-P0X2T6</v>
      </c>
      <c r="B234">
        <f>SUMIFS(HoldHistory!Q:Q, HoldHistory!A:A, A234, HoldHistory!M:M, "Triage")</f>
        <v>68</v>
      </c>
      <c r="C234">
        <f>SUMIFS(HoldHistory!Q:Q, HoldHistory!A:A, A234, HoldHistory!M:M, "Task Plan")</f>
        <v>0</v>
      </c>
      <c r="D234">
        <f>SUMIFS(HoldHistory!Q:Q, HoldHistory!A:A, A234, HoldHistory!M:M, "Initial Design Review")</f>
        <v>0</v>
      </c>
      <c r="E234">
        <f>SUMIFS(HoldHistory!Q:Q, HoldHistory!A:A, A234, HoldHistory!M:M, "ReCAP")</f>
        <v>0</v>
      </c>
      <c r="F234">
        <f>SUMIFS(HoldHistory!Q:Q, HoldHistory!A:A, A234, HoldHistory!M:M, "Draft EA")</f>
        <v>0</v>
      </c>
      <c r="G234">
        <f>SUMIFS(HoldHistory!Q:Q, HoldHistory!A:A, A234, HoldHistory!M:M, "Structures Pre-SAM")</f>
        <v>34</v>
      </c>
      <c r="H234">
        <f>SUMIFS(HoldHistory!Q:Q, HoldHistory!A:A, A234, HoldHistory!M:M, "Structures SAM")</f>
        <v>0</v>
      </c>
      <c r="I234">
        <f>SUMIFS(HoldHistory!Q:Q, HoldHistory!A:A, A234, HoldHistory!M:M, "Final Design Review")</f>
        <v>0</v>
      </c>
    </row>
    <row r="235" spans="1:9" x14ac:dyDescent="0.35">
      <c r="A235" t="str">
        <v>CAS-215084-K2G4L4</v>
      </c>
      <c r="B235">
        <f>SUMIFS(HoldHistory!Q:Q, HoldHistory!A:A, A235, HoldHistory!M:M, "Triage")</f>
        <v>0</v>
      </c>
      <c r="C235">
        <f>SUMIFS(HoldHistory!Q:Q, HoldHistory!A:A, A235, HoldHistory!M:M, "Task Plan")</f>
        <v>13</v>
      </c>
      <c r="D235">
        <f>SUMIFS(HoldHistory!Q:Q, HoldHistory!A:A, A235, HoldHistory!M:M, "Initial Design Review")</f>
        <v>0</v>
      </c>
      <c r="E235">
        <f>SUMIFS(HoldHistory!Q:Q, HoldHistory!A:A, A235, HoldHistory!M:M, "ReCAP")</f>
        <v>0</v>
      </c>
      <c r="F235">
        <f>SUMIFS(HoldHistory!Q:Q, HoldHistory!A:A, A235, HoldHistory!M:M, "Draft EA")</f>
        <v>0</v>
      </c>
      <c r="G235">
        <f>SUMIFS(HoldHistory!Q:Q, HoldHistory!A:A, A235, HoldHistory!M:M, "Structures Pre-SAM")</f>
        <v>0</v>
      </c>
      <c r="H235">
        <f>SUMIFS(HoldHistory!Q:Q, HoldHistory!A:A, A235, HoldHistory!M:M, "Structures SAM")</f>
        <v>0</v>
      </c>
      <c r="I235">
        <f>SUMIFS(HoldHistory!Q:Q, HoldHistory!A:A, A235, HoldHistory!M:M, "Final Design Review")</f>
        <v>0</v>
      </c>
    </row>
    <row r="236" spans="1:9" x14ac:dyDescent="0.35">
      <c r="A236" t="str">
        <v>CAS-215383-S8J9W4</v>
      </c>
      <c r="B236">
        <f>SUMIFS(HoldHistory!Q:Q, HoldHistory!A:A, A236, HoldHistory!M:M, "Triage")</f>
        <v>23.893911574072263</v>
      </c>
      <c r="C236">
        <f>SUMIFS(HoldHistory!Q:Q, HoldHistory!A:A, A236, HoldHistory!M:M, "Task Plan")</f>
        <v>0</v>
      </c>
      <c r="D236">
        <f>SUMIFS(HoldHistory!Q:Q, HoldHistory!A:A, A236, HoldHistory!M:M, "Initial Design Review")</f>
        <v>0</v>
      </c>
      <c r="E236">
        <f>SUMIFS(HoldHistory!Q:Q, HoldHistory!A:A, A236, HoldHistory!M:M, "ReCAP")</f>
        <v>14.798241006945318</v>
      </c>
      <c r="F236">
        <f>SUMIFS(HoldHistory!Q:Q, HoldHistory!A:A, A236, HoldHistory!M:M, "Draft EA")</f>
        <v>0</v>
      </c>
      <c r="G236">
        <f>SUMIFS(HoldHistory!Q:Q, HoldHistory!A:A, A236, HoldHistory!M:M, "Structures Pre-SAM")</f>
        <v>0</v>
      </c>
      <c r="H236">
        <f>SUMIFS(HoldHistory!Q:Q, HoldHistory!A:A, A236, HoldHistory!M:M, "Structures SAM")</f>
        <v>0</v>
      </c>
      <c r="I236">
        <f>SUMIFS(HoldHistory!Q:Q, HoldHistory!A:A, A236, HoldHistory!M:M, "Final Design Review")</f>
        <v>0</v>
      </c>
    </row>
    <row r="237" spans="1:9" x14ac:dyDescent="0.35">
      <c r="A237" t="str">
        <v>CAS-215490-Q5R2L7</v>
      </c>
      <c r="B237">
        <f>SUMIFS(HoldHistory!Q:Q, HoldHistory!A:A, A237, HoldHistory!M:M, "Triage")</f>
        <v>44.693074247683398</v>
      </c>
      <c r="C237">
        <f>SUMIFS(HoldHistory!Q:Q, HoldHistory!A:A, A237, HoldHistory!M:M, "Task Plan")</f>
        <v>24.723195081016456</v>
      </c>
      <c r="D237">
        <f>SUMIFS(HoldHistory!Q:Q, HoldHistory!A:A, A237, HoldHistory!M:M, "Initial Design Review")</f>
        <v>0</v>
      </c>
      <c r="E237">
        <f>SUMIFS(HoldHistory!Q:Q, HoldHistory!A:A, A237, HoldHistory!M:M, "ReCAP")</f>
        <v>0</v>
      </c>
      <c r="F237">
        <f>SUMIFS(HoldHistory!Q:Q, HoldHistory!A:A, A237, HoldHistory!M:M, "Draft EA")</f>
        <v>0</v>
      </c>
      <c r="G237">
        <f>SUMIFS(HoldHistory!Q:Q, HoldHistory!A:A, A237, HoldHistory!M:M, "Structures Pre-SAM")</f>
        <v>0</v>
      </c>
      <c r="H237">
        <f>SUMIFS(HoldHistory!Q:Q, HoldHistory!A:A, A237, HoldHistory!M:M, "Structures SAM")</f>
        <v>0</v>
      </c>
      <c r="I237">
        <f>SUMIFS(HoldHistory!Q:Q, HoldHistory!A:A, A237, HoldHistory!M:M, "Final Design Review")</f>
        <v>0</v>
      </c>
    </row>
    <row r="238" spans="1:9" x14ac:dyDescent="0.35">
      <c r="A238" t="str">
        <v>CAS-215633-Q7N0D1</v>
      </c>
      <c r="B238">
        <f>SUMIFS(HoldHistory!Q:Q, HoldHistory!A:A, A238, HoldHistory!M:M, "Triage")</f>
        <v>3</v>
      </c>
      <c r="C238">
        <f>SUMIFS(HoldHistory!Q:Q, HoldHistory!A:A, A238, HoldHistory!M:M, "Task Plan")</f>
        <v>0</v>
      </c>
      <c r="D238">
        <f>SUMIFS(HoldHistory!Q:Q, HoldHistory!A:A, A238, HoldHistory!M:M, "Initial Design Review")</f>
        <v>0</v>
      </c>
      <c r="E238">
        <f>SUMIFS(HoldHistory!Q:Q, HoldHistory!A:A, A238, HoldHistory!M:M, "ReCAP")</f>
        <v>0</v>
      </c>
      <c r="F238">
        <f>SUMIFS(HoldHistory!Q:Q, HoldHistory!A:A, A238, HoldHistory!M:M, "Draft EA")</f>
        <v>1</v>
      </c>
      <c r="G238">
        <f>SUMIFS(HoldHistory!Q:Q, HoldHistory!A:A, A238, HoldHistory!M:M, "Structures Pre-SAM")</f>
        <v>0</v>
      </c>
      <c r="H238">
        <f>SUMIFS(HoldHistory!Q:Q, HoldHistory!A:A, A238, HoldHistory!M:M, "Structures SAM")</f>
        <v>0</v>
      </c>
      <c r="I238">
        <f>SUMIFS(HoldHistory!Q:Q, HoldHistory!A:A, A238, HoldHistory!M:M, "Final Design Review")</f>
        <v>0</v>
      </c>
    </row>
    <row r="239" spans="1:9" x14ac:dyDescent="0.35">
      <c r="A239" t="str">
        <v>CAS-215778-R7F8V0</v>
      </c>
      <c r="B239">
        <f>SUMIFS(HoldHistory!Q:Q, HoldHistory!A:A, A239, HoldHistory!M:M, "Triage")</f>
        <v>37</v>
      </c>
      <c r="C239">
        <f>SUMIFS(HoldHistory!Q:Q, HoldHistory!A:A, A239, HoldHistory!M:M, "Task Plan")</f>
        <v>0</v>
      </c>
      <c r="D239">
        <f>SUMIFS(HoldHistory!Q:Q, HoldHistory!A:A, A239, HoldHistory!M:M, "Initial Design Review")</f>
        <v>6</v>
      </c>
      <c r="E239">
        <f>SUMIFS(HoldHistory!Q:Q, HoldHistory!A:A, A239, HoldHistory!M:M, "ReCAP")</f>
        <v>0</v>
      </c>
      <c r="F239">
        <f>SUMIFS(HoldHistory!Q:Q, HoldHistory!A:A, A239, HoldHistory!M:M, "Draft EA")</f>
        <v>0</v>
      </c>
      <c r="G239">
        <f>SUMIFS(HoldHistory!Q:Q, HoldHistory!A:A, A239, HoldHistory!M:M, "Structures Pre-SAM")</f>
        <v>0</v>
      </c>
      <c r="H239">
        <f>SUMIFS(HoldHistory!Q:Q, HoldHistory!A:A, A239, HoldHistory!M:M, "Structures SAM")</f>
        <v>0</v>
      </c>
      <c r="I239">
        <f>SUMIFS(HoldHistory!Q:Q, HoldHistory!A:A, A239, HoldHistory!M:M, "Final Design Review")</f>
        <v>0</v>
      </c>
    </row>
    <row r="240" spans="1:9" x14ac:dyDescent="0.35">
      <c r="A240" t="str">
        <v>CAS-215781-F5W3G0</v>
      </c>
      <c r="B240">
        <f>SUMIFS(HoldHistory!Q:Q, HoldHistory!A:A, A240, HoldHistory!M:M, "Triage")</f>
        <v>22</v>
      </c>
      <c r="C240">
        <f>SUMIFS(HoldHistory!Q:Q, HoldHistory!A:A, A240, HoldHistory!M:M, "Task Plan")</f>
        <v>0</v>
      </c>
      <c r="D240">
        <f>SUMIFS(HoldHistory!Q:Q, HoldHistory!A:A, A240, HoldHistory!M:M, "Initial Design Review")</f>
        <v>0</v>
      </c>
      <c r="E240">
        <f>SUMIFS(HoldHistory!Q:Q, HoldHistory!A:A, A240, HoldHistory!M:M, "ReCAP")</f>
        <v>0</v>
      </c>
      <c r="F240">
        <f>SUMIFS(HoldHistory!Q:Q, HoldHistory!A:A, A240, HoldHistory!M:M, "Draft EA")</f>
        <v>0</v>
      </c>
      <c r="G240">
        <f>SUMIFS(HoldHistory!Q:Q, HoldHistory!A:A, A240, HoldHistory!M:M, "Structures Pre-SAM")</f>
        <v>0</v>
      </c>
      <c r="H240">
        <f>SUMIFS(HoldHistory!Q:Q, HoldHistory!A:A, A240, HoldHistory!M:M, "Structures SAM")</f>
        <v>0</v>
      </c>
      <c r="I240">
        <f>SUMIFS(HoldHistory!Q:Q, HoldHistory!A:A, A240, HoldHistory!M:M, "Final Design Review")</f>
        <v>0</v>
      </c>
    </row>
    <row r="241" spans="1:9" x14ac:dyDescent="0.35">
      <c r="A241" t="str">
        <v>CAS-216436-T3J3W8</v>
      </c>
      <c r="B241">
        <f>SUMIFS(HoldHistory!Q:Q, HoldHistory!A:A, A241, HoldHistory!M:M, "Triage")</f>
        <v>20.791415381943807</v>
      </c>
      <c r="C241">
        <f>SUMIFS(HoldHistory!Q:Q, HoldHistory!A:A, A241, HoldHistory!M:M, "Task Plan")</f>
        <v>23.158961122680921</v>
      </c>
      <c r="D241">
        <f>SUMIFS(HoldHistory!Q:Q, HoldHistory!A:A, A241, HoldHistory!M:M, "Initial Design Review")</f>
        <v>0</v>
      </c>
      <c r="E241">
        <f>SUMIFS(HoldHistory!Q:Q, HoldHistory!A:A, A241, HoldHistory!M:M, "ReCAP")</f>
        <v>0</v>
      </c>
      <c r="F241">
        <f>SUMIFS(HoldHistory!Q:Q, HoldHistory!A:A, A241, HoldHistory!M:M, "Draft EA")</f>
        <v>0</v>
      </c>
      <c r="G241">
        <f>SUMIFS(HoldHistory!Q:Q, HoldHistory!A:A, A241, HoldHistory!M:M, "Structures Pre-SAM")</f>
        <v>0</v>
      </c>
      <c r="H241">
        <f>SUMIFS(HoldHistory!Q:Q, HoldHistory!A:A, A241, HoldHistory!M:M, "Structures SAM")</f>
        <v>0</v>
      </c>
      <c r="I241">
        <f>SUMIFS(HoldHistory!Q:Q, HoldHistory!A:A, A241, HoldHistory!M:M, "Final Design Review")</f>
        <v>0</v>
      </c>
    </row>
    <row r="242" spans="1:9" x14ac:dyDescent="0.35">
      <c r="A242" t="str">
        <v>CAS-216563-Z1N9T6</v>
      </c>
      <c r="B242">
        <f>SUMIFS(HoldHistory!Q:Q, HoldHistory!A:A, A242, HoldHistory!M:M, "Triage")</f>
        <v>15</v>
      </c>
      <c r="C242">
        <f>SUMIFS(HoldHistory!Q:Q, HoldHistory!A:A, A242, HoldHistory!M:M, "Task Plan")</f>
        <v>4</v>
      </c>
      <c r="D242">
        <f>SUMIFS(HoldHistory!Q:Q, HoldHistory!A:A, A242, HoldHistory!M:M, "Initial Design Review")</f>
        <v>0</v>
      </c>
      <c r="E242">
        <f>SUMIFS(HoldHistory!Q:Q, HoldHistory!A:A, A242, HoldHistory!M:M, "ReCAP")</f>
        <v>6</v>
      </c>
      <c r="F242">
        <f>SUMIFS(HoldHistory!Q:Q, HoldHistory!A:A, A242, HoldHistory!M:M, "Draft EA")</f>
        <v>0</v>
      </c>
      <c r="G242">
        <f>SUMIFS(HoldHistory!Q:Q, HoldHistory!A:A, A242, HoldHistory!M:M, "Structures Pre-SAM")</f>
        <v>14</v>
      </c>
      <c r="H242">
        <f>SUMIFS(HoldHistory!Q:Q, HoldHistory!A:A, A242, HoldHistory!M:M, "Structures SAM")</f>
        <v>0</v>
      </c>
      <c r="I242">
        <f>SUMIFS(HoldHistory!Q:Q, HoldHistory!A:A, A242, HoldHistory!M:M, "Final Design Review")</f>
        <v>0</v>
      </c>
    </row>
    <row r="243" spans="1:9" x14ac:dyDescent="0.35">
      <c r="A243" t="str">
        <v>CAS-216972-Z8F0V0</v>
      </c>
      <c r="B243">
        <f>SUMIFS(HoldHistory!Q:Q, HoldHistory!A:A, A243, HoldHistory!M:M, "Triage")</f>
        <v>9.039474641205743</v>
      </c>
      <c r="C243">
        <f>SUMIFS(HoldHistory!Q:Q, HoldHistory!A:A, A243, HoldHistory!M:M, "Task Plan")</f>
        <v>0</v>
      </c>
      <c r="D243">
        <f>SUMIFS(HoldHistory!Q:Q, HoldHistory!A:A, A243, HoldHistory!M:M, "Initial Design Review")</f>
        <v>0</v>
      </c>
      <c r="E243">
        <f>SUMIFS(HoldHistory!Q:Q, HoldHistory!A:A, A243, HoldHistory!M:M, "ReCAP")</f>
        <v>0</v>
      </c>
      <c r="F243">
        <f>SUMIFS(HoldHistory!Q:Q, HoldHistory!A:A, A243, HoldHistory!M:M, "Draft EA")</f>
        <v>0</v>
      </c>
      <c r="G243">
        <f>SUMIFS(HoldHistory!Q:Q, HoldHistory!A:A, A243, HoldHistory!M:M, "Structures Pre-SAM")</f>
        <v>0</v>
      </c>
      <c r="H243">
        <f>SUMIFS(HoldHistory!Q:Q, HoldHistory!A:A, A243, HoldHistory!M:M, "Structures SAM")</f>
        <v>0</v>
      </c>
      <c r="I243">
        <f>SUMIFS(HoldHistory!Q:Q, HoldHistory!A:A, A243, HoldHistory!M:M, "Final Design Review")</f>
        <v>0</v>
      </c>
    </row>
    <row r="244" spans="1:9" x14ac:dyDescent="0.35">
      <c r="A244" t="str">
        <v>CAS-216987-J6D9V9</v>
      </c>
      <c r="B244">
        <f>SUMIFS(HoldHistory!Q:Q, HoldHistory!A:A, A244, HoldHistory!M:M, "Triage")</f>
        <v>9</v>
      </c>
      <c r="C244">
        <f>SUMIFS(HoldHistory!Q:Q, HoldHistory!A:A, A244, HoldHistory!M:M, "Task Plan")</f>
        <v>21</v>
      </c>
      <c r="D244">
        <f>SUMIFS(HoldHistory!Q:Q, HoldHistory!A:A, A244, HoldHistory!M:M, "Initial Design Review")</f>
        <v>0</v>
      </c>
      <c r="E244">
        <f>SUMIFS(HoldHistory!Q:Q, HoldHistory!A:A, A244, HoldHistory!M:M, "ReCAP")</f>
        <v>0</v>
      </c>
      <c r="F244">
        <f>SUMIFS(HoldHistory!Q:Q, HoldHistory!A:A, A244, HoldHistory!M:M, "Draft EA")</f>
        <v>1</v>
      </c>
      <c r="G244">
        <f>SUMIFS(HoldHistory!Q:Q, HoldHistory!A:A, A244, HoldHistory!M:M, "Structures Pre-SAM")</f>
        <v>0</v>
      </c>
      <c r="H244">
        <f>SUMIFS(HoldHistory!Q:Q, HoldHistory!A:A, A244, HoldHistory!M:M, "Structures SAM")</f>
        <v>50</v>
      </c>
      <c r="I244">
        <f>SUMIFS(HoldHistory!Q:Q, HoldHistory!A:A, A244, HoldHistory!M:M, "Final Design Review")</f>
        <v>0</v>
      </c>
    </row>
    <row r="245" spans="1:9" x14ac:dyDescent="0.35">
      <c r="A245" t="str">
        <v>CAS-217277-T8T4B2</v>
      </c>
      <c r="B245">
        <f>SUMIFS(HoldHistory!Q:Q, HoldHistory!A:A, A245, HoldHistory!M:M, "Triage")</f>
        <v>0</v>
      </c>
      <c r="C245">
        <f>SUMIFS(HoldHistory!Q:Q, HoldHistory!A:A, A245, HoldHistory!M:M, "Task Plan")</f>
        <v>0</v>
      </c>
      <c r="D245">
        <f>SUMIFS(HoldHistory!Q:Q, HoldHistory!A:A, A245, HoldHistory!M:M, "Initial Design Review")</f>
        <v>0</v>
      </c>
      <c r="E245">
        <f>SUMIFS(HoldHistory!Q:Q, HoldHistory!A:A, A245, HoldHistory!M:M, "ReCAP")</f>
        <v>0</v>
      </c>
      <c r="F245">
        <f>SUMIFS(HoldHistory!Q:Q, HoldHistory!A:A, A245, HoldHistory!M:M, "Draft EA")</f>
        <v>0</v>
      </c>
      <c r="G245">
        <f>SUMIFS(HoldHistory!Q:Q, HoldHistory!A:A, A245, HoldHistory!M:M, "Structures Pre-SAM")</f>
        <v>0</v>
      </c>
      <c r="H245">
        <f>SUMIFS(HoldHistory!Q:Q, HoldHistory!A:A, A245, HoldHistory!M:M, "Structures SAM")</f>
        <v>0</v>
      </c>
      <c r="I245">
        <f>SUMIFS(HoldHistory!Q:Q, HoldHistory!A:A, A245, HoldHistory!M:M, "Final Design Review")</f>
        <v>0</v>
      </c>
    </row>
    <row r="246" spans="1:9" x14ac:dyDescent="0.35">
      <c r="A246" t="str">
        <v>CAS-217588-R9X6X1</v>
      </c>
      <c r="B246">
        <f>SUMIFS(HoldHistory!Q:Q, HoldHistory!A:A, A246, HoldHistory!M:M, "Triage")</f>
        <v>39</v>
      </c>
      <c r="C246">
        <f>SUMIFS(HoldHistory!Q:Q, HoldHistory!A:A, A246, HoldHistory!M:M, "Task Plan")</f>
        <v>0</v>
      </c>
      <c r="D246">
        <f>SUMIFS(HoldHistory!Q:Q, HoldHistory!A:A, A246, HoldHistory!M:M, "Initial Design Review")</f>
        <v>0</v>
      </c>
      <c r="E246">
        <f>SUMIFS(HoldHistory!Q:Q, HoldHistory!A:A, A246, HoldHistory!M:M, "ReCAP")</f>
        <v>0</v>
      </c>
      <c r="F246">
        <f>SUMIFS(HoldHistory!Q:Q, HoldHistory!A:A, A246, HoldHistory!M:M, "Draft EA")</f>
        <v>0</v>
      </c>
      <c r="G246">
        <f>SUMIFS(HoldHistory!Q:Q, HoldHistory!A:A, A246, HoldHistory!M:M, "Structures Pre-SAM")</f>
        <v>0</v>
      </c>
      <c r="H246">
        <f>SUMIFS(HoldHistory!Q:Q, HoldHistory!A:A, A246, HoldHistory!M:M, "Structures SAM")</f>
        <v>0</v>
      </c>
      <c r="I246">
        <f>SUMIFS(HoldHistory!Q:Q, HoldHistory!A:A, A246, HoldHistory!M:M, "Final Design Review")</f>
        <v>0</v>
      </c>
    </row>
    <row r="247" spans="1:9" x14ac:dyDescent="0.35">
      <c r="A247" t="str">
        <v>CAS-217603-G1Y4X1</v>
      </c>
      <c r="B247">
        <f>SUMIFS(HoldHistory!Q:Q, HoldHistory!A:A, A247, HoldHistory!M:M, "Triage")</f>
        <v>44.695421666663606</v>
      </c>
      <c r="C247">
        <f>SUMIFS(HoldHistory!Q:Q, HoldHistory!A:A, A247, HoldHistory!M:M, "Task Plan")</f>
        <v>0</v>
      </c>
      <c r="D247">
        <f>SUMIFS(HoldHistory!Q:Q, HoldHistory!A:A, A247, HoldHistory!M:M, "Initial Design Review")</f>
        <v>0</v>
      </c>
      <c r="E247">
        <f>SUMIFS(HoldHistory!Q:Q, HoldHistory!A:A, A247, HoldHistory!M:M, "ReCAP")</f>
        <v>0</v>
      </c>
      <c r="F247">
        <f>SUMIFS(HoldHistory!Q:Q, HoldHistory!A:A, A247, HoldHistory!M:M, "Draft EA")</f>
        <v>19.919439432873332</v>
      </c>
      <c r="G247">
        <f>SUMIFS(HoldHistory!Q:Q, HoldHistory!A:A, A247, HoldHistory!M:M, "Structures Pre-SAM")</f>
        <v>13.973793738427048</v>
      </c>
      <c r="H247">
        <f>SUMIFS(HoldHistory!Q:Q, HoldHistory!A:A, A247, HoldHistory!M:M, "Structures SAM")</f>
        <v>0</v>
      </c>
      <c r="I247">
        <f>SUMIFS(HoldHistory!Q:Q, HoldHistory!A:A, A247, HoldHistory!M:M, "Final Design Review")</f>
        <v>0</v>
      </c>
    </row>
    <row r="248" spans="1:9" x14ac:dyDescent="0.35">
      <c r="A248" t="str">
        <v>CAS-217724-N5Q7P0</v>
      </c>
      <c r="B248">
        <f>SUMIFS(HoldHistory!Q:Q, HoldHistory!A:A, A248, HoldHistory!M:M, "Triage")</f>
        <v>3.9021337615704397</v>
      </c>
      <c r="C248">
        <f>SUMIFS(HoldHistory!Q:Q, HoldHistory!A:A, A248, HoldHistory!M:M, "Task Plan")</f>
        <v>0</v>
      </c>
      <c r="D248">
        <f>SUMIFS(HoldHistory!Q:Q, HoldHistory!A:A, A248, HoldHistory!M:M, "Initial Design Review")</f>
        <v>0</v>
      </c>
      <c r="E248">
        <f>SUMIFS(HoldHistory!Q:Q, HoldHistory!A:A, A248, HoldHistory!M:M, "ReCAP")</f>
        <v>0</v>
      </c>
      <c r="F248">
        <f>SUMIFS(HoldHistory!Q:Q, HoldHistory!A:A, A248, HoldHistory!M:M, "Draft EA")</f>
        <v>0</v>
      </c>
      <c r="G248">
        <f>SUMIFS(HoldHistory!Q:Q, HoldHistory!A:A, A248, HoldHistory!M:M, "Structures Pre-SAM")</f>
        <v>0</v>
      </c>
      <c r="H248">
        <f>SUMIFS(HoldHistory!Q:Q, HoldHistory!A:A, A248, HoldHistory!M:M, "Structures SAM")</f>
        <v>0</v>
      </c>
      <c r="I248">
        <f>SUMIFS(HoldHistory!Q:Q, HoldHistory!A:A, A248, HoldHistory!M:M, "Final Design Review")</f>
        <v>0</v>
      </c>
    </row>
    <row r="249" spans="1:9" x14ac:dyDescent="0.35">
      <c r="A249" t="str">
        <v>CAS-218035-M5C2S5</v>
      </c>
      <c r="B249">
        <f>SUMIFS(HoldHistory!Q:Q, HoldHistory!A:A, A249, HoldHistory!M:M, "Triage")</f>
        <v>40</v>
      </c>
      <c r="C249">
        <f>SUMIFS(HoldHistory!Q:Q, HoldHistory!A:A, A249, HoldHistory!M:M, "Task Plan")</f>
        <v>0</v>
      </c>
      <c r="D249">
        <f>SUMIFS(HoldHistory!Q:Q, HoldHistory!A:A, A249, HoldHistory!M:M, "Initial Design Review")</f>
        <v>0</v>
      </c>
      <c r="E249">
        <f>SUMIFS(HoldHistory!Q:Q, HoldHistory!A:A, A249, HoldHistory!M:M, "ReCAP")</f>
        <v>0</v>
      </c>
      <c r="F249">
        <f>SUMIFS(HoldHistory!Q:Q, HoldHistory!A:A, A249, HoldHistory!M:M, "Draft EA")</f>
        <v>0</v>
      </c>
      <c r="G249">
        <f>SUMIFS(HoldHistory!Q:Q, HoldHistory!A:A, A249, HoldHistory!M:M, "Structures Pre-SAM")</f>
        <v>0</v>
      </c>
      <c r="H249">
        <f>SUMIFS(HoldHistory!Q:Q, HoldHistory!A:A, A249, HoldHistory!M:M, "Structures SAM")</f>
        <v>0</v>
      </c>
      <c r="I249">
        <f>SUMIFS(HoldHistory!Q:Q, HoldHistory!A:A, A249, HoldHistory!M:M, "Final Design Review")</f>
        <v>0</v>
      </c>
    </row>
    <row r="250" spans="1:9" x14ac:dyDescent="0.35">
      <c r="A250" t="str">
        <v>CAS-218146-D6N2M2</v>
      </c>
      <c r="B250">
        <f>SUMIFS(HoldHistory!Q:Q, HoldHistory!A:A, A250, HoldHistory!M:M, "Triage")</f>
        <v>2.758059756939474</v>
      </c>
      <c r="C250">
        <f>SUMIFS(HoldHistory!Q:Q, HoldHistory!A:A, A250, HoldHistory!M:M, "Task Plan")</f>
        <v>0</v>
      </c>
      <c r="D250">
        <f>SUMIFS(HoldHistory!Q:Q, HoldHistory!A:A, A250, HoldHistory!M:M, "Initial Design Review")</f>
        <v>0</v>
      </c>
      <c r="E250">
        <f>SUMIFS(HoldHistory!Q:Q, HoldHistory!A:A, A250, HoldHistory!M:M, "ReCAP")</f>
        <v>0</v>
      </c>
      <c r="F250">
        <f>SUMIFS(HoldHistory!Q:Q, HoldHistory!A:A, A250, HoldHistory!M:M, "Draft EA")</f>
        <v>0</v>
      </c>
      <c r="G250">
        <f>SUMIFS(HoldHistory!Q:Q, HoldHistory!A:A, A250, HoldHistory!M:M, "Structures Pre-SAM")</f>
        <v>0</v>
      </c>
      <c r="H250">
        <f>SUMIFS(HoldHistory!Q:Q, HoldHistory!A:A, A250, HoldHistory!M:M, "Structures SAM")</f>
        <v>0</v>
      </c>
      <c r="I250">
        <f>SUMIFS(HoldHistory!Q:Q, HoldHistory!A:A, A250, HoldHistory!M:M, "Final Design Review")</f>
        <v>0</v>
      </c>
    </row>
    <row r="251" spans="1:9" x14ac:dyDescent="0.35">
      <c r="A251" t="str">
        <v>CAS-218476-L6P7M5</v>
      </c>
      <c r="B251">
        <f>SUMIFS(HoldHistory!Q:Q, HoldHistory!A:A, A251, HoldHistory!M:M, "Triage")</f>
        <v>7</v>
      </c>
      <c r="C251">
        <f>SUMIFS(HoldHistory!Q:Q, HoldHistory!A:A, A251, HoldHistory!M:M, "Task Plan")</f>
        <v>0</v>
      </c>
      <c r="D251">
        <f>SUMIFS(HoldHistory!Q:Q, HoldHistory!A:A, A251, HoldHistory!M:M, "Initial Design Review")</f>
        <v>0</v>
      </c>
      <c r="E251">
        <f>SUMIFS(HoldHistory!Q:Q, HoldHistory!A:A, A251, HoldHistory!M:M, "ReCAP")</f>
        <v>0</v>
      </c>
      <c r="F251">
        <f>SUMIFS(HoldHistory!Q:Q, HoldHistory!A:A, A251, HoldHistory!M:M, "Draft EA")</f>
        <v>0</v>
      </c>
      <c r="G251">
        <f>SUMIFS(HoldHistory!Q:Q, HoldHistory!A:A, A251, HoldHistory!M:M, "Structures Pre-SAM")</f>
        <v>0</v>
      </c>
      <c r="H251">
        <f>SUMIFS(HoldHistory!Q:Q, HoldHistory!A:A, A251, HoldHistory!M:M, "Structures SAM")</f>
        <v>0</v>
      </c>
      <c r="I251">
        <f>SUMIFS(HoldHistory!Q:Q, HoldHistory!A:A, A251, HoldHistory!M:M, "Final Design Review")</f>
        <v>0</v>
      </c>
    </row>
    <row r="252" spans="1:9" x14ac:dyDescent="0.35">
      <c r="A252" t="str">
        <v>CAS-218587-G9J9Y8</v>
      </c>
      <c r="B252">
        <f>SUMIFS(HoldHistory!Q:Q, HoldHistory!A:A, A252, HoldHistory!M:M, "Triage")</f>
        <v>44.622999293977045</v>
      </c>
      <c r="C252">
        <f>SUMIFS(HoldHistory!Q:Q, HoldHistory!A:A, A252, HoldHistory!M:M, "Task Plan")</f>
        <v>0</v>
      </c>
      <c r="D252">
        <f>SUMIFS(HoldHistory!Q:Q, HoldHistory!A:A, A252, HoldHistory!M:M, "Initial Design Review")</f>
        <v>0.22375590277806623</v>
      </c>
      <c r="E252">
        <f>SUMIFS(HoldHistory!Q:Q, HoldHistory!A:A, A252, HoldHistory!M:M, "ReCAP")</f>
        <v>0</v>
      </c>
      <c r="F252">
        <f>SUMIFS(HoldHistory!Q:Q, HoldHistory!A:A, A252, HoldHistory!M:M, "Draft EA")</f>
        <v>3.9666769560208195</v>
      </c>
      <c r="G252">
        <f>SUMIFS(HoldHistory!Q:Q, HoldHistory!A:A, A252, HoldHistory!M:M, "Structures Pre-SAM")</f>
        <v>0</v>
      </c>
      <c r="H252">
        <f>SUMIFS(HoldHistory!Q:Q, HoldHistory!A:A, A252, HoldHistory!M:M, "Structures SAM")</f>
        <v>0</v>
      </c>
      <c r="I252">
        <f>SUMIFS(HoldHistory!Q:Q, HoldHistory!A:A, A252, HoldHistory!M:M, "Final Design Review")</f>
        <v>0</v>
      </c>
    </row>
    <row r="253" spans="1:9" x14ac:dyDescent="0.35">
      <c r="A253" t="str">
        <v>CAS-218822-F2T8Z6</v>
      </c>
      <c r="B253">
        <f>SUMIFS(HoldHistory!Q:Q, HoldHistory!A:A, A253, HoldHistory!M:M, "Triage")</f>
        <v>20.797822337961406</v>
      </c>
      <c r="C253">
        <f>SUMIFS(HoldHistory!Q:Q, HoldHistory!A:A, A253, HoldHistory!M:M, "Task Plan")</f>
        <v>18.778806898153562</v>
      </c>
      <c r="D253">
        <f>SUMIFS(HoldHistory!Q:Q, HoldHistory!A:A, A253, HoldHistory!M:M, "Initial Design Review")</f>
        <v>0</v>
      </c>
      <c r="E253">
        <f>SUMIFS(HoldHistory!Q:Q, HoldHistory!A:A, A253, HoldHistory!M:M, "ReCAP")</f>
        <v>0</v>
      </c>
      <c r="F253">
        <f>SUMIFS(HoldHistory!Q:Q, HoldHistory!A:A, A253, HoldHistory!M:M, "Draft EA")</f>
        <v>0</v>
      </c>
      <c r="G253">
        <f>SUMIFS(HoldHistory!Q:Q, HoldHistory!A:A, A253, HoldHistory!M:M, "Structures Pre-SAM")</f>
        <v>0</v>
      </c>
      <c r="H253">
        <f>SUMIFS(HoldHistory!Q:Q, HoldHistory!A:A, A253, HoldHistory!M:M, "Structures SAM")</f>
        <v>0</v>
      </c>
      <c r="I253">
        <f>SUMIFS(HoldHistory!Q:Q, HoldHistory!A:A, A253, HoldHistory!M:M, "Final Design Review")</f>
        <v>0</v>
      </c>
    </row>
    <row r="254" spans="1:9" x14ac:dyDescent="0.35">
      <c r="A254" t="str">
        <v>CAS-218831-T6H0Q1</v>
      </c>
      <c r="B254">
        <f>SUMIFS(HoldHistory!Q:Q, HoldHistory!A:A, A254, HoldHistory!M:M, "Triage")</f>
        <v>2</v>
      </c>
      <c r="C254">
        <f>SUMIFS(HoldHistory!Q:Q, HoldHistory!A:A, A254, HoldHistory!M:M, "Task Plan")</f>
        <v>0</v>
      </c>
      <c r="D254">
        <f>SUMIFS(HoldHistory!Q:Q, HoldHistory!A:A, A254, HoldHistory!M:M, "Initial Design Review")</f>
        <v>0</v>
      </c>
      <c r="E254">
        <f>SUMIFS(HoldHistory!Q:Q, HoldHistory!A:A, A254, HoldHistory!M:M, "ReCAP")</f>
        <v>38</v>
      </c>
      <c r="F254">
        <f>SUMIFS(HoldHistory!Q:Q, HoldHistory!A:A, A254, HoldHistory!M:M, "Draft EA")</f>
        <v>0</v>
      </c>
      <c r="G254">
        <f>SUMIFS(HoldHistory!Q:Q, HoldHistory!A:A, A254, HoldHistory!M:M, "Structures Pre-SAM")</f>
        <v>0</v>
      </c>
      <c r="H254">
        <f>SUMIFS(HoldHistory!Q:Q, HoldHistory!A:A, A254, HoldHistory!M:M, "Structures SAM")</f>
        <v>0</v>
      </c>
      <c r="I254">
        <f>SUMIFS(HoldHistory!Q:Q, HoldHistory!A:A, A254, HoldHistory!M:M, "Final Design Review")</f>
        <v>0</v>
      </c>
    </row>
    <row r="255" spans="1:9" x14ac:dyDescent="0.35">
      <c r="A255" t="str">
        <v>CAS-219517-S8Z0M4</v>
      </c>
      <c r="B255">
        <f>SUMIFS(HoldHistory!Q:Q, HoldHistory!A:A, A255, HoldHistory!M:M, "Triage")</f>
        <v>33.950710416662332</v>
      </c>
      <c r="C255">
        <f>SUMIFS(HoldHistory!Q:Q, HoldHistory!A:A, A255, HoldHistory!M:M, "Task Plan")</f>
        <v>0</v>
      </c>
      <c r="D255">
        <f>SUMIFS(HoldHistory!Q:Q, HoldHistory!A:A, A255, HoldHistory!M:M, "Initial Design Review")</f>
        <v>0</v>
      </c>
      <c r="E255">
        <f>SUMIFS(HoldHistory!Q:Q, HoldHistory!A:A, A255, HoldHistory!M:M, "ReCAP")</f>
        <v>0</v>
      </c>
      <c r="F255">
        <f>SUMIFS(HoldHistory!Q:Q, HoldHistory!A:A, A255, HoldHistory!M:M, "Draft EA")</f>
        <v>6.1802273263892857</v>
      </c>
      <c r="G255">
        <f>SUMIFS(HoldHistory!Q:Q, HoldHistory!A:A, A255, HoldHistory!M:M, "Structures Pre-SAM")</f>
        <v>0</v>
      </c>
      <c r="H255">
        <f>SUMIFS(HoldHistory!Q:Q, HoldHistory!A:A, A255, HoldHistory!M:M, "Structures SAM")</f>
        <v>0</v>
      </c>
      <c r="I255">
        <f>SUMIFS(HoldHistory!Q:Q, HoldHistory!A:A, A255, HoldHistory!M:M, "Final Design Review")</f>
        <v>0</v>
      </c>
    </row>
    <row r="256" spans="1:9" x14ac:dyDescent="0.35">
      <c r="A256" t="str">
        <v>CAS-219850-H5Y7Z7</v>
      </c>
      <c r="B256">
        <f>SUMIFS(HoldHistory!Q:Q, HoldHistory!A:A, A256, HoldHistory!M:M, "Triage")</f>
        <v>14.999541331017099</v>
      </c>
      <c r="C256">
        <f>SUMIFS(HoldHistory!Q:Q, HoldHistory!A:A, A256, HoldHistory!M:M, "Task Plan")</f>
        <v>0</v>
      </c>
      <c r="D256">
        <f>SUMIFS(HoldHistory!Q:Q, HoldHistory!A:A, A256, HoldHistory!M:M, "Initial Design Review")</f>
        <v>0</v>
      </c>
      <c r="E256">
        <f>SUMIFS(HoldHistory!Q:Q, HoldHistory!A:A, A256, HoldHistory!M:M, "ReCAP")</f>
        <v>0</v>
      </c>
      <c r="F256">
        <f>SUMIFS(HoldHistory!Q:Q, HoldHistory!A:A, A256, HoldHistory!M:M, "Draft EA")</f>
        <v>0.86312700231792405</v>
      </c>
      <c r="G256">
        <f>SUMIFS(HoldHistory!Q:Q, HoldHistory!A:A, A256, HoldHistory!M:M, "Structures Pre-SAM")</f>
        <v>0</v>
      </c>
      <c r="H256">
        <f>SUMIFS(HoldHistory!Q:Q, HoldHistory!A:A, A256, HoldHistory!M:M, "Structures SAM")</f>
        <v>0</v>
      </c>
      <c r="I256">
        <f>SUMIFS(HoldHistory!Q:Q, HoldHistory!A:A, A256, HoldHistory!M:M, "Final Design Review")</f>
        <v>0</v>
      </c>
    </row>
    <row r="257" spans="1:9" x14ac:dyDescent="0.35">
      <c r="A257" t="str">
        <v>CAS-220441-Y4Y8T4</v>
      </c>
      <c r="B257">
        <f>SUMIFS(HoldHistory!Q:Q, HoldHistory!A:A, A257, HoldHistory!M:M, "Triage")</f>
        <v>2</v>
      </c>
      <c r="C257">
        <f>SUMIFS(HoldHistory!Q:Q, HoldHistory!A:A, A257, HoldHistory!M:M, "Task Plan")</f>
        <v>0</v>
      </c>
      <c r="D257">
        <f>SUMIFS(HoldHistory!Q:Q, HoldHistory!A:A, A257, HoldHistory!M:M, "Initial Design Review")</f>
        <v>0</v>
      </c>
      <c r="E257">
        <f>SUMIFS(HoldHistory!Q:Q, HoldHistory!A:A, A257, HoldHistory!M:M, "ReCAP")</f>
        <v>0</v>
      </c>
      <c r="F257">
        <f>SUMIFS(HoldHistory!Q:Q, HoldHistory!A:A, A257, HoldHistory!M:M, "Draft EA")</f>
        <v>0</v>
      </c>
      <c r="G257">
        <f>SUMIFS(HoldHistory!Q:Q, HoldHistory!A:A, A257, HoldHistory!M:M, "Structures Pre-SAM")</f>
        <v>0</v>
      </c>
      <c r="H257">
        <f>SUMIFS(HoldHistory!Q:Q, HoldHistory!A:A, A257, HoldHistory!M:M, "Structures SAM")</f>
        <v>0</v>
      </c>
      <c r="I257">
        <f>SUMIFS(HoldHistory!Q:Q, HoldHistory!A:A, A257, HoldHistory!M:M, "Final Design Review")</f>
        <v>0</v>
      </c>
    </row>
    <row r="258" spans="1:9" x14ac:dyDescent="0.35">
      <c r="A258" t="str">
        <v>CAS-220442-D4K1V9</v>
      </c>
      <c r="B258">
        <f>SUMIFS(HoldHistory!Q:Q, HoldHistory!A:A, A258, HoldHistory!M:M, "Triage")</f>
        <v>2</v>
      </c>
      <c r="C258">
        <f>SUMIFS(HoldHistory!Q:Q, HoldHistory!A:A, A258, HoldHistory!M:M, "Task Plan")</f>
        <v>0</v>
      </c>
      <c r="D258">
        <f>SUMIFS(HoldHistory!Q:Q, HoldHistory!A:A, A258, HoldHistory!M:M, "Initial Design Review")</f>
        <v>0</v>
      </c>
      <c r="E258">
        <f>SUMIFS(HoldHistory!Q:Q, HoldHistory!A:A, A258, HoldHistory!M:M, "ReCAP")</f>
        <v>0</v>
      </c>
      <c r="F258">
        <f>SUMIFS(HoldHistory!Q:Q, HoldHistory!A:A, A258, HoldHistory!M:M, "Draft EA")</f>
        <v>0</v>
      </c>
      <c r="G258">
        <f>SUMIFS(HoldHistory!Q:Q, HoldHistory!A:A, A258, HoldHistory!M:M, "Structures Pre-SAM")</f>
        <v>0</v>
      </c>
      <c r="H258">
        <f>SUMIFS(HoldHistory!Q:Q, HoldHistory!A:A, A258, HoldHistory!M:M, "Structures SAM")</f>
        <v>0</v>
      </c>
      <c r="I258">
        <f>SUMIFS(HoldHistory!Q:Q, HoldHistory!A:A, A258, HoldHistory!M:M, "Final Design Review")</f>
        <v>0</v>
      </c>
    </row>
    <row r="259" spans="1:9" x14ac:dyDescent="0.35">
      <c r="A259" t="str">
        <v>CAS-220562-P7Q7N8</v>
      </c>
      <c r="B259">
        <f>SUMIFS(HoldHistory!Q:Q, HoldHistory!A:A, A259, HoldHistory!M:M, "Triage")</f>
        <v>0</v>
      </c>
      <c r="C259">
        <f>SUMIFS(HoldHistory!Q:Q, HoldHistory!A:A, A259, HoldHistory!M:M, "Task Plan")</f>
        <v>5</v>
      </c>
      <c r="D259">
        <f>SUMIFS(HoldHistory!Q:Q, HoldHistory!A:A, A259, HoldHistory!M:M, "Initial Design Review")</f>
        <v>0</v>
      </c>
      <c r="E259">
        <f>SUMIFS(HoldHistory!Q:Q, HoldHistory!A:A, A259, HoldHistory!M:M, "ReCAP")</f>
        <v>73</v>
      </c>
      <c r="F259">
        <f>SUMIFS(HoldHistory!Q:Q, HoldHistory!A:A, A259, HoldHistory!M:M, "Draft EA")</f>
        <v>0</v>
      </c>
      <c r="G259">
        <f>SUMIFS(HoldHistory!Q:Q, HoldHistory!A:A, A259, HoldHistory!M:M, "Structures Pre-SAM")</f>
        <v>33</v>
      </c>
      <c r="H259">
        <f>SUMIFS(HoldHistory!Q:Q, HoldHistory!A:A, A259, HoldHistory!M:M, "Structures SAM")</f>
        <v>0</v>
      </c>
      <c r="I259">
        <f>SUMIFS(HoldHistory!Q:Q, HoldHistory!A:A, A259, HoldHistory!M:M, "Final Design Review")</f>
        <v>0</v>
      </c>
    </row>
    <row r="260" spans="1:9" x14ac:dyDescent="0.35">
      <c r="A260" t="str">
        <v>CAS-220667-C8J5Y4</v>
      </c>
      <c r="B260">
        <f>SUMIFS(HoldHistory!Q:Q, HoldHistory!A:A, A260, HoldHistory!M:M, "Triage")</f>
        <v>0</v>
      </c>
      <c r="C260">
        <f>SUMIFS(HoldHistory!Q:Q, HoldHistory!A:A, A260, HoldHistory!M:M, "Task Plan")</f>
        <v>0</v>
      </c>
      <c r="D260">
        <f>SUMIFS(HoldHistory!Q:Q, HoldHistory!A:A, A260, HoldHistory!M:M, "Initial Design Review")</f>
        <v>0</v>
      </c>
      <c r="E260">
        <f>SUMIFS(HoldHistory!Q:Q, HoldHistory!A:A, A260, HoldHistory!M:M, "ReCAP")</f>
        <v>0</v>
      </c>
      <c r="F260">
        <f>SUMIFS(HoldHistory!Q:Q, HoldHistory!A:A, A260, HoldHistory!M:M, "Draft EA")</f>
        <v>2</v>
      </c>
      <c r="G260">
        <f>SUMIFS(HoldHistory!Q:Q, HoldHistory!A:A, A260, HoldHistory!M:M, "Structures Pre-SAM")</f>
        <v>0</v>
      </c>
      <c r="H260">
        <f>SUMIFS(HoldHistory!Q:Q, HoldHistory!A:A, A260, HoldHistory!M:M, "Structures SAM")</f>
        <v>0</v>
      </c>
      <c r="I260">
        <f>SUMIFS(HoldHistory!Q:Q, HoldHistory!A:A, A260, HoldHistory!M:M, "Final Design Review")</f>
        <v>0</v>
      </c>
    </row>
    <row r="261" spans="1:9" x14ac:dyDescent="0.35">
      <c r="A261" t="str">
        <v>CAS-221006-B7X0Q2</v>
      </c>
      <c r="B261">
        <f>SUMIFS(HoldHistory!Q:Q, HoldHistory!A:A, A261, HoldHistory!M:M, "Triage")</f>
        <v>0</v>
      </c>
      <c r="C261">
        <f>SUMIFS(HoldHistory!Q:Q, HoldHistory!A:A, A261, HoldHistory!M:M, "Task Plan")</f>
        <v>0</v>
      </c>
      <c r="D261">
        <f>SUMIFS(HoldHistory!Q:Q, HoldHistory!A:A, A261, HoldHistory!M:M, "Initial Design Review")</f>
        <v>1</v>
      </c>
      <c r="E261">
        <f>SUMIFS(HoldHistory!Q:Q, HoldHistory!A:A, A261, HoldHistory!M:M, "ReCAP")</f>
        <v>0</v>
      </c>
      <c r="F261">
        <f>SUMIFS(HoldHistory!Q:Q, HoldHistory!A:A, A261, HoldHistory!M:M, "Draft EA")</f>
        <v>0</v>
      </c>
      <c r="G261">
        <f>SUMIFS(HoldHistory!Q:Q, HoldHistory!A:A, A261, HoldHistory!M:M, "Structures Pre-SAM")</f>
        <v>0</v>
      </c>
      <c r="H261">
        <f>SUMIFS(HoldHistory!Q:Q, HoldHistory!A:A, A261, HoldHistory!M:M, "Structures SAM")</f>
        <v>0</v>
      </c>
      <c r="I261">
        <f>SUMIFS(HoldHistory!Q:Q, HoldHistory!A:A, A261, HoldHistory!M:M, "Final Design Review")</f>
        <v>0</v>
      </c>
    </row>
    <row r="262" spans="1:9" x14ac:dyDescent="0.35">
      <c r="A262" t="str">
        <v>CAS-221073-C0K3L3</v>
      </c>
      <c r="B262">
        <f>SUMIFS(HoldHistory!Q:Q, HoldHistory!A:A, A262, HoldHistory!M:M, "Triage")</f>
        <v>0</v>
      </c>
      <c r="C262">
        <f>SUMIFS(HoldHistory!Q:Q, HoldHistory!A:A, A262, HoldHistory!M:M, "Task Plan")</f>
        <v>13</v>
      </c>
      <c r="D262">
        <f>SUMIFS(HoldHistory!Q:Q, HoldHistory!A:A, A262, HoldHistory!M:M, "Initial Design Review")</f>
        <v>0</v>
      </c>
      <c r="E262">
        <f>SUMIFS(HoldHistory!Q:Q, HoldHistory!A:A, A262, HoldHistory!M:M, "ReCAP")</f>
        <v>38</v>
      </c>
      <c r="F262">
        <f>SUMIFS(HoldHistory!Q:Q, HoldHistory!A:A, A262, HoldHistory!M:M, "Draft EA")</f>
        <v>0</v>
      </c>
      <c r="G262">
        <f>SUMIFS(HoldHistory!Q:Q, HoldHistory!A:A, A262, HoldHistory!M:M, "Structures Pre-SAM")</f>
        <v>84</v>
      </c>
      <c r="H262">
        <f>SUMIFS(HoldHistory!Q:Q, HoldHistory!A:A, A262, HoldHistory!M:M, "Structures SAM")</f>
        <v>22</v>
      </c>
      <c r="I262">
        <f>SUMIFS(HoldHistory!Q:Q, HoldHistory!A:A, A262, HoldHistory!M:M, "Final Design Review")</f>
        <v>0</v>
      </c>
    </row>
    <row r="263" spans="1:9" x14ac:dyDescent="0.35">
      <c r="A263" t="str">
        <v>CAS-221173-N1D6M0</v>
      </c>
      <c r="B263">
        <f>SUMIFS(HoldHistory!Q:Q, HoldHistory!A:A, A263, HoldHistory!M:M, "Triage")</f>
        <v>6</v>
      </c>
      <c r="C263">
        <f>SUMIFS(HoldHistory!Q:Q, HoldHistory!A:A, A263, HoldHistory!M:M, "Task Plan")</f>
        <v>20</v>
      </c>
      <c r="D263">
        <f>SUMIFS(HoldHistory!Q:Q, HoldHistory!A:A, A263, HoldHistory!M:M, "Initial Design Review")</f>
        <v>0</v>
      </c>
      <c r="E263">
        <f>SUMIFS(HoldHistory!Q:Q, HoldHistory!A:A, A263, HoldHistory!M:M, "ReCAP")</f>
        <v>0</v>
      </c>
      <c r="F263">
        <f>SUMIFS(HoldHistory!Q:Q, HoldHistory!A:A, A263, HoldHistory!M:M, "Draft EA")</f>
        <v>0</v>
      </c>
      <c r="G263">
        <f>SUMIFS(HoldHistory!Q:Q, HoldHistory!A:A, A263, HoldHistory!M:M, "Structures Pre-SAM")</f>
        <v>0</v>
      </c>
      <c r="H263">
        <f>SUMIFS(HoldHistory!Q:Q, HoldHistory!A:A, A263, HoldHistory!M:M, "Structures SAM")</f>
        <v>0</v>
      </c>
      <c r="I263">
        <f>SUMIFS(HoldHistory!Q:Q, HoldHistory!A:A, A263, HoldHistory!M:M, "Final Design Review")</f>
        <v>0</v>
      </c>
    </row>
    <row r="264" spans="1:9" x14ac:dyDescent="0.35">
      <c r="A264" t="str">
        <v>CAS-221557-V3M5Y1</v>
      </c>
      <c r="B264">
        <f>SUMIFS(HoldHistory!Q:Q, HoldHistory!A:A, A264, HoldHistory!M:M, "Triage")</f>
        <v>0</v>
      </c>
      <c r="C264">
        <f>SUMIFS(HoldHistory!Q:Q, HoldHistory!A:A, A264, HoldHistory!M:M, "Task Plan")</f>
        <v>3</v>
      </c>
      <c r="D264">
        <f>SUMIFS(HoldHistory!Q:Q, HoldHistory!A:A, A264, HoldHistory!M:M, "Initial Design Review")</f>
        <v>0</v>
      </c>
      <c r="E264">
        <f>SUMIFS(HoldHistory!Q:Q, HoldHistory!A:A, A264, HoldHistory!M:M, "ReCAP")</f>
        <v>0</v>
      </c>
      <c r="F264">
        <f>SUMIFS(HoldHistory!Q:Q, HoldHistory!A:A, A264, HoldHistory!M:M, "Draft EA")</f>
        <v>0</v>
      </c>
      <c r="G264">
        <f>SUMIFS(HoldHistory!Q:Q, HoldHistory!A:A, A264, HoldHistory!M:M, "Structures Pre-SAM")</f>
        <v>0</v>
      </c>
      <c r="H264">
        <f>SUMIFS(HoldHistory!Q:Q, HoldHistory!A:A, A264, HoldHistory!M:M, "Structures SAM")</f>
        <v>0</v>
      </c>
      <c r="I264">
        <f>SUMIFS(HoldHistory!Q:Q, HoldHistory!A:A, A264, HoldHistory!M:M, "Final Design Review")</f>
        <v>0</v>
      </c>
    </row>
    <row r="265" spans="1:9" x14ac:dyDescent="0.35">
      <c r="A265" t="str">
        <v>CAS-221592-N7L2B1</v>
      </c>
      <c r="B265">
        <f>SUMIFS(HoldHistory!Q:Q, HoldHistory!A:A, A265, HoldHistory!M:M, "Triage")</f>
        <v>0</v>
      </c>
      <c r="C265">
        <f>SUMIFS(HoldHistory!Q:Q, HoldHistory!A:A, A265, HoldHistory!M:M, "Task Plan")</f>
        <v>0</v>
      </c>
      <c r="D265">
        <f>SUMIFS(HoldHistory!Q:Q, HoldHistory!A:A, A265, HoldHistory!M:M, "Initial Design Review")</f>
        <v>0</v>
      </c>
      <c r="E265">
        <f>SUMIFS(HoldHistory!Q:Q, HoldHistory!A:A, A265, HoldHistory!M:M, "ReCAP")</f>
        <v>0</v>
      </c>
      <c r="F265">
        <f>SUMIFS(HoldHistory!Q:Q, HoldHistory!A:A, A265, HoldHistory!M:M, "Draft EA")</f>
        <v>0</v>
      </c>
      <c r="G265">
        <f>SUMIFS(HoldHistory!Q:Q, HoldHistory!A:A, A265, HoldHistory!M:M, "Structures Pre-SAM")</f>
        <v>0</v>
      </c>
      <c r="H265">
        <f>SUMIFS(HoldHistory!Q:Q, HoldHistory!A:A, A265, HoldHistory!M:M, "Structures SAM")</f>
        <v>0</v>
      </c>
      <c r="I265">
        <f>SUMIFS(HoldHistory!Q:Q, HoldHistory!A:A, A265, HoldHistory!M:M, "Final Design Review")</f>
        <v>0</v>
      </c>
    </row>
    <row r="266" spans="1:9" x14ac:dyDescent="0.35">
      <c r="A266" t="str">
        <v>CAS-221701-K9F3V4</v>
      </c>
      <c r="B266">
        <f>SUMIFS(HoldHistory!Q:Q, HoldHistory!A:A, A266, HoldHistory!M:M, "Triage")</f>
        <v>12</v>
      </c>
      <c r="C266">
        <f>SUMIFS(HoldHistory!Q:Q, HoldHistory!A:A, A266, HoldHistory!M:M, "Task Plan")</f>
        <v>0</v>
      </c>
      <c r="D266">
        <f>SUMIFS(HoldHistory!Q:Q, HoldHistory!A:A, A266, HoldHistory!M:M, "Initial Design Review")</f>
        <v>0</v>
      </c>
      <c r="E266">
        <f>SUMIFS(HoldHistory!Q:Q, HoldHistory!A:A, A266, HoldHistory!M:M, "ReCAP")</f>
        <v>0</v>
      </c>
      <c r="F266">
        <f>SUMIFS(HoldHistory!Q:Q, HoldHistory!A:A, A266, HoldHistory!M:M, "Draft EA")</f>
        <v>1</v>
      </c>
      <c r="G266">
        <f>SUMIFS(HoldHistory!Q:Q, HoldHistory!A:A, A266, HoldHistory!M:M, "Structures Pre-SAM")</f>
        <v>0</v>
      </c>
      <c r="H266">
        <f>SUMIFS(HoldHistory!Q:Q, HoldHistory!A:A, A266, HoldHistory!M:M, "Structures SAM")</f>
        <v>0</v>
      </c>
      <c r="I266">
        <f>SUMIFS(HoldHistory!Q:Q, HoldHistory!A:A, A266, HoldHistory!M:M, "Final Design Review")</f>
        <v>0</v>
      </c>
    </row>
    <row r="267" spans="1:9" x14ac:dyDescent="0.35">
      <c r="A267" t="str">
        <v>CAS-222068-J5D8G6</v>
      </c>
      <c r="B267">
        <f>SUMIFS(HoldHistory!Q:Q, HoldHistory!A:A, A267, HoldHistory!M:M, "Triage")</f>
        <v>4</v>
      </c>
      <c r="C267">
        <f>SUMIFS(HoldHistory!Q:Q, HoldHistory!A:A, A267, HoldHistory!M:M, "Task Plan")</f>
        <v>0</v>
      </c>
      <c r="D267">
        <f>SUMIFS(HoldHistory!Q:Q, HoldHistory!A:A, A267, HoldHistory!M:M, "Initial Design Review")</f>
        <v>0</v>
      </c>
      <c r="E267">
        <f>SUMIFS(HoldHistory!Q:Q, HoldHistory!A:A, A267, HoldHistory!M:M, "ReCAP")</f>
        <v>0</v>
      </c>
      <c r="F267">
        <f>SUMIFS(HoldHistory!Q:Q, HoldHistory!A:A, A267, HoldHistory!M:M, "Draft EA")</f>
        <v>5</v>
      </c>
      <c r="G267">
        <f>SUMIFS(HoldHistory!Q:Q, HoldHistory!A:A, A267, HoldHistory!M:M, "Structures Pre-SAM")</f>
        <v>0</v>
      </c>
      <c r="H267">
        <f>SUMIFS(HoldHistory!Q:Q, HoldHistory!A:A, A267, HoldHistory!M:M, "Structures SAM")</f>
        <v>0</v>
      </c>
      <c r="I267">
        <f>SUMIFS(HoldHistory!Q:Q, HoldHistory!A:A, A267, HoldHistory!M:M, "Final Design Review")</f>
        <v>0</v>
      </c>
    </row>
    <row r="268" spans="1:9" x14ac:dyDescent="0.35">
      <c r="A268" t="str">
        <v>CAS-222321-T5D3F1</v>
      </c>
      <c r="B268">
        <f>SUMIFS(HoldHistory!Q:Q, HoldHistory!A:A, A268, HoldHistory!M:M, "Triage")</f>
        <v>30.088121076398238</v>
      </c>
      <c r="C268">
        <f>SUMIFS(HoldHistory!Q:Q, HoldHistory!A:A, A268, HoldHistory!M:M, "Task Plan")</f>
        <v>0</v>
      </c>
      <c r="D268">
        <f>SUMIFS(HoldHistory!Q:Q, HoldHistory!A:A, A268, HoldHistory!M:M, "Initial Design Review")</f>
        <v>0</v>
      </c>
      <c r="E268">
        <f>SUMIFS(HoldHistory!Q:Q, HoldHistory!A:A, A268, HoldHistory!M:M, "ReCAP")</f>
        <v>0</v>
      </c>
      <c r="F268">
        <f>SUMIFS(HoldHistory!Q:Q, HoldHistory!A:A, A268, HoldHistory!M:M, "Draft EA")</f>
        <v>0</v>
      </c>
      <c r="G268">
        <f>SUMIFS(HoldHistory!Q:Q, HoldHistory!A:A, A268, HoldHistory!M:M, "Structures Pre-SAM")</f>
        <v>0</v>
      </c>
      <c r="H268">
        <f>SUMIFS(HoldHistory!Q:Q, HoldHistory!A:A, A268, HoldHistory!M:M, "Structures SAM")</f>
        <v>0</v>
      </c>
      <c r="I268">
        <f>SUMIFS(HoldHistory!Q:Q, HoldHistory!A:A, A268, HoldHistory!M:M, "Final Design Review")</f>
        <v>0</v>
      </c>
    </row>
    <row r="269" spans="1:9" x14ac:dyDescent="0.35">
      <c r="A269" t="str">
        <v>CAS-222747-G7G0T5</v>
      </c>
      <c r="B269">
        <f>SUMIFS(HoldHistory!Q:Q, HoldHistory!A:A, A269, HoldHistory!M:M, "Triage")</f>
        <v>9.9404780555560137</v>
      </c>
      <c r="C269">
        <f>SUMIFS(HoldHistory!Q:Q, HoldHistory!A:A, A269, HoldHistory!M:M, "Task Plan")</f>
        <v>0</v>
      </c>
      <c r="D269">
        <f>SUMIFS(HoldHistory!Q:Q, HoldHistory!A:A, A269, HoldHistory!M:M, "Initial Design Review")</f>
        <v>0</v>
      </c>
      <c r="E269">
        <f>SUMIFS(HoldHistory!Q:Q, HoldHistory!A:A, A269, HoldHistory!M:M, "ReCAP")</f>
        <v>0</v>
      </c>
      <c r="F269">
        <f>SUMIFS(HoldHistory!Q:Q, HoldHistory!A:A, A269, HoldHistory!M:M, "Draft EA")</f>
        <v>0</v>
      </c>
      <c r="G269">
        <f>SUMIFS(HoldHistory!Q:Q, HoldHistory!A:A, A269, HoldHistory!M:M, "Structures Pre-SAM")</f>
        <v>0</v>
      </c>
      <c r="H269">
        <f>SUMIFS(HoldHistory!Q:Q, HoldHistory!A:A, A269, HoldHistory!M:M, "Structures SAM")</f>
        <v>0</v>
      </c>
      <c r="I269">
        <f>SUMIFS(HoldHistory!Q:Q, HoldHistory!A:A, A269, HoldHistory!M:M, "Final Design Review")</f>
        <v>0</v>
      </c>
    </row>
    <row r="270" spans="1:9" x14ac:dyDescent="0.35">
      <c r="A270" t="str">
        <v>CAS-223026-M9D3R1</v>
      </c>
      <c r="B270">
        <f>SUMIFS(HoldHistory!Q:Q, HoldHistory!A:A, A270, HoldHistory!M:M, "Triage")</f>
        <v>19</v>
      </c>
      <c r="C270">
        <f>SUMIFS(HoldHistory!Q:Q, HoldHistory!A:A, A270, HoldHistory!M:M, "Task Plan")</f>
        <v>0</v>
      </c>
      <c r="D270">
        <f>SUMIFS(HoldHistory!Q:Q, HoldHistory!A:A, A270, HoldHistory!M:M, "Initial Design Review")</f>
        <v>0</v>
      </c>
      <c r="E270">
        <f>SUMIFS(HoldHistory!Q:Q, HoldHistory!A:A, A270, HoldHistory!M:M, "ReCAP")</f>
        <v>0</v>
      </c>
      <c r="F270">
        <f>SUMIFS(HoldHistory!Q:Q, HoldHistory!A:A, A270, HoldHistory!M:M, "Draft EA")</f>
        <v>0</v>
      </c>
      <c r="G270">
        <f>SUMIFS(HoldHistory!Q:Q, HoldHistory!A:A, A270, HoldHistory!M:M, "Structures Pre-SAM")</f>
        <v>0</v>
      </c>
      <c r="H270">
        <f>SUMIFS(HoldHistory!Q:Q, HoldHistory!A:A, A270, HoldHistory!M:M, "Structures SAM")</f>
        <v>0</v>
      </c>
      <c r="I270">
        <f>SUMIFS(HoldHistory!Q:Q, HoldHistory!A:A, A270, HoldHistory!M:M, "Final Design Review")</f>
        <v>0</v>
      </c>
    </row>
    <row r="271" spans="1:9" x14ac:dyDescent="0.35">
      <c r="A271" t="str">
        <v>CAS-223200-J2D1S5</v>
      </c>
      <c r="B271">
        <f>SUMIFS(HoldHistory!Q:Q, HoldHistory!A:A, A271, HoldHistory!M:M, "Triage")</f>
        <v>9.9405341435194714</v>
      </c>
      <c r="C271">
        <f>SUMIFS(HoldHistory!Q:Q, HoldHistory!A:A, A271, HoldHistory!M:M, "Task Plan")</f>
        <v>0</v>
      </c>
      <c r="D271">
        <f>SUMIFS(HoldHistory!Q:Q, HoldHistory!A:A, A271, HoldHistory!M:M, "Initial Design Review")</f>
        <v>0</v>
      </c>
      <c r="E271">
        <f>SUMIFS(HoldHistory!Q:Q, HoldHistory!A:A, A271, HoldHistory!M:M, "ReCAP")</f>
        <v>0</v>
      </c>
      <c r="F271">
        <f>SUMIFS(HoldHistory!Q:Q, HoldHistory!A:A, A271, HoldHistory!M:M, "Draft EA")</f>
        <v>0</v>
      </c>
      <c r="G271">
        <f>SUMIFS(HoldHistory!Q:Q, HoldHistory!A:A, A271, HoldHistory!M:M, "Structures Pre-SAM")</f>
        <v>0</v>
      </c>
      <c r="H271">
        <f>SUMIFS(HoldHistory!Q:Q, HoldHistory!A:A, A271, HoldHistory!M:M, "Structures SAM")</f>
        <v>0</v>
      </c>
      <c r="I271">
        <f>SUMIFS(HoldHistory!Q:Q, HoldHistory!A:A, A271, HoldHistory!M:M, "Final Design Review")</f>
        <v>0</v>
      </c>
    </row>
    <row r="272" spans="1:9" x14ac:dyDescent="0.35">
      <c r="A272" t="str">
        <v>CAS-223341-K7W5N3</v>
      </c>
      <c r="B272">
        <f>SUMIFS(HoldHistory!Q:Q, HoldHistory!A:A, A272, HoldHistory!M:M, "Triage")</f>
        <v>0.98315101851767395</v>
      </c>
      <c r="C272">
        <f>SUMIFS(HoldHistory!Q:Q, HoldHistory!A:A, A272, HoldHistory!M:M, "Task Plan")</f>
        <v>0</v>
      </c>
      <c r="D272">
        <f>SUMIFS(HoldHistory!Q:Q, HoldHistory!A:A, A272, HoldHistory!M:M, "Initial Design Review")</f>
        <v>0</v>
      </c>
      <c r="E272">
        <f>SUMIFS(HoldHistory!Q:Q, HoldHistory!A:A, A272, HoldHistory!M:M, "ReCAP")</f>
        <v>0</v>
      </c>
      <c r="F272">
        <f>SUMIFS(HoldHistory!Q:Q, HoldHistory!A:A, A272, HoldHistory!M:M, "Draft EA")</f>
        <v>0</v>
      </c>
      <c r="G272">
        <f>SUMIFS(HoldHistory!Q:Q, HoldHistory!A:A, A272, HoldHistory!M:M, "Structures Pre-SAM")</f>
        <v>0</v>
      </c>
      <c r="H272">
        <f>SUMIFS(HoldHistory!Q:Q, HoldHistory!A:A, A272, HoldHistory!M:M, "Structures SAM")</f>
        <v>0</v>
      </c>
      <c r="I272">
        <f>SUMIFS(HoldHistory!Q:Q, HoldHistory!A:A, A272, HoldHistory!M:M, "Final Design Review")</f>
        <v>0</v>
      </c>
    </row>
    <row r="273" spans="1:9" x14ac:dyDescent="0.35">
      <c r="A273" t="str">
        <v>CAS-223618-X3Z1R4</v>
      </c>
      <c r="B273">
        <f>SUMIFS(HoldHistory!Q:Q, HoldHistory!A:A, A273, HoldHistory!M:M, "Triage")</f>
        <v>0</v>
      </c>
      <c r="C273">
        <f>SUMIFS(HoldHistory!Q:Q, HoldHistory!A:A, A273, HoldHistory!M:M, "Task Plan")</f>
        <v>4.9938314699102193</v>
      </c>
      <c r="D273">
        <f>SUMIFS(HoldHistory!Q:Q, HoldHistory!A:A, A273, HoldHistory!M:M, "Initial Design Review")</f>
        <v>0</v>
      </c>
      <c r="E273">
        <f>SUMIFS(HoldHistory!Q:Q, HoldHistory!A:A, A273, HoldHistory!M:M, "ReCAP")</f>
        <v>0</v>
      </c>
      <c r="F273">
        <f>SUMIFS(HoldHistory!Q:Q, HoldHistory!A:A, A273, HoldHistory!M:M, "Draft EA")</f>
        <v>0</v>
      </c>
      <c r="G273">
        <f>SUMIFS(HoldHistory!Q:Q, HoldHistory!A:A, A273, HoldHistory!M:M, "Structures Pre-SAM")</f>
        <v>0</v>
      </c>
      <c r="H273">
        <f>SUMIFS(HoldHistory!Q:Q, HoldHistory!A:A, A273, HoldHistory!M:M, "Structures SAM")</f>
        <v>0</v>
      </c>
      <c r="I273">
        <f>SUMIFS(HoldHistory!Q:Q, HoldHistory!A:A, A273, HoldHistory!M:M, "Final Design Review")</f>
        <v>0</v>
      </c>
    </row>
    <row r="274" spans="1:9" x14ac:dyDescent="0.35">
      <c r="A274" t="str">
        <v>CAS-223728-M3Q8C7</v>
      </c>
      <c r="B274">
        <f>SUMIFS(HoldHistory!Q:Q, HoldHistory!A:A, A274, HoldHistory!M:M, "Triage")</f>
        <v>0</v>
      </c>
      <c r="C274">
        <f>SUMIFS(HoldHistory!Q:Q, HoldHistory!A:A, A274, HoldHistory!M:M, "Task Plan")</f>
        <v>0</v>
      </c>
      <c r="D274">
        <f>SUMIFS(HoldHistory!Q:Q, HoldHistory!A:A, A274, HoldHistory!M:M, "Initial Design Review")</f>
        <v>0</v>
      </c>
      <c r="E274">
        <f>SUMIFS(HoldHistory!Q:Q, HoldHistory!A:A, A274, HoldHistory!M:M, "ReCAP")</f>
        <v>0</v>
      </c>
      <c r="F274">
        <f>SUMIFS(HoldHistory!Q:Q, HoldHistory!A:A, A274, HoldHistory!M:M, "Draft EA")</f>
        <v>0</v>
      </c>
      <c r="G274">
        <f>SUMIFS(HoldHistory!Q:Q, HoldHistory!A:A, A274, HoldHistory!M:M, "Structures Pre-SAM")</f>
        <v>6</v>
      </c>
      <c r="H274">
        <f>SUMIFS(HoldHistory!Q:Q, HoldHistory!A:A, A274, HoldHistory!M:M, "Structures SAM")</f>
        <v>0</v>
      </c>
      <c r="I274">
        <f>SUMIFS(HoldHistory!Q:Q, HoldHistory!A:A, A274, HoldHistory!M:M, "Final Design Review")</f>
        <v>0</v>
      </c>
    </row>
    <row r="275" spans="1:9" x14ac:dyDescent="0.35">
      <c r="A275" t="str">
        <v>CAS-223735-R4V6W5</v>
      </c>
      <c r="B275">
        <f>SUMIFS(HoldHistory!Q:Q, HoldHistory!A:A, A275, HoldHistory!M:M, "Triage")</f>
        <v>0</v>
      </c>
      <c r="C275">
        <f>SUMIFS(HoldHistory!Q:Q, HoldHistory!A:A, A275, HoldHistory!M:M, "Task Plan")</f>
        <v>0</v>
      </c>
      <c r="D275">
        <f>SUMIFS(HoldHistory!Q:Q, HoldHistory!A:A, A275, HoldHistory!M:M, "Initial Design Review")</f>
        <v>0</v>
      </c>
      <c r="E275">
        <f>SUMIFS(HoldHistory!Q:Q, HoldHistory!A:A, A275, HoldHistory!M:M, "ReCAP")</f>
        <v>0</v>
      </c>
      <c r="F275">
        <f>SUMIFS(HoldHistory!Q:Q, HoldHistory!A:A, A275, HoldHistory!M:M, "Draft EA")</f>
        <v>2</v>
      </c>
      <c r="G275">
        <f>SUMIFS(HoldHistory!Q:Q, HoldHistory!A:A, A275, HoldHistory!M:M, "Structures Pre-SAM")</f>
        <v>6</v>
      </c>
      <c r="H275">
        <f>SUMIFS(HoldHistory!Q:Q, HoldHistory!A:A, A275, HoldHistory!M:M, "Structures SAM")</f>
        <v>0</v>
      </c>
      <c r="I275">
        <f>SUMIFS(HoldHistory!Q:Q, HoldHistory!A:A, A275, HoldHistory!M:M, "Final Design Review")</f>
        <v>0</v>
      </c>
    </row>
    <row r="276" spans="1:9" x14ac:dyDescent="0.35">
      <c r="A276" t="str">
        <v>CAS-223745-F6H9F6</v>
      </c>
      <c r="B276">
        <f>SUMIFS(HoldHistory!Q:Q, HoldHistory!A:A, A276, HoldHistory!M:M, "Triage")</f>
        <v>0</v>
      </c>
      <c r="C276">
        <f>SUMIFS(HoldHistory!Q:Q, HoldHistory!A:A, A276, HoldHistory!M:M, "Task Plan")</f>
        <v>0</v>
      </c>
      <c r="D276">
        <f>SUMIFS(HoldHistory!Q:Q, HoldHistory!A:A, A276, HoldHistory!M:M, "Initial Design Review")</f>
        <v>0</v>
      </c>
      <c r="E276">
        <f>SUMIFS(HoldHistory!Q:Q, HoldHistory!A:A, A276, HoldHistory!M:M, "ReCAP")</f>
        <v>0</v>
      </c>
      <c r="F276">
        <f>SUMIFS(HoldHistory!Q:Q, HoldHistory!A:A, A276, HoldHistory!M:M, "Draft EA")</f>
        <v>0</v>
      </c>
      <c r="G276">
        <f>SUMIFS(HoldHistory!Q:Q, HoldHistory!A:A, A276, HoldHistory!M:M, "Structures Pre-SAM")</f>
        <v>132.90401807870512</v>
      </c>
      <c r="H276">
        <f>SUMIFS(HoldHistory!Q:Q, HoldHistory!A:A, A276, HoldHistory!M:M, "Structures SAM")</f>
        <v>0</v>
      </c>
      <c r="I276">
        <f>SUMIFS(HoldHistory!Q:Q, HoldHistory!A:A, A276, HoldHistory!M:M, "Final Design Review")</f>
        <v>0</v>
      </c>
    </row>
    <row r="277" spans="1:9" x14ac:dyDescent="0.35">
      <c r="A277" t="str">
        <v>CAS-224149-W0R7V3</v>
      </c>
      <c r="B277">
        <f>SUMIFS(HoldHistory!Q:Q, HoldHistory!A:A, A277, HoldHistory!M:M, "Triage")</f>
        <v>0</v>
      </c>
      <c r="C277">
        <f>SUMIFS(HoldHistory!Q:Q, HoldHistory!A:A, A277, HoldHistory!M:M, "Task Plan")</f>
        <v>0</v>
      </c>
      <c r="D277">
        <f>SUMIFS(HoldHistory!Q:Q, HoldHistory!A:A, A277, HoldHistory!M:M, "Initial Design Review")</f>
        <v>0</v>
      </c>
      <c r="E277">
        <f>SUMIFS(HoldHistory!Q:Q, HoldHistory!A:A, A277, HoldHistory!M:M, "ReCAP")</f>
        <v>0</v>
      </c>
      <c r="F277">
        <f>SUMIFS(HoldHistory!Q:Q, HoldHistory!A:A, A277, HoldHistory!M:M, "Draft EA")</f>
        <v>0.33458208332740469</v>
      </c>
      <c r="G277">
        <f>SUMIFS(HoldHistory!Q:Q, HoldHistory!A:A, A277, HoldHistory!M:M, "Structures Pre-SAM")</f>
        <v>0</v>
      </c>
      <c r="H277">
        <f>SUMIFS(HoldHistory!Q:Q, HoldHistory!A:A, A277, HoldHistory!M:M, "Structures SAM")</f>
        <v>0</v>
      </c>
      <c r="I277">
        <f>SUMIFS(HoldHistory!Q:Q, HoldHistory!A:A, A277, HoldHistory!M:M, "Final Design Review")</f>
        <v>0</v>
      </c>
    </row>
    <row r="278" spans="1:9" x14ac:dyDescent="0.35">
      <c r="A278" t="str">
        <v>CAS-224787-K5S6S6</v>
      </c>
      <c r="B278">
        <f>SUMIFS(HoldHistory!Q:Q, HoldHistory!A:A, A278, HoldHistory!M:M, "Triage")</f>
        <v>0</v>
      </c>
      <c r="C278">
        <f>SUMIFS(HoldHistory!Q:Q, HoldHistory!A:A, A278, HoldHistory!M:M, "Task Plan")</f>
        <v>0</v>
      </c>
      <c r="D278">
        <f>SUMIFS(HoldHistory!Q:Q, HoldHistory!A:A, A278, HoldHistory!M:M, "Initial Design Review")</f>
        <v>0</v>
      </c>
      <c r="E278">
        <f>SUMIFS(HoldHistory!Q:Q, HoldHistory!A:A, A278, HoldHistory!M:M, "ReCAP")</f>
        <v>0</v>
      </c>
      <c r="F278">
        <f>SUMIFS(HoldHistory!Q:Q, HoldHistory!A:A, A278, HoldHistory!M:M, "Draft EA")</f>
        <v>0</v>
      </c>
      <c r="G278">
        <f>SUMIFS(HoldHistory!Q:Q, HoldHistory!A:A, A278, HoldHistory!M:M, "Structures Pre-SAM")</f>
        <v>20</v>
      </c>
      <c r="H278">
        <f>SUMIFS(HoldHistory!Q:Q, HoldHistory!A:A, A278, HoldHistory!M:M, "Structures SAM")</f>
        <v>0</v>
      </c>
      <c r="I278">
        <f>SUMIFS(HoldHistory!Q:Q, HoldHistory!A:A, A278, HoldHistory!M:M, "Final Design Review")</f>
        <v>0</v>
      </c>
    </row>
    <row r="279" spans="1:9" x14ac:dyDescent="0.35">
      <c r="A279" t="str">
        <v>CAS-225015-Y9H3F4</v>
      </c>
      <c r="B279">
        <f>SUMIFS(HoldHistory!Q:Q, HoldHistory!A:A, A279, HoldHistory!M:M, "Triage")</f>
        <v>0</v>
      </c>
      <c r="C279">
        <f>SUMIFS(HoldHistory!Q:Q, HoldHistory!A:A, A279, HoldHistory!M:M, "Task Plan")</f>
        <v>1</v>
      </c>
      <c r="D279">
        <f>SUMIFS(HoldHistory!Q:Q, HoldHistory!A:A, A279, HoldHistory!M:M, "Initial Design Review")</f>
        <v>0</v>
      </c>
      <c r="E279">
        <f>SUMIFS(HoldHistory!Q:Q, HoldHistory!A:A, A279, HoldHistory!M:M, "ReCAP")</f>
        <v>0</v>
      </c>
      <c r="F279">
        <f>SUMIFS(HoldHistory!Q:Q, HoldHistory!A:A, A279, HoldHistory!M:M, "Draft EA")</f>
        <v>0</v>
      </c>
      <c r="G279">
        <f>SUMIFS(HoldHistory!Q:Q, HoldHistory!A:A, A279, HoldHistory!M:M, "Structures Pre-SAM")</f>
        <v>0</v>
      </c>
      <c r="H279">
        <f>SUMIFS(HoldHistory!Q:Q, HoldHistory!A:A, A279, HoldHistory!M:M, "Structures SAM")</f>
        <v>0</v>
      </c>
      <c r="I279">
        <f>SUMIFS(HoldHistory!Q:Q, HoldHistory!A:A, A279, HoldHistory!M:M, "Final Design Review")</f>
        <v>0</v>
      </c>
    </row>
    <row r="280" spans="1:9" x14ac:dyDescent="0.35">
      <c r="A280" t="str">
        <v>CAS-225145-Q1R4L0</v>
      </c>
      <c r="B280">
        <f>SUMIFS(HoldHistory!Q:Q, HoldHistory!A:A, A280, HoldHistory!M:M, "Triage")</f>
        <v>0</v>
      </c>
      <c r="C280">
        <f>SUMIFS(HoldHistory!Q:Q, HoldHistory!A:A, A280, HoldHistory!M:M, "Task Plan")</f>
        <v>0</v>
      </c>
      <c r="D280">
        <f>SUMIFS(HoldHistory!Q:Q, HoldHistory!A:A, A280, HoldHistory!M:M, "Initial Design Review")</f>
        <v>0</v>
      </c>
      <c r="E280">
        <f>SUMIFS(HoldHistory!Q:Q, HoldHistory!A:A, A280, HoldHistory!M:M, "ReCAP")</f>
        <v>0</v>
      </c>
      <c r="F280">
        <f>SUMIFS(HoldHistory!Q:Q, HoldHistory!A:A, A280, HoldHistory!M:M, "Draft EA")</f>
        <v>0</v>
      </c>
      <c r="G280">
        <f>SUMIFS(HoldHistory!Q:Q, HoldHistory!A:A, A280, HoldHistory!M:M, "Structures Pre-SAM")</f>
        <v>0</v>
      </c>
      <c r="H280">
        <f>SUMIFS(HoldHistory!Q:Q, HoldHistory!A:A, A280, HoldHistory!M:M, "Structures SAM")</f>
        <v>2</v>
      </c>
      <c r="I280">
        <f>SUMIFS(HoldHistory!Q:Q, HoldHistory!A:A, A280, HoldHistory!M:M, "Final Design Review")</f>
        <v>0</v>
      </c>
    </row>
    <row r="281" spans="1:9" x14ac:dyDescent="0.35">
      <c r="A281" t="str">
        <v>CAS-225449-F6K8S2</v>
      </c>
      <c r="B281">
        <f>SUMIFS(HoldHistory!Q:Q, HoldHistory!A:A, A281, HoldHistory!M:M, "Triage")</f>
        <v>13</v>
      </c>
      <c r="C281">
        <f>SUMIFS(HoldHistory!Q:Q, HoldHistory!A:A, A281, HoldHistory!M:M, "Task Plan")</f>
        <v>1</v>
      </c>
      <c r="D281">
        <f>SUMIFS(HoldHistory!Q:Q, HoldHistory!A:A, A281, HoldHistory!M:M, "Initial Design Review")</f>
        <v>0</v>
      </c>
      <c r="E281">
        <f>SUMIFS(HoldHistory!Q:Q, HoldHistory!A:A, A281, HoldHistory!M:M, "ReCAP")</f>
        <v>0</v>
      </c>
      <c r="F281">
        <f>SUMIFS(HoldHistory!Q:Q, HoldHistory!A:A, A281, HoldHistory!M:M, "Draft EA")</f>
        <v>0</v>
      </c>
      <c r="G281">
        <f>SUMIFS(HoldHistory!Q:Q, HoldHistory!A:A, A281, HoldHistory!M:M, "Structures Pre-SAM")</f>
        <v>0</v>
      </c>
      <c r="H281">
        <f>SUMIFS(HoldHistory!Q:Q, HoldHistory!A:A, A281, HoldHistory!M:M, "Structures SAM")</f>
        <v>0</v>
      </c>
      <c r="I281">
        <f>SUMIFS(HoldHistory!Q:Q, HoldHistory!A:A, A281, HoldHistory!M:M, "Final Design Review")</f>
        <v>0</v>
      </c>
    </row>
    <row r="282" spans="1:9" x14ac:dyDescent="0.35">
      <c r="A282" t="str">
        <v>CAS-225693-J9K1Q8</v>
      </c>
      <c r="B282">
        <f>SUMIFS(HoldHistory!Q:Q, HoldHistory!A:A, A282, HoldHistory!M:M, "Triage")</f>
        <v>13.062614375005069</v>
      </c>
      <c r="C282">
        <f>SUMIFS(HoldHistory!Q:Q, HoldHistory!A:A, A282, HoldHistory!M:M, "Task Plan")</f>
        <v>0</v>
      </c>
      <c r="D282">
        <f>SUMIFS(HoldHistory!Q:Q, HoldHistory!A:A, A282, HoldHistory!M:M, "Initial Design Review")</f>
        <v>0</v>
      </c>
      <c r="E282">
        <f>SUMIFS(HoldHistory!Q:Q, HoldHistory!A:A, A282, HoldHistory!M:M, "ReCAP")</f>
        <v>0</v>
      </c>
      <c r="F282">
        <f>SUMIFS(HoldHistory!Q:Q, HoldHistory!A:A, A282, HoldHistory!M:M, "Draft EA")</f>
        <v>0</v>
      </c>
      <c r="G282">
        <f>SUMIFS(HoldHistory!Q:Q, HoldHistory!A:A, A282, HoldHistory!M:M, "Structures Pre-SAM")</f>
        <v>0</v>
      </c>
      <c r="H282">
        <f>SUMIFS(HoldHistory!Q:Q, HoldHistory!A:A, A282, HoldHistory!M:M, "Structures SAM")</f>
        <v>0</v>
      </c>
      <c r="I282">
        <f>SUMIFS(HoldHistory!Q:Q, HoldHistory!A:A, A282, HoldHistory!M:M, "Final Design Review")</f>
        <v>0</v>
      </c>
    </row>
    <row r="283" spans="1:9" x14ac:dyDescent="0.35">
      <c r="A283" t="str">
        <v>CAS-225777-T1N3V5</v>
      </c>
      <c r="B283">
        <f>SUMIFS(HoldHistory!Q:Q, HoldHistory!A:A, A283, HoldHistory!M:M, "Triage")</f>
        <v>0</v>
      </c>
      <c r="C283">
        <f>SUMIFS(HoldHistory!Q:Q, HoldHistory!A:A, A283, HoldHistory!M:M, "Task Plan")</f>
        <v>5</v>
      </c>
      <c r="D283">
        <f>SUMIFS(HoldHistory!Q:Q, HoldHistory!A:A, A283, HoldHistory!M:M, "Initial Design Review")</f>
        <v>0</v>
      </c>
      <c r="E283">
        <f>SUMIFS(HoldHistory!Q:Q, HoldHistory!A:A, A283, HoldHistory!M:M, "ReCAP")</f>
        <v>0</v>
      </c>
      <c r="F283">
        <f>SUMIFS(HoldHistory!Q:Q, HoldHistory!A:A, A283, HoldHistory!M:M, "Draft EA")</f>
        <v>0</v>
      </c>
      <c r="G283">
        <f>SUMIFS(HoldHistory!Q:Q, HoldHistory!A:A, A283, HoldHistory!M:M, "Structures Pre-SAM")</f>
        <v>0</v>
      </c>
      <c r="H283">
        <f>SUMIFS(HoldHistory!Q:Q, HoldHistory!A:A, A283, HoldHistory!M:M, "Structures SAM")</f>
        <v>0</v>
      </c>
      <c r="I283">
        <f>SUMIFS(HoldHistory!Q:Q, HoldHistory!A:A, A283, HoldHistory!M:M, "Final Design Review")</f>
        <v>0</v>
      </c>
    </row>
    <row r="284" spans="1:9" x14ac:dyDescent="0.35">
      <c r="A284" t="str">
        <v>CAS-226086-Y8D1X9</v>
      </c>
      <c r="B284">
        <f>SUMIFS(HoldHistory!Q:Q, HoldHistory!A:A, A284, HoldHistory!M:M, "Triage")</f>
        <v>0</v>
      </c>
      <c r="C284">
        <f>SUMIFS(HoldHistory!Q:Q, HoldHistory!A:A, A284, HoldHistory!M:M, "Task Plan")</f>
        <v>1</v>
      </c>
      <c r="D284">
        <f>SUMIFS(HoldHistory!Q:Q, HoldHistory!A:A, A284, HoldHistory!M:M, "Initial Design Review")</f>
        <v>0</v>
      </c>
      <c r="E284">
        <f>SUMIFS(HoldHistory!Q:Q, HoldHistory!A:A, A284, HoldHistory!M:M, "ReCAP")</f>
        <v>0</v>
      </c>
      <c r="F284">
        <f>SUMIFS(HoldHistory!Q:Q, HoldHistory!A:A, A284, HoldHistory!M:M, "Draft EA")</f>
        <v>0</v>
      </c>
      <c r="G284">
        <f>SUMIFS(HoldHistory!Q:Q, HoldHistory!A:A, A284, HoldHistory!M:M, "Structures Pre-SAM")</f>
        <v>0</v>
      </c>
      <c r="H284">
        <f>SUMIFS(HoldHistory!Q:Q, HoldHistory!A:A, A284, HoldHistory!M:M, "Structures SAM")</f>
        <v>0</v>
      </c>
      <c r="I284">
        <f>SUMIFS(HoldHistory!Q:Q, HoldHistory!A:A, A284, HoldHistory!M:M, "Final Design Review")</f>
        <v>0</v>
      </c>
    </row>
    <row r="285" spans="1:9" x14ac:dyDescent="0.35">
      <c r="A285" t="str">
        <v>CAS-226425-H0R7C4</v>
      </c>
      <c r="B285">
        <f>SUMIFS(HoldHistory!Q:Q, HoldHistory!A:A, A285, HoldHistory!M:M, "Triage")</f>
        <v>0</v>
      </c>
      <c r="C285">
        <f>SUMIFS(HoldHistory!Q:Q, HoldHistory!A:A, A285, HoldHistory!M:M, "Task Plan")</f>
        <v>0</v>
      </c>
      <c r="D285">
        <f>SUMIFS(HoldHistory!Q:Q, HoldHistory!A:A, A285, HoldHistory!M:M, "Initial Design Review")</f>
        <v>0</v>
      </c>
      <c r="E285">
        <f>SUMIFS(HoldHistory!Q:Q, HoldHistory!A:A, A285, HoldHistory!M:M, "ReCAP")</f>
        <v>0</v>
      </c>
      <c r="F285">
        <f>SUMIFS(HoldHistory!Q:Q, HoldHistory!A:A, A285, HoldHistory!M:M, "Draft EA")</f>
        <v>0</v>
      </c>
      <c r="G285">
        <f>SUMIFS(HoldHistory!Q:Q, HoldHistory!A:A, A285, HoldHistory!M:M, "Structures Pre-SAM")</f>
        <v>8</v>
      </c>
      <c r="H285">
        <f>SUMIFS(HoldHistory!Q:Q, HoldHistory!A:A, A285, HoldHistory!M:M, "Structures SAM")</f>
        <v>0</v>
      </c>
      <c r="I285">
        <f>SUMIFS(HoldHistory!Q:Q, HoldHistory!A:A, A285, HoldHistory!M:M, "Final Design Review")</f>
        <v>0</v>
      </c>
    </row>
    <row r="286" spans="1:9" x14ac:dyDescent="0.35">
      <c r="A286" t="str">
        <v>CAS-226540-J9M2J2</v>
      </c>
      <c r="B286">
        <f>SUMIFS(HoldHistory!Q:Q, HoldHistory!A:A, A286, HoldHistory!M:M, "Triage")</f>
        <v>33</v>
      </c>
      <c r="C286">
        <f>SUMIFS(HoldHistory!Q:Q, HoldHistory!A:A, A286, HoldHistory!M:M, "Task Plan")</f>
        <v>0</v>
      </c>
      <c r="D286">
        <f>SUMIFS(HoldHistory!Q:Q, HoldHistory!A:A, A286, HoldHistory!M:M, "Initial Design Review")</f>
        <v>0</v>
      </c>
      <c r="E286">
        <f>SUMIFS(HoldHistory!Q:Q, HoldHistory!A:A, A286, HoldHistory!M:M, "ReCAP")</f>
        <v>0</v>
      </c>
      <c r="F286">
        <f>SUMIFS(HoldHistory!Q:Q, HoldHistory!A:A, A286, HoldHistory!M:M, "Draft EA")</f>
        <v>0</v>
      </c>
      <c r="G286">
        <f>SUMIFS(HoldHistory!Q:Q, HoldHistory!A:A, A286, HoldHistory!M:M, "Structures Pre-SAM")</f>
        <v>12</v>
      </c>
      <c r="H286">
        <f>SUMIFS(HoldHistory!Q:Q, HoldHistory!A:A, A286, HoldHistory!M:M, "Structures SAM")</f>
        <v>0</v>
      </c>
      <c r="I286">
        <f>SUMIFS(HoldHistory!Q:Q, HoldHistory!A:A, A286, HoldHistory!M:M, "Final Design Review")</f>
        <v>0</v>
      </c>
    </row>
    <row r="287" spans="1:9" x14ac:dyDescent="0.35">
      <c r="A287" t="str">
        <v>CAS-226693-Q8W8M5</v>
      </c>
      <c r="B287">
        <f>SUMIFS(HoldHistory!Q:Q, HoldHistory!A:A, A287, HoldHistory!M:M, "Triage")</f>
        <v>16</v>
      </c>
      <c r="C287">
        <f>SUMIFS(HoldHistory!Q:Q, HoldHistory!A:A, A287, HoldHistory!M:M, "Task Plan")</f>
        <v>0</v>
      </c>
      <c r="D287">
        <f>SUMIFS(HoldHistory!Q:Q, HoldHistory!A:A, A287, HoldHistory!M:M, "Initial Design Review")</f>
        <v>0</v>
      </c>
      <c r="E287">
        <f>SUMIFS(HoldHistory!Q:Q, HoldHistory!A:A, A287, HoldHistory!M:M, "ReCAP")</f>
        <v>0</v>
      </c>
      <c r="F287">
        <f>SUMIFS(HoldHistory!Q:Q, HoldHistory!A:A, A287, HoldHistory!M:M, "Draft EA")</f>
        <v>0</v>
      </c>
      <c r="G287">
        <f>SUMIFS(HoldHistory!Q:Q, HoldHistory!A:A, A287, HoldHistory!M:M, "Structures Pre-SAM")</f>
        <v>0</v>
      </c>
      <c r="H287">
        <f>SUMIFS(HoldHistory!Q:Q, HoldHistory!A:A, A287, HoldHistory!M:M, "Structures SAM")</f>
        <v>0</v>
      </c>
      <c r="I287">
        <f>SUMIFS(HoldHistory!Q:Q, HoldHistory!A:A, A287, HoldHistory!M:M, "Final Design Review")</f>
        <v>0</v>
      </c>
    </row>
    <row r="288" spans="1:9" x14ac:dyDescent="0.35">
      <c r="A288" t="str">
        <v>CAS-227384-R0B5J5</v>
      </c>
      <c r="B288">
        <f>SUMIFS(HoldHistory!Q:Q, HoldHistory!A:A, A288, HoldHistory!M:M, "Triage")</f>
        <v>4</v>
      </c>
      <c r="C288">
        <f>SUMIFS(HoldHistory!Q:Q, HoldHistory!A:A, A288, HoldHistory!M:M, "Task Plan")</f>
        <v>0</v>
      </c>
      <c r="D288">
        <f>SUMIFS(HoldHistory!Q:Q, HoldHistory!A:A, A288, HoldHistory!M:M, "Initial Design Review")</f>
        <v>0</v>
      </c>
      <c r="E288">
        <f>SUMIFS(HoldHistory!Q:Q, HoldHistory!A:A, A288, HoldHistory!M:M, "ReCAP")</f>
        <v>0</v>
      </c>
      <c r="F288">
        <f>SUMIFS(HoldHistory!Q:Q, HoldHistory!A:A, A288, HoldHistory!M:M, "Draft EA")</f>
        <v>0</v>
      </c>
      <c r="G288">
        <f>SUMIFS(HoldHistory!Q:Q, HoldHistory!A:A, A288, HoldHistory!M:M, "Structures Pre-SAM")</f>
        <v>0</v>
      </c>
      <c r="H288">
        <f>SUMIFS(HoldHistory!Q:Q, HoldHistory!A:A, A288, HoldHistory!M:M, "Structures SAM")</f>
        <v>0</v>
      </c>
      <c r="I288">
        <f>SUMIFS(HoldHistory!Q:Q, HoldHistory!A:A, A288, HoldHistory!M:M, "Final Design Review")</f>
        <v>0</v>
      </c>
    </row>
    <row r="289" spans="1:9" x14ac:dyDescent="0.35">
      <c r="A289" t="str">
        <v>CAS-228149-N3K6R9</v>
      </c>
      <c r="B289">
        <f>SUMIFS(HoldHistory!Q:Q, HoldHistory!A:A, A289, HoldHistory!M:M, "Triage")</f>
        <v>6</v>
      </c>
      <c r="C289">
        <f>SUMIFS(HoldHistory!Q:Q, HoldHistory!A:A, A289, HoldHistory!M:M, "Task Plan")</f>
        <v>0</v>
      </c>
      <c r="D289">
        <f>SUMIFS(HoldHistory!Q:Q, HoldHistory!A:A, A289, HoldHistory!M:M, "Initial Design Review")</f>
        <v>0</v>
      </c>
      <c r="E289">
        <f>SUMIFS(HoldHistory!Q:Q, HoldHistory!A:A, A289, HoldHistory!M:M, "ReCAP")</f>
        <v>0</v>
      </c>
      <c r="F289">
        <f>SUMIFS(HoldHistory!Q:Q, HoldHistory!A:A, A289, HoldHistory!M:M, "Draft EA")</f>
        <v>67</v>
      </c>
      <c r="G289">
        <f>SUMIFS(HoldHistory!Q:Q, HoldHistory!A:A, A289, HoldHistory!M:M, "Structures Pre-SAM")</f>
        <v>0</v>
      </c>
      <c r="H289">
        <f>SUMIFS(HoldHistory!Q:Q, HoldHistory!A:A, A289, HoldHistory!M:M, "Structures SAM")</f>
        <v>0</v>
      </c>
      <c r="I289">
        <f>SUMIFS(HoldHistory!Q:Q, HoldHistory!A:A, A289, HoldHistory!M:M, "Final Design Review")</f>
        <v>19</v>
      </c>
    </row>
    <row r="290" spans="1:9" x14ac:dyDescent="0.35">
      <c r="A290" t="str">
        <v>CAS-228253-F6F4Q8</v>
      </c>
      <c r="B290">
        <f>SUMIFS(HoldHistory!Q:Q, HoldHistory!A:A, A290, HoldHistory!M:M, "Triage")</f>
        <v>0</v>
      </c>
      <c r="C290">
        <f>SUMIFS(HoldHistory!Q:Q, HoldHistory!A:A, A290, HoldHistory!M:M, "Task Plan")</f>
        <v>0</v>
      </c>
      <c r="D290">
        <f>SUMIFS(HoldHistory!Q:Q, HoldHistory!A:A, A290, HoldHistory!M:M, "Initial Design Review")</f>
        <v>0</v>
      </c>
      <c r="E290">
        <f>SUMIFS(HoldHistory!Q:Q, HoldHistory!A:A, A290, HoldHistory!M:M, "ReCAP")</f>
        <v>4</v>
      </c>
      <c r="F290">
        <f>SUMIFS(HoldHistory!Q:Q, HoldHistory!A:A, A290, HoldHistory!M:M, "Draft EA")</f>
        <v>0</v>
      </c>
      <c r="G290">
        <f>SUMIFS(HoldHistory!Q:Q, HoldHistory!A:A, A290, HoldHistory!M:M, "Structures Pre-SAM")</f>
        <v>0</v>
      </c>
      <c r="H290">
        <f>SUMIFS(HoldHistory!Q:Q, HoldHistory!A:A, A290, HoldHistory!M:M, "Structures SAM")</f>
        <v>0</v>
      </c>
      <c r="I290">
        <f>SUMIFS(HoldHistory!Q:Q, HoldHistory!A:A, A290, HoldHistory!M:M, "Final Design Review")</f>
        <v>0</v>
      </c>
    </row>
    <row r="291" spans="1:9" x14ac:dyDescent="0.35">
      <c r="A291" t="str">
        <v>CAS-228276-D1X1Q5</v>
      </c>
      <c r="B291">
        <f>SUMIFS(HoldHistory!Q:Q, HoldHistory!A:A, A291, HoldHistory!M:M, "Triage")</f>
        <v>4</v>
      </c>
      <c r="C291">
        <f>SUMIFS(HoldHistory!Q:Q, HoldHistory!A:A, A291, HoldHistory!M:M, "Task Plan")</f>
        <v>16</v>
      </c>
      <c r="D291">
        <f>SUMIFS(HoldHistory!Q:Q, HoldHistory!A:A, A291, HoldHistory!M:M, "Initial Design Review")</f>
        <v>0</v>
      </c>
      <c r="E291">
        <f>SUMIFS(HoldHistory!Q:Q, HoldHistory!A:A, A291, HoldHistory!M:M, "ReCAP")</f>
        <v>0</v>
      </c>
      <c r="F291">
        <f>SUMIFS(HoldHistory!Q:Q, HoldHistory!A:A, A291, HoldHistory!M:M, "Draft EA")</f>
        <v>0</v>
      </c>
      <c r="G291">
        <f>SUMIFS(HoldHistory!Q:Q, HoldHistory!A:A, A291, HoldHistory!M:M, "Structures Pre-SAM")</f>
        <v>0</v>
      </c>
      <c r="H291">
        <f>SUMIFS(HoldHistory!Q:Q, HoldHistory!A:A, A291, HoldHistory!M:M, "Structures SAM")</f>
        <v>0</v>
      </c>
      <c r="I291">
        <f>SUMIFS(HoldHistory!Q:Q, HoldHistory!A:A, A291, HoldHistory!M:M, "Final Design Review")</f>
        <v>0</v>
      </c>
    </row>
    <row r="292" spans="1:9" x14ac:dyDescent="0.35">
      <c r="A292" t="str">
        <v>CAS-228292-B3Z6V9</v>
      </c>
      <c r="B292">
        <f>SUMIFS(HoldHistory!Q:Q, HoldHistory!A:A, A292, HoldHistory!M:M, "Triage")</f>
        <v>4</v>
      </c>
      <c r="C292">
        <f>SUMIFS(HoldHistory!Q:Q, HoldHistory!A:A, A292, HoldHistory!M:M, "Task Plan")</f>
        <v>8</v>
      </c>
      <c r="D292">
        <f>SUMIFS(HoldHistory!Q:Q, HoldHistory!A:A, A292, HoldHistory!M:M, "Initial Design Review")</f>
        <v>1</v>
      </c>
      <c r="E292">
        <f>SUMIFS(HoldHistory!Q:Q, HoldHistory!A:A, A292, HoldHistory!M:M, "ReCAP")</f>
        <v>5</v>
      </c>
      <c r="F292">
        <f>SUMIFS(HoldHistory!Q:Q, HoldHistory!A:A, A292, HoldHistory!M:M, "Draft EA")</f>
        <v>8</v>
      </c>
      <c r="G292">
        <f>SUMIFS(HoldHistory!Q:Q, HoldHistory!A:A, A292, HoldHistory!M:M, "Structures Pre-SAM")</f>
        <v>0</v>
      </c>
      <c r="H292">
        <f>SUMIFS(HoldHistory!Q:Q, HoldHistory!A:A, A292, HoldHistory!M:M, "Structures SAM")</f>
        <v>0</v>
      </c>
      <c r="I292">
        <f>SUMIFS(HoldHistory!Q:Q, HoldHistory!A:A, A292, HoldHistory!M:M, "Final Design Review")</f>
        <v>0</v>
      </c>
    </row>
    <row r="293" spans="1:9" x14ac:dyDescent="0.35">
      <c r="A293" t="str">
        <v>CAS-228630-R6J9L1</v>
      </c>
      <c r="B293">
        <f>SUMIFS(HoldHistory!Q:Q, HoldHistory!A:A, A293, HoldHistory!M:M, "Triage")</f>
        <v>34</v>
      </c>
      <c r="C293">
        <f>SUMIFS(HoldHistory!Q:Q, HoldHistory!A:A, A293, HoldHistory!M:M, "Task Plan")</f>
        <v>0</v>
      </c>
      <c r="D293">
        <f>SUMIFS(HoldHistory!Q:Q, HoldHistory!A:A, A293, HoldHistory!M:M, "Initial Design Review")</f>
        <v>0</v>
      </c>
      <c r="E293">
        <f>SUMIFS(HoldHistory!Q:Q, HoldHistory!A:A, A293, HoldHistory!M:M, "ReCAP")</f>
        <v>0</v>
      </c>
      <c r="F293">
        <f>SUMIFS(HoldHistory!Q:Q, HoldHistory!A:A, A293, HoldHistory!M:M, "Draft EA")</f>
        <v>0</v>
      </c>
      <c r="G293">
        <f>SUMIFS(HoldHistory!Q:Q, HoldHistory!A:A, A293, HoldHistory!M:M, "Structures Pre-SAM")</f>
        <v>0</v>
      </c>
      <c r="H293">
        <f>SUMIFS(HoldHistory!Q:Q, HoldHistory!A:A, A293, HoldHistory!M:M, "Structures SAM")</f>
        <v>0</v>
      </c>
      <c r="I293">
        <f>SUMIFS(HoldHistory!Q:Q, HoldHistory!A:A, A293, HoldHistory!M:M, "Final Design Review")</f>
        <v>0</v>
      </c>
    </row>
    <row r="294" spans="1:9" x14ac:dyDescent="0.35">
      <c r="A294" t="str">
        <v>CAS-228914-H6F9X3</v>
      </c>
      <c r="B294">
        <f>SUMIFS(HoldHistory!Q:Q, HoldHistory!A:A, A294, HoldHistory!M:M, "Triage")</f>
        <v>6</v>
      </c>
      <c r="C294">
        <f>SUMIFS(HoldHistory!Q:Q, HoldHistory!A:A, A294, HoldHistory!M:M, "Task Plan")</f>
        <v>0</v>
      </c>
      <c r="D294">
        <f>SUMIFS(HoldHistory!Q:Q, HoldHistory!A:A, A294, HoldHistory!M:M, "Initial Design Review")</f>
        <v>0</v>
      </c>
      <c r="E294">
        <f>SUMIFS(HoldHistory!Q:Q, HoldHistory!A:A, A294, HoldHistory!M:M, "ReCAP")</f>
        <v>0</v>
      </c>
      <c r="F294">
        <f>SUMIFS(HoldHistory!Q:Q, HoldHistory!A:A, A294, HoldHistory!M:M, "Draft EA")</f>
        <v>0</v>
      </c>
      <c r="G294">
        <f>SUMIFS(HoldHistory!Q:Q, HoldHistory!A:A, A294, HoldHistory!M:M, "Structures Pre-SAM")</f>
        <v>0</v>
      </c>
      <c r="H294">
        <f>SUMIFS(HoldHistory!Q:Q, HoldHistory!A:A, A294, HoldHistory!M:M, "Structures SAM")</f>
        <v>0</v>
      </c>
      <c r="I294">
        <f>SUMIFS(HoldHistory!Q:Q, HoldHistory!A:A, A294, HoldHistory!M:M, "Final Design Review")</f>
        <v>0</v>
      </c>
    </row>
    <row r="295" spans="1:9" x14ac:dyDescent="0.35">
      <c r="A295" t="str">
        <v>CAS-229082-R8V3K3</v>
      </c>
      <c r="B295">
        <f>SUMIFS(HoldHistory!Q:Q, HoldHistory!A:A, A295, HoldHistory!M:M, "Triage")</f>
        <v>0</v>
      </c>
      <c r="C295">
        <f>SUMIFS(HoldHistory!Q:Q, HoldHistory!A:A, A295, HoldHistory!M:M, "Task Plan")</f>
        <v>0</v>
      </c>
      <c r="D295">
        <f>SUMIFS(HoldHistory!Q:Q, HoldHistory!A:A, A295, HoldHistory!M:M, "Initial Design Review")</f>
        <v>0</v>
      </c>
      <c r="E295">
        <f>SUMIFS(HoldHistory!Q:Q, HoldHistory!A:A, A295, HoldHistory!M:M, "ReCAP")</f>
        <v>0</v>
      </c>
      <c r="F295">
        <f>SUMIFS(HoldHistory!Q:Q, HoldHistory!A:A, A295, HoldHistory!M:M, "Draft EA")</f>
        <v>0</v>
      </c>
      <c r="G295">
        <f>SUMIFS(HoldHistory!Q:Q, HoldHistory!A:A, A295, HoldHistory!M:M, "Structures Pre-SAM")</f>
        <v>21</v>
      </c>
      <c r="H295">
        <f>SUMIFS(HoldHistory!Q:Q, HoldHistory!A:A, A295, HoldHistory!M:M, "Structures SAM")</f>
        <v>0</v>
      </c>
      <c r="I295">
        <f>SUMIFS(HoldHistory!Q:Q, HoldHistory!A:A, A295, HoldHistory!M:M, "Final Design Review")</f>
        <v>0</v>
      </c>
    </row>
    <row r="296" spans="1:9" x14ac:dyDescent="0.35">
      <c r="A296" t="str">
        <v>CAS-229255-K0H2P3</v>
      </c>
      <c r="B296">
        <f>SUMIFS(HoldHistory!Q:Q, HoldHistory!A:A, A296, HoldHistory!M:M, "Triage")</f>
        <v>17</v>
      </c>
      <c r="C296">
        <f>SUMIFS(HoldHistory!Q:Q, HoldHistory!A:A, A296, HoldHistory!M:M, "Task Plan")</f>
        <v>13</v>
      </c>
      <c r="D296">
        <f>SUMIFS(HoldHistory!Q:Q, HoldHistory!A:A, A296, HoldHistory!M:M, "Initial Design Review")</f>
        <v>0</v>
      </c>
      <c r="E296">
        <f>SUMIFS(HoldHistory!Q:Q, HoldHistory!A:A, A296, HoldHistory!M:M, "ReCAP")</f>
        <v>0</v>
      </c>
      <c r="F296">
        <f>SUMIFS(HoldHistory!Q:Q, HoldHistory!A:A, A296, HoldHistory!M:M, "Draft EA")</f>
        <v>0</v>
      </c>
      <c r="G296">
        <f>SUMIFS(HoldHistory!Q:Q, HoldHistory!A:A, A296, HoldHistory!M:M, "Structures Pre-SAM")</f>
        <v>0</v>
      </c>
      <c r="H296">
        <f>SUMIFS(HoldHistory!Q:Q, HoldHistory!A:A, A296, HoldHistory!M:M, "Structures SAM")</f>
        <v>0</v>
      </c>
      <c r="I296">
        <f>SUMIFS(HoldHistory!Q:Q, HoldHistory!A:A, A296, HoldHistory!M:M, "Final Design Review")</f>
        <v>0</v>
      </c>
    </row>
    <row r="297" spans="1:9" x14ac:dyDescent="0.35">
      <c r="A297" t="str">
        <v>CAS-229260-K7V5G2</v>
      </c>
      <c r="B297">
        <f>SUMIFS(HoldHistory!Q:Q, HoldHistory!A:A, A297, HoldHistory!M:M, "Triage")</f>
        <v>34.711134548611881</v>
      </c>
      <c r="C297">
        <f>SUMIFS(HoldHistory!Q:Q, HoldHistory!A:A, A297, HoldHistory!M:M, "Task Plan")</f>
        <v>0</v>
      </c>
      <c r="D297">
        <f>SUMIFS(HoldHistory!Q:Q, HoldHistory!A:A, A297, HoldHistory!M:M, "Initial Design Review")</f>
        <v>0</v>
      </c>
      <c r="E297">
        <f>SUMIFS(HoldHistory!Q:Q, HoldHistory!A:A, A297, HoldHistory!M:M, "ReCAP")</f>
        <v>0</v>
      </c>
      <c r="F297">
        <f>SUMIFS(HoldHistory!Q:Q, HoldHistory!A:A, A297, HoldHistory!M:M, "Draft EA")</f>
        <v>0</v>
      </c>
      <c r="G297">
        <f>SUMIFS(HoldHistory!Q:Q, HoldHistory!A:A, A297, HoldHistory!M:M, "Structures Pre-SAM")</f>
        <v>0</v>
      </c>
      <c r="H297">
        <f>SUMIFS(HoldHistory!Q:Q, HoldHistory!A:A, A297, HoldHistory!M:M, "Structures SAM")</f>
        <v>0</v>
      </c>
      <c r="I297">
        <f>SUMIFS(HoldHistory!Q:Q, HoldHistory!A:A, A297, HoldHistory!M:M, "Final Design Review")</f>
        <v>0</v>
      </c>
    </row>
    <row r="298" spans="1:9" x14ac:dyDescent="0.35">
      <c r="A298" t="str">
        <v>CAS-229369-T0G1B2</v>
      </c>
      <c r="B298">
        <f>SUMIFS(HoldHistory!Q:Q, HoldHistory!A:A, A298, HoldHistory!M:M, "Triage")</f>
        <v>6</v>
      </c>
      <c r="C298">
        <f>SUMIFS(HoldHistory!Q:Q, HoldHistory!A:A, A298, HoldHistory!M:M, "Task Plan")</f>
        <v>0</v>
      </c>
      <c r="D298">
        <f>SUMIFS(HoldHistory!Q:Q, HoldHistory!A:A, A298, HoldHistory!M:M, "Initial Design Review")</f>
        <v>0</v>
      </c>
      <c r="E298">
        <f>SUMIFS(HoldHistory!Q:Q, HoldHistory!A:A, A298, HoldHistory!M:M, "ReCAP")</f>
        <v>0</v>
      </c>
      <c r="F298">
        <f>SUMIFS(HoldHistory!Q:Q, HoldHistory!A:A, A298, HoldHistory!M:M, "Draft EA")</f>
        <v>0</v>
      </c>
      <c r="G298">
        <f>SUMIFS(HoldHistory!Q:Q, HoldHistory!A:A, A298, HoldHistory!M:M, "Structures Pre-SAM")</f>
        <v>0</v>
      </c>
      <c r="H298">
        <f>SUMIFS(HoldHistory!Q:Q, HoldHistory!A:A, A298, HoldHistory!M:M, "Structures SAM")</f>
        <v>0</v>
      </c>
      <c r="I298">
        <f>SUMIFS(HoldHistory!Q:Q, HoldHistory!A:A, A298, HoldHistory!M:M, "Final Design Review")</f>
        <v>0</v>
      </c>
    </row>
    <row r="299" spans="1:9" x14ac:dyDescent="0.35">
      <c r="A299" t="str">
        <v>CAS-229421-X1M1Q9</v>
      </c>
      <c r="B299">
        <f>SUMIFS(HoldHistory!Q:Q, HoldHistory!A:A, A299, HoldHistory!M:M, "Triage")</f>
        <v>86</v>
      </c>
      <c r="C299">
        <f>SUMIFS(HoldHistory!Q:Q, HoldHistory!A:A, A299, HoldHistory!M:M, "Task Plan")</f>
        <v>0</v>
      </c>
      <c r="D299">
        <f>SUMIFS(HoldHistory!Q:Q, HoldHistory!A:A, A299, HoldHistory!M:M, "Initial Design Review")</f>
        <v>0</v>
      </c>
      <c r="E299">
        <f>SUMIFS(HoldHistory!Q:Q, HoldHistory!A:A, A299, HoldHistory!M:M, "ReCAP")</f>
        <v>0</v>
      </c>
      <c r="F299">
        <f>SUMIFS(HoldHistory!Q:Q, HoldHistory!A:A, A299, HoldHistory!M:M, "Draft EA")</f>
        <v>0</v>
      </c>
      <c r="G299">
        <f>SUMIFS(HoldHistory!Q:Q, HoldHistory!A:A, A299, HoldHistory!M:M, "Structures Pre-SAM")</f>
        <v>0</v>
      </c>
      <c r="H299">
        <f>SUMIFS(HoldHistory!Q:Q, HoldHistory!A:A, A299, HoldHistory!M:M, "Structures SAM")</f>
        <v>0</v>
      </c>
      <c r="I299">
        <f>SUMIFS(HoldHistory!Q:Q, HoldHistory!A:A, A299, HoldHistory!M:M, "Final Design Review")</f>
        <v>0</v>
      </c>
    </row>
    <row r="300" spans="1:9" x14ac:dyDescent="0.35">
      <c r="A300" t="str">
        <v>CAS-229507-Z8K4H9</v>
      </c>
      <c r="B300">
        <f>SUMIFS(HoldHistory!Q:Q, HoldHistory!A:A, A300, HoldHistory!M:M, "Triage")</f>
        <v>0</v>
      </c>
      <c r="C300">
        <f>SUMIFS(HoldHistory!Q:Q, HoldHistory!A:A, A300, HoldHistory!M:M, "Task Plan")</f>
        <v>0</v>
      </c>
      <c r="D300">
        <f>SUMIFS(HoldHistory!Q:Q, HoldHistory!A:A, A300, HoldHistory!M:M, "Initial Design Review")</f>
        <v>0</v>
      </c>
      <c r="E300">
        <f>SUMIFS(HoldHistory!Q:Q, HoldHistory!A:A, A300, HoldHistory!M:M, "ReCAP")</f>
        <v>17</v>
      </c>
      <c r="F300">
        <f>SUMIFS(HoldHistory!Q:Q, HoldHistory!A:A, A300, HoldHistory!M:M, "Draft EA")</f>
        <v>0</v>
      </c>
      <c r="G300">
        <f>SUMIFS(HoldHistory!Q:Q, HoldHistory!A:A, A300, HoldHistory!M:M, "Structures Pre-SAM")</f>
        <v>0</v>
      </c>
      <c r="H300">
        <f>SUMIFS(HoldHistory!Q:Q, HoldHistory!A:A, A300, HoldHistory!M:M, "Structures SAM")</f>
        <v>0</v>
      </c>
      <c r="I300">
        <f>SUMIFS(HoldHistory!Q:Q, HoldHistory!A:A, A300, HoldHistory!M:M, "Final Design Review")</f>
        <v>0</v>
      </c>
    </row>
    <row r="301" spans="1:9" x14ac:dyDescent="0.35">
      <c r="A301" t="str">
        <v>CAS-229543-B3Y2C0</v>
      </c>
      <c r="B301">
        <f>SUMIFS(HoldHistory!Q:Q, HoldHistory!A:A, A301, HoldHistory!M:M, "Triage")</f>
        <v>31</v>
      </c>
      <c r="C301">
        <f>SUMIFS(HoldHistory!Q:Q, HoldHistory!A:A, A301, HoldHistory!M:M, "Task Plan")</f>
        <v>0</v>
      </c>
      <c r="D301">
        <f>SUMIFS(HoldHistory!Q:Q, HoldHistory!A:A, A301, HoldHistory!M:M, "Initial Design Review")</f>
        <v>0</v>
      </c>
      <c r="E301">
        <f>SUMIFS(HoldHistory!Q:Q, HoldHistory!A:A, A301, HoldHistory!M:M, "ReCAP")</f>
        <v>0</v>
      </c>
      <c r="F301">
        <f>SUMIFS(HoldHistory!Q:Q, HoldHistory!A:A, A301, HoldHistory!M:M, "Draft EA")</f>
        <v>0</v>
      </c>
      <c r="G301">
        <f>SUMIFS(HoldHistory!Q:Q, HoldHistory!A:A, A301, HoldHistory!M:M, "Structures Pre-SAM")</f>
        <v>0</v>
      </c>
      <c r="H301">
        <f>SUMIFS(HoldHistory!Q:Q, HoldHistory!A:A, A301, HoldHistory!M:M, "Structures SAM")</f>
        <v>0</v>
      </c>
      <c r="I301">
        <f>SUMIFS(HoldHistory!Q:Q, HoldHistory!A:A, A301, HoldHistory!M:M, "Final Design Review")</f>
        <v>0</v>
      </c>
    </row>
    <row r="302" spans="1:9" x14ac:dyDescent="0.35">
      <c r="A302" t="str">
        <v>CAS-229652-K3R4P9</v>
      </c>
      <c r="B302">
        <f>SUMIFS(HoldHistory!Q:Q, HoldHistory!A:A, A302, HoldHistory!M:M, "Triage")</f>
        <v>0</v>
      </c>
      <c r="C302">
        <f>SUMIFS(HoldHistory!Q:Q, HoldHistory!A:A, A302, HoldHistory!M:M, "Task Plan")</f>
        <v>0</v>
      </c>
      <c r="D302">
        <f>SUMIFS(HoldHistory!Q:Q, HoldHistory!A:A, A302, HoldHistory!M:M, "Initial Design Review")</f>
        <v>0</v>
      </c>
      <c r="E302">
        <f>SUMIFS(HoldHistory!Q:Q, HoldHistory!A:A, A302, HoldHistory!M:M, "ReCAP")</f>
        <v>0</v>
      </c>
      <c r="F302">
        <f>SUMIFS(HoldHistory!Q:Q, HoldHistory!A:A, A302, HoldHistory!M:M, "Draft EA")</f>
        <v>0</v>
      </c>
      <c r="G302">
        <f>SUMIFS(HoldHistory!Q:Q, HoldHistory!A:A, A302, HoldHistory!M:M, "Structures Pre-SAM")</f>
        <v>35.994589710644505</v>
      </c>
      <c r="H302">
        <f>SUMIFS(HoldHistory!Q:Q, HoldHistory!A:A, A302, HoldHistory!M:M, "Structures SAM")</f>
        <v>0</v>
      </c>
      <c r="I302">
        <f>SUMIFS(HoldHistory!Q:Q, HoldHistory!A:A, A302, HoldHistory!M:M, "Final Design Review")</f>
        <v>0</v>
      </c>
    </row>
    <row r="303" spans="1:9" x14ac:dyDescent="0.35">
      <c r="A303" t="str">
        <v>CAS-230008-W3P2Z8</v>
      </c>
      <c r="B303">
        <f>SUMIFS(HoldHistory!Q:Q, HoldHistory!A:A, A303, HoldHistory!M:M, "Triage")</f>
        <v>19</v>
      </c>
      <c r="C303">
        <f>SUMIFS(HoldHistory!Q:Q, HoldHistory!A:A, A303, HoldHistory!M:M, "Task Plan")</f>
        <v>0</v>
      </c>
      <c r="D303">
        <f>SUMIFS(HoldHistory!Q:Q, HoldHistory!A:A, A303, HoldHistory!M:M, "Initial Design Review")</f>
        <v>15</v>
      </c>
      <c r="E303">
        <f>SUMIFS(HoldHistory!Q:Q, HoldHistory!A:A, A303, HoldHistory!M:M, "ReCAP")</f>
        <v>0</v>
      </c>
      <c r="F303">
        <f>SUMIFS(HoldHistory!Q:Q, HoldHistory!A:A, A303, HoldHistory!M:M, "Draft EA")</f>
        <v>0</v>
      </c>
      <c r="G303">
        <f>SUMIFS(HoldHistory!Q:Q, HoldHistory!A:A, A303, HoldHistory!M:M, "Structures Pre-SAM")</f>
        <v>3</v>
      </c>
      <c r="H303">
        <f>SUMIFS(HoldHistory!Q:Q, HoldHistory!A:A, A303, HoldHistory!M:M, "Structures SAM")</f>
        <v>0</v>
      </c>
      <c r="I303">
        <f>SUMIFS(HoldHistory!Q:Q, HoldHistory!A:A, A303, HoldHistory!M:M, "Final Design Review")</f>
        <v>0</v>
      </c>
    </row>
    <row r="304" spans="1:9" x14ac:dyDescent="0.35">
      <c r="A304" t="str">
        <v>CAS-230100-D7Q5V1</v>
      </c>
      <c r="B304">
        <f>SUMIFS(HoldHistory!Q:Q, HoldHistory!A:A, A304, HoldHistory!M:M, "Triage")</f>
        <v>4</v>
      </c>
      <c r="C304">
        <f>SUMIFS(HoldHistory!Q:Q, HoldHistory!A:A, A304, HoldHistory!M:M, "Task Plan")</f>
        <v>0</v>
      </c>
      <c r="D304">
        <f>SUMIFS(HoldHistory!Q:Q, HoldHistory!A:A, A304, HoldHistory!M:M, "Initial Design Review")</f>
        <v>0</v>
      </c>
      <c r="E304">
        <f>SUMIFS(HoldHistory!Q:Q, HoldHistory!A:A, A304, HoldHistory!M:M, "ReCAP")</f>
        <v>0</v>
      </c>
      <c r="F304">
        <f>SUMIFS(HoldHistory!Q:Q, HoldHistory!A:A, A304, HoldHistory!M:M, "Draft EA")</f>
        <v>0</v>
      </c>
      <c r="G304">
        <f>SUMIFS(HoldHistory!Q:Q, HoldHistory!A:A, A304, HoldHistory!M:M, "Structures Pre-SAM")</f>
        <v>0</v>
      </c>
      <c r="H304">
        <f>SUMIFS(HoldHistory!Q:Q, HoldHistory!A:A, A304, HoldHistory!M:M, "Structures SAM")</f>
        <v>0</v>
      </c>
      <c r="I304">
        <f>SUMIFS(HoldHistory!Q:Q, HoldHistory!A:A, A304, HoldHistory!M:M, "Final Design Review")</f>
        <v>0</v>
      </c>
    </row>
    <row r="305" spans="1:9" x14ac:dyDescent="0.35">
      <c r="A305" t="str">
        <v>CAS-230126-H3F8N3</v>
      </c>
      <c r="B305">
        <f>SUMIFS(HoldHistory!Q:Q, HoldHistory!A:A, A305, HoldHistory!M:M, "Triage")</f>
        <v>0</v>
      </c>
      <c r="C305">
        <f>SUMIFS(HoldHistory!Q:Q, HoldHistory!A:A, A305, HoldHistory!M:M, "Task Plan")</f>
        <v>0</v>
      </c>
      <c r="D305">
        <f>SUMIFS(HoldHistory!Q:Q, HoldHistory!A:A, A305, HoldHistory!M:M, "Initial Design Review")</f>
        <v>0</v>
      </c>
      <c r="E305">
        <f>SUMIFS(HoldHistory!Q:Q, HoldHistory!A:A, A305, HoldHistory!M:M, "ReCAP")</f>
        <v>0</v>
      </c>
      <c r="F305">
        <f>SUMIFS(HoldHistory!Q:Q, HoldHistory!A:A, A305, HoldHistory!M:M, "Draft EA")</f>
        <v>0</v>
      </c>
      <c r="G305">
        <f>SUMIFS(HoldHistory!Q:Q, HoldHistory!A:A, A305, HoldHistory!M:M, "Structures Pre-SAM")</f>
        <v>0</v>
      </c>
      <c r="H305">
        <f>SUMIFS(HoldHistory!Q:Q, HoldHistory!A:A, A305, HoldHistory!M:M, "Structures SAM")</f>
        <v>0</v>
      </c>
      <c r="I305">
        <f>SUMIFS(HoldHistory!Q:Q, HoldHistory!A:A, A305, HoldHistory!M:M, "Final Design Review")</f>
        <v>0</v>
      </c>
    </row>
    <row r="306" spans="1:9" x14ac:dyDescent="0.35">
      <c r="A306" t="str">
        <v>CAS-230144-J7V9B0</v>
      </c>
      <c r="B306">
        <f>SUMIFS(HoldHistory!Q:Q, HoldHistory!A:A, A306, HoldHistory!M:M, "Triage")</f>
        <v>0</v>
      </c>
      <c r="C306">
        <f>SUMIFS(HoldHistory!Q:Q, HoldHistory!A:A, A306, HoldHistory!M:M, "Task Plan")</f>
        <v>0</v>
      </c>
      <c r="D306">
        <f>SUMIFS(HoldHistory!Q:Q, HoldHistory!A:A, A306, HoldHistory!M:M, "Initial Design Review")</f>
        <v>0</v>
      </c>
      <c r="E306">
        <f>SUMIFS(HoldHistory!Q:Q, HoldHistory!A:A, A306, HoldHistory!M:M, "ReCAP")</f>
        <v>0</v>
      </c>
      <c r="F306">
        <f>SUMIFS(HoldHistory!Q:Q, HoldHistory!A:A, A306, HoldHistory!M:M, "Draft EA")</f>
        <v>0</v>
      </c>
      <c r="G306">
        <f>SUMIFS(HoldHistory!Q:Q, HoldHistory!A:A, A306, HoldHistory!M:M, "Structures Pre-SAM")</f>
        <v>0.22683293981390307</v>
      </c>
      <c r="H306">
        <f>SUMIFS(HoldHistory!Q:Q, HoldHistory!A:A, A306, HoldHistory!M:M, "Structures SAM")</f>
        <v>0</v>
      </c>
      <c r="I306">
        <f>SUMIFS(HoldHistory!Q:Q, HoldHistory!A:A, A306, HoldHistory!M:M, "Final Design Review")</f>
        <v>0</v>
      </c>
    </row>
    <row r="307" spans="1:9" x14ac:dyDescent="0.35">
      <c r="A307" t="str">
        <v>CAS-230412-W9V3C5</v>
      </c>
      <c r="B307">
        <f>SUMIFS(HoldHistory!Q:Q, HoldHistory!A:A, A307, HoldHistory!M:M, "Triage")</f>
        <v>0</v>
      </c>
      <c r="C307">
        <f>SUMIFS(HoldHistory!Q:Q, HoldHistory!A:A, A307, HoldHistory!M:M, "Task Plan")</f>
        <v>55</v>
      </c>
      <c r="D307">
        <f>SUMIFS(HoldHistory!Q:Q, HoldHistory!A:A, A307, HoldHistory!M:M, "Initial Design Review")</f>
        <v>0</v>
      </c>
      <c r="E307">
        <f>SUMIFS(HoldHistory!Q:Q, HoldHistory!A:A, A307, HoldHistory!M:M, "ReCAP")</f>
        <v>0</v>
      </c>
      <c r="F307">
        <f>SUMIFS(HoldHistory!Q:Q, HoldHistory!A:A, A307, HoldHistory!M:M, "Draft EA")</f>
        <v>0</v>
      </c>
      <c r="G307">
        <f>SUMIFS(HoldHistory!Q:Q, HoldHistory!A:A, A307, HoldHistory!M:M, "Structures Pre-SAM")</f>
        <v>0</v>
      </c>
      <c r="H307">
        <f>SUMIFS(HoldHistory!Q:Q, HoldHistory!A:A, A307, HoldHistory!M:M, "Structures SAM")</f>
        <v>0</v>
      </c>
      <c r="I307">
        <f>SUMIFS(HoldHistory!Q:Q, HoldHistory!A:A, A307, HoldHistory!M:M, "Final Design Review")</f>
        <v>0</v>
      </c>
    </row>
    <row r="308" spans="1:9" x14ac:dyDescent="0.35">
      <c r="A308" t="str">
        <v>CAS-231183-W9Z9D6</v>
      </c>
      <c r="B308">
        <f>SUMIFS(HoldHistory!Q:Q, HoldHistory!A:A, A308, HoldHistory!M:M, "Triage")</f>
        <v>16</v>
      </c>
      <c r="C308">
        <f>SUMIFS(HoldHistory!Q:Q, HoldHistory!A:A, A308, HoldHistory!M:M, "Task Plan")</f>
        <v>36</v>
      </c>
      <c r="D308">
        <f>SUMIFS(HoldHistory!Q:Q, HoldHistory!A:A, A308, HoldHistory!M:M, "Initial Design Review")</f>
        <v>0</v>
      </c>
      <c r="E308">
        <f>SUMIFS(HoldHistory!Q:Q, HoldHistory!A:A, A308, HoldHistory!M:M, "ReCAP")</f>
        <v>0</v>
      </c>
      <c r="F308">
        <f>SUMIFS(HoldHistory!Q:Q, HoldHistory!A:A, A308, HoldHistory!M:M, "Draft EA")</f>
        <v>0</v>
      </c>
      <c r="G308">
        <f>SUMIFS(HoldHistory!Q:Q, HoldHistory!A:A, A308, HoldHistory!M:M, "Structures Pre-SAM")</f>
        <v>0</v>
      </c>
      <c r="H308">
        <f>SUMIFS(HoldHistory!Q:Q, HoldHistory!A:A, A308, HoldHistory!M:M, "Structures SAM")</f>
        <v>0</v>
      </c>
      <c r="I308">
        <f>SUMIFS(HoldHistory!Q:Q, HoldHistory!A:A, A308, HoldHistory!M:M, "Final Design Review")</f>
        <v>0</v>
      </c>
    </row>
    <row r="309" spans="1:9" x14ac:dyDescent="0.35">
      <c r="A309" t="str">
        <v>CAS-231303-V2P5L0</v>
      </c>
      <c r="B309">
        <f>SUMIFS(HoldHistory!Q:Q, HoldHistory!A:A, A309, HoldHistory!M:M, "Triage")</f>
        <v>4</v>
      </c>
      <c r="C309">
        <f>SUMIFS(HoldHistory!Q:Q, HoldHistory!A:A, A309, HoldHistory!M:M, "Task Plan")</f>
        <v>0</v>
      </c>
      <c r="D309">
        <f>SUMIFS(HoldHistory!Q:Q, HoldHistory!A:A, A309, HoldHistory!M:M, "Initial Design Review")</f>
        <v>0</v>
      </c>
      <c r="E309">
        <f>SUMIFS(HoldHistory!Q:Q, HoldHistory!A:A, A309, HoldHistory!M:M, "ReCAP")</f>
        <v>0</v>
      </c>
      <c r="F309">
        <f>SUMIFS(HoldHistory!Q:Q, HoldHistory!A:A, A309, HoldHistory!M:M, "Draft EA")</f>
        <v>0</v>
      </c>
      <c r="G309">
        <f>SUMIFS(HoldHistory!Q:Q, HoldHistory!A:A, A309, HoldHistory!M:M, "Structures Pre-SAM")</f>
        <v>0</v>
      </c>
      <c r="H309">
        <f>SUMIFS(HoldHistory!Q:Q, HoldHistory!A:A, A309, HoldHistory!M:M, "Structures SAM")</f>
        <v>0</v>
      </c>
      <c r="I309">
        <f>SUMIFS(HoldHistory!Q:Q, HoldHistory!A:A, A309, HoldHistory!M:M, "Final Design Review")</f>
        <v>0</v>
      </c>
    </row>
    <row r="310" spans="1:9" x14ac:dyDescent="0.35">
      <c r="A310" t="str">
        <v>CAS-231334-D9N4N5</v>
      </c>
      <c r="B310">
        <f>SUMIFS(HoldHistory!Q:Q, HoldHistory!A:A, A310, HoldHistory!M:M, "Triage")</f>
        <v>0</v>
      </c>
      <c r="C310">
        <f>SUMIFS(HoldHistory!Q:Q, HoldHistory!A:A, A310, HoldHistory!M:M, "Task Plan")</f>
        <v>46</v>
      </c>
      <c r="D310">
        <f>SUMIFS(HoldHistory!Q:Q, HoldHistory!A:A, A310, HoldHistory!M:M, "Initial Design Review")</f>
        <v>0</v>
      </c>
      <c r="E310">
        <f>SUMIFS(HoldHistory!Q:Q, HoldHistory!A:A, A310, HoldHistory!M:M, "ReCAP")</f>
        <v>0</v>
      </c>
      <c r="F310">
        <f>SUMIFS(HoldHistory!Q:Q, HoldHistory!A:A, A310, HoldHistory!M:M, "Draft EA")</f>
        <v>0</v>
      </c>
      <c r="G310">
        <f>SUMIFS(HoldHistory!Q:Q, HoldHistory!A:A, A310, HoldHistory!M:M, "Structures Pre-SAM")</f>
        <v>0</v>
      </c>
      <c r="H310">
        <f>SUMIFS(HoldHistory!Q:Q, HoldHistory!A:A, A310, HoldHistory!M:M, "Structures SAM")</f>
        <v>0</v>
      </c>
      <c r="I310">
        <f>SUMIFS(HoldHistory!Q:Q, HoldHistory!A:A, A310, HoldHistory!M:M, "Final Design Review")</f>
        <v>5</v>
      </c>
    </row>
    <row r="311" spans="1:9" x14ac:dyDescent="0.35">
      <c r="A311" t="str">
        <v>CAS-231526-D7H6X3</v>
      </c>
      <c r="B311">
        <f>SUMIFS(HoldHistory!Q:Q, HoldHistory!A:A, A311, HoldHistory!M:M, "Triage")</f>
        <v>0</v>
      </c>
      <c r="C311">
        <f>SUMIFS(HoldHistory!Q:Q, HoldHistory!A:A, A311, HoldHistory!M:M, "Task Plan")</f>
        <v>0</v>
      </c>
      <c r="D311">
        <f>SUMIFS(HoldHistory!Q:Q, HoldHistory!A:A, A311, HoldHistory!M:M, "Initial Design Review")</f>
        <v>0</v>
      </c>
      <c r="E311">
        <f>SUMIFS(HoldHistory!Q:Q, HoldHistory!A:A, A311, HoldHistory!M:M, "ReCAP")</f>
        <v>0</v>
      </c>
      <c r="F311">
        <f>SUMIFS(HoldHistory!Q:Q, HoldHistory!A:A, A311, HoldHistory!M:M, "Draft EA")</f>
        <v>8</v>
      </c>
      <c r="G311">
        <f>SUMIFS(HoldHistory!Q:Q, HoldHistory!A:A, A311, HoldHistory!M:M, "Structures Pre-SAM")</f>
        <v>0</v>
      </c>
      <c r="H311">
        <f>SUMIFS(HoldHistory!Q:Q, HoldHistory!A:A, A311, HoldHistory!M:M, "Structures SAM")</f>
        <v>0</v>
      </c>
      <c r="I311">
        <f>SUMIFS(HoldHistory!Q:Q, HoldHistory!A:A, A311, HoldHistory!M:M, "Final Design Review")</f>
        <v>0</v>
      </c>
    </row>
    <row r="312" spans="1:9" x14ac:dyDescent="0.35">
      <c r="A312" t="str">
        <v>CAS-231645-Y6Q0Z3</v>
      </c>
      <c r="B312">
        <f>SUMIFS(HoldHistory!Q:Q, HoldHistory!A:A, A312, HoldHistory!M:M, "Triage")</f>
        <v>6</v>
      </c>
      <c r="C312">
        <f>SUMIFS(HoldHistory!Q:Q, HoldHistory!A:A, A312, HoldHistory!M:M, "Task Plan")</f>
        <v>0</v>
      </c>
      <c r="D312">
        <f>SUMIFS(HoldHistory!Q:Q, HoldHistory!A:A, A312, HoldHistory!M:M, "Initial Design Review")</f>
        <v>0</v>
      </c>
      <c r="E312">
        <f>SUMIFS(HoldHistory!Q:Q, HoldHistory!A:A, A312, HoldHistory!M:M, "ReCAP")</f>
        <v>0</v>
      </c>
      <c r="F312">
        <f>SUMIFS(HoldHistory!Q:Q, HoldHistory!A:A, A312, HoldHistory!M:M, "Draft EA")</f>
        <v>0</v>
      </c>
      <c r="G312">
        <f>SUMIFS(HoldHistory!Q:Q, HoldHistory!A:A, A312, HoldHistory!M:M, "Structures Pre-SAM")</f>
        <v>0</v>
      </c>
      <c r="H312">
        <f>SUMIFS(HoldHistory!Q:Q, HoldHistory!A:A, A312, HoldHistory!M:M, "Structures SAM")</f>
        <v>0</v>
      </c>
      <c r="I312">
        <f>SUMIFS(HoldHistory!Q:Q, HoldHistory!A:A, A312, HoldHistory!M:M, "Final Design Review")</f>
        <v>0</v>
      </c>
    </row>
    <row r="313" spans="1:9" x14ac:dyDescent="0.35">
      <c r="A313" t="str">
        <v>CAS-231792-B2Y8V8</v>
      </c>
      <c r="B313">
        <f>SUMIFS(HoldHistory!Q:Q, HoldHistory!A:A, A313, HoldHistory!M:M, "Triage")</f>
        <v>29</v>
      </c>
      <c r="C313">
        <f>SUMIFS(HoldHistory!Q:Q, HoldHistory!A:A, A313, HoldHistory!M:M, "Task Plan")</f>
        <v>0</v>
      </c>
      <c r="D313">
        <f>SUMIFS(HoldHistory!Q:Q, HoldHistory!A:A, A313, HoldHistory!M:M, "Initial Design Review")</f>
        <v>0</v>
      </c>
      <c r="E313">
        <f>SUMIFS(HoldHistory!Q:Q, HoldHistory!A:A, A313, HoldHistory!M:M, "ReCAP")</f>
        <v>0</v>
      </c>
      <c r="F313">
        <f>SUMIFS(HoldHistory!Q:Q, HoldHistory!A:A, A313, HoldHistory!M:M, "Draft EA")</f>
        <v>0</v>
      </c>
      <c r="G313">
        <f>SUMIFS(HoldHistory!Q:Q, HoldHistory!A:A, A313, HoldHistory!M:M, "Structures Pre-SAM")</f>
        <v>0</v>
      </c>
      <c r="H313">
        <f>SUMIFS(HoldHistory!Q:Q, HoldHistory!A:A, A313, HoldHistory!M:M, "Structures SAM")</f>
        <v>0</v>
      </c>
      <c r="I313">
        <f>SUMIFS(HoldHistory!Q:Q, HoldHistory!A:A, A313, HoldHistory!M:M, "Final Design Review")</f>
        <v>0</v>
      </c>
    </row>
    <row r="314" spans="1:9" x14ac:dyDescent="0.35">
      <c r="A314" t="str">
        <v>CAS-231811-K6G5V8</v>
      </c>
      <c r="B314">
        <f>SUMIFS(HoldHistory!Q:Q, HoldHistory!A:A, A314, HoldHistory!M:M, "Triage")</f>
        <v>28</v>
      </c>
      <c r="C314">
        <f>SUMIFS(HoldHistory!Q:Q, HoldHistory!A:A, A314, HoldHistory!M:M, "Task Plan")</f>
        <v>2</v>
      </c>
      <c r="D314">
        <f>SUMIFS(HoldHistory!Q:Q, HoldHistory!A:A, A314, HoldHistory!M:M, "Initial Design Review")</f>
        <v>0</v>
      </c>
      <c r="E314">
        <f>SUMIFS(HoldHistory!Q:Q, HoldHistory!A:A, A314, HoldHistory!M:M, "ReCAP")</f>
        <v>0</v>
      </c>
      <c r="F314">
        <f>SUMIFS(HoldHistory!Q:Q, HoldHistory!A:A, A314, HoldHistory!M:M, "Draft EA")</f>
        <v>0</v>
      </c>
      <c r="G314">
        <f>SUMIFS(HoldHistory!Q:Q, HoldHistory!A:A, A314, HoldHistory!M:M, "Structures Pre-SAM")</f>
        <v>0</v>
      </c>
      <c r="H314">
        <f>SUMIFS(HoldHistory!Q:Q, HoldHistory!A:A, A314, HoldHistory!M:M, "Structures SAM")</f>
        <v>0</v>
      </c>
      <c r="I314">
        <f>SUMIFS(HoldHistory!Q:Q, HoldHistory!A:A, A314, HoldHistory!M:M, "Final Design Review")</f>
        <v>0</v>
      </c>
    </row>
    <row r="315" spans="1:9" x14ac:dyDescent="0.35">
      <c r="A315" t="str">
        <v>CAS-231818-M1J0B1</v>
      </c>
      <c r="B315">
        <f>SUMIFS(HoldHistory!Q:Q, HoldHistory!A:A, A315, HoldHistory!M:M, "Triage")</f>
        <v>9.9171915393526433</v>
      </c>
      <c r="C315">
        <f>SUMIFS(HoldHistory!Q:Q, HoldHistory!A:A, A315, HoldHistory!M:M, "Task Plan")</f>
        <v>0</v>
      </c>
      <c r="D315">
        <f>SUMIFS(HoldHistory!Q:Q, HoldHistory!A:A, A315, HoldHistory!M:M, "Initial Design Review")</f>
        <v>0</v>
      </c>
      <c r="E315">
        <f>SUMIFS(HoldHistory!Q:Q, HoldHistory!A:A, A315, HoldHistory!M:M, "ReCAP")</f>
        <v>0</v>
      </c>
      <c r="F315">
        <f>SUMIFS(HoldHistory!Q:Q, HoldHistory!A:A, A315, HoldHistory!M:M, "Draft EA")</f>
        <v>0</v>
      </c>
      <c r="G315">
        <f>SUMIFS(HoldHistory!Q:Q, HoldHistory!A:A, A315, HoldHistory!M:M, "Structures Pre-SAM")</f>
        <v>0</v>
      </c>
      <c r="H315">
        <f>SUMIFS(HoldHistory!Q:Q, HoldHistory!A:A, A315, HoldHistory!M:M, "Structures SAM")</f>
        <v>0</v>
      </c>
      <c r="I315">
        <f>SUMIFS(HoldHistory!Q:Q, HoldHistory!A:A, A315, HoldHistory!M:M, "Final Design Review")</f>
        <v>0</v>
      </c>
    </row>
    <row r="316" spans="1:9" x14ac:dyDescent="0.35">
      <c r="A316" t="str">
        <v>CAS-231944-C2X6D7</v>
      </c>
      <c r="B316">
        <f>SUMIFS(HoldHistory!Q:Q, HoldHistory!A:A, A316, HoldHistory!M:M, "Triage")</f>
        <v>0</v>
      </c>
      <c r="C316">
        <f>SUMIFS(HoldHistory!Q:Q, HoldHistory!A:A, A316, HoldHistory!M:M, "Task Plan")</f>
        <v>65</v>
      </c>
      <c r="D316">
        <f>SUMIFS(HoldHistory!Q:Q, HoldHistory!A:A, A316, HoldHistory!M:M, "Initial Design Review")</f>
        <v>0</v>
      </c>
      <c r="E316">
        <f>SUMIFS(HoldHistory!Q:Q, HoldHistory!A:A, A316, HoldHistory!M:M, "ReCAP")</f>
        <v>0</v>
      </c>
      <c r="F316">
        <f>SUMIFS(HoldHistory!Q:Q, HoldHistory!A:A, A316, HoldHistory!M:M, "Draft EA")</f>
        <v>0</v>
      </c>
      <c r="G316">
        <f>SUMIFS(HoldHistory!Q:Q, HoldHistory!A:A, A316, HoldHistory!M:M, "Structures Pre-SAM")</f>
        <v>3</v>
      </c>
      <c r="H316">
        <f>SUMIFS(HoldHistory!Q:Q, HoldHistory!A:A, A316, HoldHistory!M:M, "Structures SAM")</f>
        <v>0</v>
      </c>
      <c r="I316">
        <f>SUMIFS(HoldHistory!Q:Q, HoldHistory!A:A, A316, HoldHistory!M:M, "Final Design Review")</f>
        <v>0</v>
      </c>
    </row>
    <row r="317" spans="1:9" x14ac:dyDescent="0.35">
      <c r="A317" t="str">
        <v>CAS-231962-F8V8T4</v>
      </c>
      <c r="B317">
        <f>SUMIFS(HoldHistory!Q:Q, HoldHistory!A:A, A317, HoldHistory!M:M, "Triage")</f>
        <v>16</v>
      </c>
      <c r="C317">
        <f>SUMIFS(HoldHistory!Q:Q, HoldHistory!A:A, A317, HoldHistory!M:M, "Task Plan")</f>
        <v>0</v>
      </c>
      <c r="D317">
        <f>SUMIFS(HoldHistory!Q:Q, HoldHistory!A:A, A317, HoldHistory!M:M, "Initial Design Review")</f>
        <v>0</v>
      </c>
      <c r="E317">
        <f>SUMIFS(HoldHistory!Q:Q, HoldHistory!A:A, A317, HoldHistory!M:M, "ReCAP")</f>
        <v>0</v>
      </c>
      <c r="F317">
        <f>SUMIFS(HoldHistory!Q:Q, HoldHistory!A:A, A317, HoldHistory!M:M, "Draft EA")</f>
        <v>0</v>
      </c>
      <c r="G317">
        <f>SUMIFS(HoldHistory!Q:Q, HoldHistory!A:A, A317, HoldHistory!M:M, "Structures Pre-SAM")</f>
        <v>0</v>
      </c>
      <c r="H317">
        <f>SUMIFS(HoldHistory!Q:Q, HoldHistory!A:A, A317, HoldHistory!M:M, "Structures SAM")</f>
        <v>0</v>
      </c>
      <c r="I317">
        <f>SUMIFS(HoldHistory!Q:Q, HoldHistory!A:A, A317, HoldHistory!M:M, "Final Design Review")</f>
        <v>0</v>
      </c>
    </row>
    <row r="318" spans="1:9" x14ac:dyDescent="0.35">
      <c r="A318" t="str">
        <v>CAS-232095-D6M8L4</v>
      </c>
      <c r="B318">
        <f>SUMIFS(HoldHistory!Q:Q, HoldHistory!A:A, A318, HoldHistory!M:M, "Triage")</f>
        <v>0</v>
      </c>
      <c r="C318">
        <f>SUMIFS(HoldHistory!Q:Q, HoldHistory!A:A, A318, HoldHistory!M:M, "Task Plan")</f>
        <v>0</v>
      </c>
      <c r="D318">
        <f>SUMIFS(HoldHistory!Q:Q, HoldHistory!A:A, A318, HoldHistory!M:M, "Initial Design Review")</f>
        <v>0</v>
      </c>
      <c r="E318">
        <f>SUMIFS(HoldHistory!Q:Q, HoldHistory!A:A, A318, HoldHistory!M:M, "ReCAP")</f>
        <v>0</v>
      </c>
      <c r="F318">
        <f>SUMIFS(HoldHistory!Q:Q, HoldHistory!A:A, A318, HoldHistory!M:M, "Draft EA")</f>
        <v>0</v>
      </c>
      <c r="G318">
        <f>SUMIFS(HoldHistory!Q:Q, HoldHistory!A:A, A318, HoldHistory!M:M, "Structures Pre-SAM")</f>
        <v>1</v>
      </c>
      <c r="H318">
        <f>SUMIFS(HoldHistory!Q:Q, HoldHistory!A:A, A318, HoldHistory!M:M, "Structures SAM")</f>
        <v>0</v>
      </c>
      <c r="I318">
        <f>SUMIFS(HoldHistory!Q:Q, HoldHistory!A:A, A318, HoldHistory!M:M, "Final Design Review")</f>
        <v>0</v>
      </c>
    </row>
    <row r="319" spans="1:9" x14ac:dyDescent="0.35">
      <c r="A319" t="str">
        <v>CAS-232720-Q9F9R3</v>
      </c>
      <c r="B319">
        <f>SUMIFS(HoldHistory!Q:Q, HoldHistory!A:A, A319, HoldHistory!M:M, "Triage")</f>
        <v>21</v>
      </c>
      <c r="C319">
        <f>SUMIFS(HoldHistory!Q:Q, HoldHistory!A:A, A319, HoldHistory!M:M, "Task Plan")</f>
        <v>0</v>
      </c>
      <c r="D319">
        <f>SUMIFS(HoldHistory!Q:Q, HoldHistory!A:A, A319, HoldHistory!M:M, "Initial Design Review")</f>
        <v>0</v>
      </c>
      <c r="E319">
        <f>SUMIFS(HoldHistory!Q:Q, HoldHistory!A:A, A319, HoldHistory!M:M, "ReCAP")</f>
        <v>0</v>
      </c>
      <c r="F319">
        <f>SUMIFS(HoldHistory!Q:Q, HoldHistory!A:A, A319, HoldHistory!M:M, "Draft EA")</f>
        <v>0</v>
      </c>
      <c r="G319">
        <f>SUMIFS(HoldHistory!Q:Q, HoldHistory!A:A, A319, HoldHistory!M:M, "Structures Pre-SAM")</f>
        <v>0</v>
      </c>
      <c r="H319">
        <f>SUMIFS(HoldHistory!Q:Q, HoldHistory!A:A, A319, HoldHistory!M:M, "Structures SAM")</f>
        <v>0</v>
      </c>
      <c r="I319">
        <f>SUMIFS(HoldHistory!Q:Q, HoldHistory!A:A, A319, HoldHistory!M:M, "Final Design Review")</f>
        <v>0</v>
      </c>
    </row>
    <row r="320" spans="1:9" x14ac:dyDescent="0.35">
      <c r="A320" t="str">
        <v>CAS-233056-Q1C1R7</v>
      </c>
      <c r="B320">
        <f>SUMIFS(HoldHistory!Q:Q, HoldHistory!A:A, A320, HoldHistory!M:M, "Triage")</f>
        <v>0</v>
      </c>
      <c r="C320">
        <f>SUMIFS(HoldHistory!Q:Q, HoldHistory!A:A, A320, HoldHistory!M:M, "Task Plan")</f>
        <v>26</v>
      </c>
      <c r="D320">
        <f>SUMIFS(HoldHistory!Q:Q, HoldHistory!A:A, A320, HoldHistory!M:M, "Initial Design Review")</f>
        <v>0</v>
      </c>
      <c r="E320">
        <f>SUMIFS(HoldHistory!Q:Q, HoldHistory!A:A, A320, HoldHistory!M:M, "ReCAP")</f>
        <v>0</v>
      </c>
      <c r="F320">
        <f>SUMIFS(HoldHistory!Q:Q, HoldHistory!A:A, A320, HoldHistory!M:M, "Draft EA")</f>
        <v>0</v>
      </c>
      <c r="G320">
        <f>SUMIFS(HoldHistory!Q:Q, HoldHistory!A:A, A320, HoldHistory!M:M, "Structures Pre-SAM")</f>
        <v>0</v>
      </c>
      <c r="H320">
        <f>SUMIFS(HoldHistory!Q:Q, HoldHistory!A:A, A320, HoldHistory!M:M, "Structures SAM")</f>
        <v>0</v>
      </c>
      <c r="I320">
        <f>SUMIFS(HoldHistory!Q:Q, HoldHistory!A:A, A320, HoldHistory!M:M, "Final Design Review")</f>
        <v>0</v>
      </c>
    </row>
    <row r="321" spans="1:9" x14ac:dyDescent="0.35">
      <c r="A321" t="str">
        <v>CAS-233136-Z0S2N5</v>
      </c>
      <c r="B321">
        <f>SUMIFS(HoldHistory!Q:Q, HoldHistory!A:A, A321, HoldHistory!M:M, "Triage")</f>
        <v>20</v>
      </c>
      <c r="C321">
        <f>SUMIFS(HoldHistory!Q:Q, HoldHistory!A:A, A321, HoldHistory!M:M, "Task Plan")</f>
        <v>0</v>
      </c>
      <c r="D321">
        <f>SUMIFS(HoldHistory!Q:Q, HoldHistory!A:A, A321, HoldHistory!M:M, "Initial Design Review")</f>
        <v>0</v>
      </c>
      <c r="E321">
        <f>SUMIFS(HoldHistory!Q:Q, HoldHistory!A:A, A321, HoldHistory!M:M, "ReCAP")</f>
        <v>0</v>
      </c>
      <c r="F321">
        <f>SUMIFS(HoldHistory!Q:Q, HoldHistory!A:A, A321, HoldHistory!M:M, "Draft EA")</f>
        <v>0</v>
      </c>
      <c r="G321">
        <f>SUMIFS(HoldHistory!Q:Q, HoldHistory!A:A, A321, HoldHistory!M:M, "Structures Pre-SAM")</f>
        <v>0</v>
      </c>
      <c r="H321">
        <f>SUMIFS(HoldHistory!Q:Q, HoldHistory!A:A, A321, HoldHistory!M:M, "Structures SAM")</f>
        <v>0</v>
      </c>
      <c r="I321">
        <f>SUMIFS(HoldHistory!Q:Q, HoldHistory!A:A, A321, HoldHistory!M:M, "Final Design Review")</f>
        <v>0</v>
      </c>
    </row>
    <row r="322" spans="1:9" x14ac:dyDescent="0.35">
      <c r="A322" t="str">
        <v>CAS-233181-H6K3G6</v>
      </c>
      <c r="B322">
        <f>SUMIFS(HoldHistory!Q:Q, HoldHistory!A:A, A322, HoldHistory!M:M, "Triage")</f>
        <v>0</v>
      </c>
      <c r="C322">
        <f>SUMIFS(HoldHistory!Q:Q, HoldHistory!A:A, A322, HoldHistory!M:M, "Task Plan")</f>
        <v>39</v>
      </c>
      <c r="D322">
        <f>SUMIFS(HoldHistory!Q:Q, HoldHistory!A:A, A322, HoldHistory!M:M, "Initial Design Review")</f>
        <v>0</v>
      </c>
      <c r="E322">
        <f>SUMIFS(HoldHistory!Q:Q, HoldHistory!A:A, A322, HoldHistory!M:M, "ReCAP")</f>
        <v>0</v>
      </c>
      <c r="F322">
        <f>SUMIFS(HoldHistory!Q:Q, HoldHistory!A:A, A322, HoldHistory!M:M, "Draft EA")</f>
        <v>0</v>
      </c>
      <c r="G322">
        <f>SUMIFS(HoldHistory!Q:Q, HoldHistory!A:A, A322, HoldHistory!M:M, "Structures Pre-SAM")</f>
        <v>38</v>
      </c>
      <c r="H322">
        <f>SUMIFS(HoldHistory!Q:Q, HoldHistory!A:A, A322, HoldHistory!M:M, "Structures SAM")</f>
        <v>0</v>
      </c>
      <c r="I322">
        <f>SUMIFS(HoldHistory!Q:Q, HoldHistory!A:A, A322, HoldHistory!M:M, "Final Design Review")</f>
        <v>0</v>
      </c>
    </row>
    <row r="323" spans="1:9" x14ac:dyDescent="0.35">
      <c r="A323" t="str">
        <v>CAS-233677-R7R4G2</v>
      </c>
      <c r="B323">
        <f>SUMIFS(HoldHistory!Q:Q, HoldHistory!A:A, A323, HoldHistory!M:M, "Triage")</f>
        <v>4</v>
      </c>
      <c r="C323">
        <f>SUMIFS(HoldHistory!Q:Q, HoldHistory!A:A, A323, HoldHistory!M:M, "Task Plan")</f>
        <v>0</v>
      </c>
      <c r="D323">
        <f>SUMIFS(HoldHistory!Q:Q, HoldHistory!A:A, A323, HoldHistory!M:M, "Initial Design Review")</f>
        <v>0</v>
      </c>
      <c r="E323">
        <f>SUMIFS(HoldHistory!Q:Q, HoldHistory!A:A, A323, HoldHistory!M:M, "ReCAP")</f>
        <v>0</v>
      </c>
      <c r="F323">
        <f>SUMIFS(HoldHistory!Q:Q, HoldHistory!A:A, A323, HoldHistory!M:M, "Draft EA")</f>
        <v>0</v>
      </c>
      <c r="G323">
        <f>SUMIFS(HoldHistory!Q:Q, HoldHistory!A:A, A323, HoldHistory!M:M, "Structures Pre-SAM")</f>
        <v>0</v>
      </c>
      <c r="H323">
        <f>SUMIFS(HoldHistory!Q:Q, HoldHistory!A:A, A323, HoldHistory!M:M, "Structures SAM")</f>
        <v>0</v>
      </c>
      <c r="I323">
        <f>SUMIFS(HoldHistory!Q:Q, HoldHistory!A:A, A323, HoldHistory!M:M, "Final Design Review")</f>
        <v>0</v>
      </c>
    </row>
    <row r="324" spans="1:9" x14ac:dyDescent="0.35">
      <c r="A324" t="str">
        <v>CAS-234013-G6X7T7</v>
      </c>
      <c r="B324">
        <f>SUMIFS(HoldHistory!Q:Q, HoldHistory!A:A, A324, HoldHistory!M:M, "Triage")</f>
        <v>0</v>
      </c>
      <c r="C324">
        <f>SUMIFS(HoldHistory!Q:Q, HoldHistory!A:A, A324, HoldHistory!M:M, "Task Plan")</f>
        <v>0</v>
      </c>
      <c r="D324">
        <f>SUMIFS(HoldHistory!Q:Q, HoldHistory!A:A, A324, HoldHistory!M:M, "Initial Design Review")</f>
        <v>0</v>
      </c>
      <c r="E324">
        <f>SUMIFS(HoldHistory!Q:Q, HoldHistory!A:A, A324, HoldHistory!M:M, "ReCAP")</f>
        <v>0</v>
      </c>
      <c r="F324">
        <f>SUMIFS(HoldHistory!Q:Q, HoldHistory!A:A, A324, HoldHistory!M:M, "Draft EA")</f>
        <v>0</v>
      </c>
      <c r="G324">
        <f>SUMIFS(HoldHistory!Q:Q, HoldHistory!A:A, A324, HoldHistory!M:M, "Structures Pre-SAM")</f>
        <v>0</v>
      </c>
      <c r="H324">
        <f>SUMIFS(HoldHistory!Q:Q, HoldHistory!A:A, A324, HoldHistory!M:M, "Structures SAM")</f>
        <v>2</v>
      </c>
      <c r="I324">
        <f>SUMIFS(HoldHistory!Q:Q, HoldHistory!A:A, A324, HoldHistory!M:M, "Final Design Review")</f>
        <v>0</v>
      </c>
    </row>
    <row r="325" spans="1:9" x14ac:dyDescent="0.35">
      <c r="A325" t="str">
        <v>CAS-234135-B9H9Z1</v>
      </c>
      <c r="B325">
        <f>SUMIFS(HoldHistory!Q:Q, HoldHistory!A:A, A325, HoldHistory!M:M, "Triage")</f>
        <v>0</v>
      </c>
      <c r="C325">
        <f>SUMIFS(HoldHistory!Q:Q, HoldHistory!A:A, A325, HoldHistory!M:M, "Task Plan")</f>
        <v>0</v>
      </c>
      <c r="D325">
        <f>SUMIFS(HoldHistory!Q:Q, HoldHistory!A:A, A325, HoldHistory!M:M, "Initial Design Review")</f>
        <v>0</v>
      </c>
      <c r="E325">
        <f>SUMIFS(HoldHistory!Q:Q, HoldHistory!A:A, A325, HoldHistory!M:M, "ReCAP")</f>
        <v>0</v>
      </c>
      <c r="F325">
        <f>SUMIFS(HoldHistory!Q:Q, HoldHistory!A:A, A325, HoldHistory!M:M, "Draft EA")</f>
        <v>0</v>
      </c>
      <c r="G325">
        <f>SUMIFS(HoldHistory!Q:Q, HoldHistory!A:A, A325, HoldHistory!M:M, "Structures Pre-SAM")</f>
        <v>0</v>
      </c>
      <c r="H325">
        <f>SUMIFS(HoldHistory!Q:Q, HoldHistory!A:A, A325, HoldHistory!M:M, "Structures SAM")</f>
        <v>15</v>
      </c>
      <c r="I325">
        <f>SUMIFS(HoldHistory!Q:Q, HoldHistory!A:A, A325, HoldHistory!M:M, "Final Design Review")</f>
        <v>0</v>
      </c>
    </row>
    <row r="326" spans="1:9" x14ac:dyDescent="0.35">
      <c r="A326" t="str">
        <v>CAS-234153-M1T2C8</v>
      </c>
      <c r="B326">
        <f>SUMIFS(HoldHistory!Q:Q, HoldHistory!A:A, A326, HoldHistory!M:M, "Triage")</f>
        <v>0</v>
      </c>
      <c r="C326">
        <f>SUMIFS(HoldHistory!Q:Q, HoldHistory!A:A, A326, HoldHistory!M:M, "Task Plan")</f>
        <v>2</v>
      </c>
      <c r="D326">
        <f>SUMIFS(HoldHistory!Q:Q, HoldHistory!A:A, A326, HoldHistory!M:M, "Initial Design Review")</f>
        <v>0</v>
      </c>
      <c r="E326">
        <f>SUMIFS(HoldHistory!Q:Q, HoldHistory!A:A, A326, HoldHistory!M:M, "ReCAP")</f>
        <v>0</v>
      </c>
      <c r="F326">
        <f>SUMIFS(HoldHistory!Q:Q, HoldHistory!A:A, A326, HoldHistory!M:M, "Draft EA")</f>
        <v>0</v>
      </c>
      <c r="G326">
        <f>SUMIFS(HoldHistory!Q:Q, HoldHistory!A:A, A326, HoldHistory!M:M, "Structures Pre-SAM")</f>
        <v>0</v>
      </c>
      <c r="H326">
        <f>SUMIFS(HoldHistory!Q:Q, HoldHistory!A:A, A326, HoldHistory!M:M, "Structures SAM")</f>
        <v>0</v>
      </c>
      <c r="I326">
        <f>SUMIFS(HoldHistory!Q:Q, HoldHistory!A:A, A326, HoldHistory!M:M, "Final Design Review")</f>
        <v>0</v>
      </c>
    </row>
    <row r="327" spans="1:9" x14ac:dyDescent="0.35">
      <c r="A327" t="str">
        <v>CAS-234263-P5S9B5</v>
      </c>
      <c r="B327">
        <f>SUMIFS(HoldHistory!Q:Q, HoldHistory!A:A, A327, HoldHistory!M:M, "Triage")</f>
        <v>0</v>
      </c>
      <c r="C327">
        <f>SUMIFS(HoldHistory!Q:Q, HoldHistory!A:A, A327, HoldHistory!M:M, "Task Plan")</f>
        <v>0</v>
      </c>
      <c r="D327">
        <f>SUMIFS(HoldHistory!Q:Q, HoldHistory!A:A, A327, HoldHistory!M:M, "Initial Design Review")</f>
        <v>0</v>
      </c>
      <c r="E327">
        <f>SUMIFS(HoldHistory!Q:Q, HoldHistory!A:A, A327, HoldHistory!M:M, "ReCAP")</f>
        <v>0</v>
      </c>
      <c r="F327">
        <f>SUMIFS(HoldHistory!Q:Q, HoldHistory!A:A, A327, HoldHistory!M:M, "Draft EA")</f>
        <v>0</v>
      </c>
      <c r="G327">
        <f>SUMIFS(HoldHistory!Q:Q, HoldHistory!A:A, A327, HoldHistory!M:M, "Structures Pre-SAM")</f>
        <v>0</v>
      </c>
      <c r="H327">
        <f>SUMIFS(HoldHistory!Q:Q, HoldHistory!A:A, A327, HoldHistory!M:M, "Structures SAM")</f>
        <v>0</v>
      </c>
      <c r="I327">
        <f>SUMIFS(HoldHistory!Q:Q, HoldHistory!A:A, A327, HoldHistory!M:M, "Final Design Review")</f>
        <v>3</v>
      </c>
    </row>
    <row r="328" spans="1:9" x14ac:dyDescent="0.35">
      <c r="A328" t="str">
        <v>CAS-234274-Q4Y5B4</v>
      </c>
      <c r="B328">
        <f>SUMIFS(HoldHistory!Q:Q, HoldHistory!A:A, A328, HoldHistory!M:M, "Triage")</f>
        <v>0</v>
      </c>
      <c r="C328">
        <f>SUMIFS(HoldHistory!Q:Q, HoldHistory!A:A, A328, HoldHistory!M:M, "Task Plan")</f>
        <v>35</v>
      </c>
      <c r="D328">
        <f>SUMIFS(HoldHistory!Q:Q, HoldHistory!A:A, A328, HoldHistory!M:M, "Initial Design Review")</f>
        <v>0</v>
      </c>
      <c r="E328">
        <f>SUMIFS(HoldHistory!Q:Q, HoldHistory!A:A, A328, HoldHistory!M:M, "ReCAP")</f>
        <v>0</v>
      </c>
      <c r="F328">
        <f>SUMIFS(HoldHistory!Q:Q, HoldHistory!A:A, A328, HoldHistory!M:M, "Draft EA")</f>
        <v>0</v>
      </c>
      <c r="G328">
        <f>SUMIFS(HoldHistory!Q:Q, HoldHistory!A:A, A328, HoldHistory!M:M, "Structures Pre-SAM")</f>
        <v>0</v>
      </c>
      <c r="H328">
        <f>SUMIFS(HoldHistory!Q:Q, HoldHistory!A:A, A328, HoldHistory!M:M, "Structures SAM")</f>
        <v>0</v>
      </c>
      <c r="I328">
        <f>SUMIFS(HoldHistory!Q:Q, HoldHistory!A:A, A328, HoldHistory!M:M, "Final Design Review")</f>
        <v>0</v>
      </c>
    </row>
    <row r="329" spans="1:9" x14ac:dyDescent="0.35">
      <c r="A329" t="str">
        <v>CAS-234344-V7Q0G9</v>
      </c>
      <c r="B329">
        <f>SUMIFS(HoldHistory!Q:Q, HoldHistory!A:A, A329, HoldHistory!M:M, "Triage")</f>
        <v>20.849426967593899</v>
      </c>
      <c r="C329">
        <f>SUMIFS(HoldHistory!Q:Q, HoldHistory!A:A, A329, HoldHistory!M:M, "Task Plan")</f>
        <v>0</v>
      </c>
      <c r="D329">
        <f>SUMIFS(HoldHistory!Q:Q, HoldHistory!A:A, A329, HoldHistory!M:M, "Initial Design Review")</f>
        <v>0</v>
      </c>
      <c r="E329">
        <f>SUMIFS(HoldHistory!Q:Q, HoldHistory!A:A, A329, HoldHistory!M:M, "ReCAP")</f>
        <v>0</v>
      </c>
      <c r="F329">
        <f>SUMIFS(HoldHistory!Q:Q, HoldHistory!A:A, A329, HoldHistory!M:M, "Draft EA")</f>
        <v>0</v>
      </c>
      <c r="G329">
        <f>SUMIFS(HoldHistory!Q:Q, HoldHistory!A:A, A329, HoldHistory!M:M, "Structures Pre-SAM")</f>
        <v>0</v>
      </c>
      <c r="H329">
        <f>SUMIFS(HoldHistory!Q:Q, HoldHistory!A:A, A329, HoldHistory!M:M, "Structures SAM")</f>
        <v>0</v>
      </c>
      <c r="I329">
        <f>SUMIFS(HoldHistory!Q:Q, HoldHistory!A:A, A329, HoldHistory!M:M, "Final Design Review")</f>
        <v>0</v>
      </c>
    </row>
    <row r="330" spans="1:9" x14ac:dyDescent="0.35">
      <c r="A330" t="str">
        <v>CAS-234506-G1J1K4</v>
      </c>
      <c r="B330">
        <f>SUMIFS(HoldHistory!Q:Q, HoldHistory!A:A, A330, HoldHistory!M:M, "Triage")</f>
        <v>20.850135231477907</v>
      </c>
      <c r="C330">
        <f>SUMIFS(HoldHistory!Q:Q, HoldHistory!A:A, A330, HoldHistory!M:M, "Task Plan")</f>
        <v>0</v>
      </c>
      <c r="D330">
        <f>SUMIFS(HoldHistory!Q:Q, HoldHistory!A:A, A330, HoldHistory!M:M, "Initial Design Review")</f>
        <v>0</v>
      </c>
      <c r="E330">
        <f>SUMIFS(HoldHistory!Q:Q, HoldHistory!A:A, A330, HoldHistory!M:M, "ReCAP")</f>
        <v>0</v>
      </c>
      <c r="F330">
        <f>SUMIFS(HoldHistory!Q:Q, HoldHistory!A:A, A330, HoldHistory!M:M, "Draft EA")</f>
        <v>0</v>
      </c>
      <c r="G330">
        <f>SUMIFS(HoldHistory!Q:Q, HoldHistory!A:A, A330, HoldHistory!M:M, "Structures Pre-SAM")</f>
        <v>0</v>
      </c>
      <c r="H330">
        <f>SUMIFS(HoldHistory!Q:Q, HoldHistory!A:A, A330, HoldHistory!M:M, "Structures SAM")</f>
        <v>0</v>
      </c>
      <c r="I330">
        <f>SUMIFS(HoldHistory!Q:Q, HoldHistory!A:A, A330, HoldHistory!M:M, "Final Design Review")</f>
        <v>0</v>
      </c>
    </row>
    <row r="331" spans="1:9" x14ac:dyDescent="0.35">
      <c r="A331" t="str">
        <v>CAS-234520-R7C0D7</v>
      </c>
      <c r="B331">
        <f>SUMIFS(HoldHistory!Q:Q, HoldHistory!A:A, A331, HoldHistory!M:M, "Triage")</f>
        <v>41.703837013890734</v>
      </c>
      <c r="C331">
        <f>SUMIFS(HoldHistory!Q:Q, HoldHistory!A:A, A331, HoldHistory!M:M, "Task Plan")</f>
        <v>0</v>
      </c>
      <c r="D331">
        <f>SUMIFS(HoldHistory!Q:Q, HoldHistory!A:A, A331, HoldHistory!M:M, "Initial Design Review")</f>
        <v>0</v>
      </c>
      <c r="E331">
        <f>SUMIFS(HoldHistory!Q:Q, HoldHistory!A:A, A331, HoldHistory!M:M, "ReCAP")</f>
        <v>0</v>
      </c>
      <c r="F331">
        <f>SUMIFS(HoldHistory!Q:Q, HoldHistory!A:A, A331, HoldHistory!M:M, "Draft EA")</f>
        <v>0</v>
      </c>
      <c r="G331">
        <f>SUMIFS(HoldHistory!Q:Q, HoldHistory!A:A, A331, HoldHistory!M:M, "Structures Pre-SAM")</f>
        <v>0</v>
      </c>
      <c r="H331">
        <f>SUMIFS(HoldHistory!Q:Q, HoldHistory!A:A, A331, HoldHistory!M:M, "Structures SAM")</f>
        <v>1.0425310648206505</v>
      </c>
      <c r="I331">
        <f>SUMIFS(HoldHistory!Q:Q, HoldHistory!A:A, A331, HoldHistory!M:M, "Final Design Review")</f>
        <v>0</v>
      </c>
    </row>
    <row r="332" spans="1:9" x14ac:dyDescent="0.35">
      <c r="A332" t="str">
        <v>CAS-234961-C4B3Z1</v>
      </c>
      <c r="B332">
        <f>SUMIFS(HoldHistory!Q:Q, HoldHistory!A:A, A332, HoldHistory!M:M, "Triage")</f>
        <v>0</v>
      </c>
      <c r="C332">
        <f>SUMIFS(HoldHistory!Q:Q, HoldHistory!A:A, A332, HoldHistory!M:M, "Task Plan")</f>
        <v>43</v>
      </c>
      <c r="D332">
        <f>SUMIFS(HoldHistory!Q:Q, HoldHistory!A:A, A332, HoldHistory!M:M, "Initial Design Review")</f>
        <v>0</v>
      </c>
      <c r="E332">
        <f>SUMIFS(HoldHistory!Q:Q, HoldHistory!A:A, A332, HoldHistory!M:M, "ReCAP")</f>
        <v>0</v>
      </c>
      <c r="F332">
        <f>SUMIFS(HoldHistory!Q:Q, HoldHistory!A:A, A332, HoldHistory!M:M, "Draft EA")</f>
        <v>0</v>
      </c>
      <c r="G332">
        <f>SUMIFS(HoldHistory!Q:Q, HoldHistory!A:A, A332, HoldHistory!M:M, "Structures Pre-SAM")</f>
        <v>0</v>
      </c>
      <c r="H332">
        <f>SUMIFS(HoldHistory!Q:Q, HoldHistory!A:A, A332, HoldHistory!M:M, "Structures SAM")</f>
        <v>0</v>
      </c>
      <c r="I332">
        <f>SUMIFS(HoldHistory!Q:Q, HoldHistory!A:A, A332, HoldHistory!M:M, "Final Design Review")</f>
        <v>0</v>
      </c>
    </row>
    <row r="333" spans="1:9" x14ac:dyDescent="0.35">
      <c r="A333" t="str">
        <v>CAS-234999-V0P6T0</v>
      </c>
      <c r="B333">
        <f>SUMIFS(HoldHistory!Q:Q, HoldHistory!A:A, A333, HoldHistory!M:M, "Triage")</f>
        <v>14</v>
      </c>
      <c r="C333">
        <f>SUMIFS(HoldHistory!Q:Q, HoldHistory!A:A, A333, HoldHistory!M:M, "Task Plan")</f>
        <v>0</v>
      </c>
      <c r="D333">
        <f>SUMIFS(HoldHistory!Q:Q, HoldHistory!A:A, A333, HoldHistory!M:M, "Initial Design Review")</f>
        <v>0</v>
      </c>
      <c r="E333">
        <f>SUMIFS(HoldHistory!Q:Q, HoldHistory!A:A, A333, HoldHistory!M:M, "ReCAP")</f>
        <v>0</v>
      </c>
      <c r="F333">
        <f>SUMIFS(HoldHistory!Q:Q, HoldHistory!A:A, A333, HoldHistory!M:M, "Draft EA")</f>
        <v>0</v>
      </c>
      <c r="G333">
        <f>SUMIFS(HoldHistory!Q:Q, HoldHistory!A:A, A333, HoldHistory!M:M, "Structures Pre-SAM")</f>
        <v>0</v>
      </c>
      <c r="H333">
        <f>SUMIFS(HoldHistory!Q:Q, HoldHistory!A:A, A333, HoldHistory!M:M, "Structures SAM")</f>
        <v>0</v>
      </c>
      <c r="I333">
        <f>SUMIFS(HoldHistory!Q:Q, HoldHistory!A:A, A333, HoldHistory!M:M, "Final Design Review")</f>
        <v>0</v>
      </c>
    </row>
    <row r="334" spans="1:9" x14ac:dyDescent="0.35">
      <c r="A334" t="str">
        <v>CAS-235093-D8W8M8</v>
      </c>
      <c r="B334">
        <f>SUMIFS(HoldHistory!Q:Q, HoldHistory!A:A, A334, HoldHistory!M:M, "Triage")</f>
        <v>0</v>
      </c>
      <c r="C334">
        <f>SUMIFS(HoldHistory!Q:Q, HoldHistory!A:A, A334, HoldHistory!M:M, "Task Plan")</f>
        <v>0</v>
      </c>
      <c r="D334">
        <f>SUMIFS(HoldHistory!Q:Q, HoldHistory!A:A, A334, HoldHistory!M:M, "Initial Design Review")</f>
        <v>0</v>
      </c>
      <c r="E334">
        <f>SUMIFS(HoldHistory!Q:Q, HoldHistory!A:A, A334, HoldHistory!M:M, "ReCAP")</f>
        <v>0</v>
      </c>
      <c r="F334">
        <f>SUMIFS(HoldHistory!Q:Q, HoldHistory!A:A, A334, HoldHistory!M:M, "Draft EA")</f>
        <v>10</v>
      </c>
      <c r="G334">
        <f>SUMIFS(HoldHistory!Q:Q, HoldHistory!A:A, A334, HoldHistory!M:M, "Structures Pre-SAM")</f>
        <v>0</v>
      </c>
      <c r="H334">
        <f>SUMIFS(HoldHistory!Q:Q, HoldHistory!A:A, A334, HoldHistory!M:M, "Structures SAM")</f>
        <v>0</v>
      </c>
      <c r="I334">
        <f>SUMIFS(HoldHistory!Q:Q, HoldHistory!A:A, A334, HoldHistory!M:M, "Final Design Review")</f>
        <v>0</v>
      </c>
    </row>
    <row r="335" spans="1:9" x14ac:dyDescent="0.35">
      <c r="A335" t="str">
        <v>CAS-235285-D6F5Y8</v>
      </c>
      <c r="B335">
        <f>SUMIFS(HoldHistory!Q:Q, HoldHistory!A:A, A335, HoldHistory!M:M, "Triage")</f>
        <v>0</v>
      </c>
      <c r="C335">
        <f>SUMIFS(HoldHistory!Q:Q, HoldHistory!A:A, A335, HoldHistory!M:M, "Task Plan")</f>
        <v>0</v>
      </c>
      <c r="D335">
        <f>SUMIFS(HoldHistory!Q:Q, HoldHistory!A:A, A335, HoldHistory!M:M, "Initial Design Review")</f>
        <v>0</v>
      </c>
      <c r="E335">
        <f>SUMIFS(HoldHistory!Q:Q, HoldHistory!A:A, A335, HoldHistory!M:M, "ReCAP")</f>
        <v>0</v>
      </c>
      <c r="F335">
        <f>SUMIFS(HoldHistory!Q:Q, HoldHistory!A:A, A335, HoldHistory!M:M, "Draft EA")</f>
        <v>0.13096011574089061</v>
      </c>
      <c r="G335">
        <f>SUMIFS(HoldHistory!Q:Q, HoldHistory!A:A, A335, HoldHistory!M:M, "Structures Pre-SAM")</f>
        <v>0</v>
      </c>
      <c r="H335">
        <f>SUMIFS(HoldHistory!Q:Q, HoldHistory!A:A, A335, HoldHistory!M:M, "Structures SAM")</f>
        <v>0</v>
      </c>
      <c r="I335">
        <f>SUMIFS(HoldHistory!Q:Q, HoldHistory!A:A, A335, HoldHistory!M:M, "Final Design Review")</f>
        <v>0</v>
      </c>
    </row>
    <row r="336" spans="1:9" x14ac:dyDescent="0.35">
      <c r="A336" t="str">
        <v>CAS-236065-V0M2F8</v>
      </c>
      <c r="B336">
        <f>SUMIFS(HoldHistory!Q:Q, HoldHistory!A:A, A336, HoldHistory!M:M, "Triage")</f>
        <v>42.037375694439106</v>
      </c>
      <c r="C336">
        <f>SUMIFS(HoldHistory!Q:Q, HoldHistory!A:A, A336, HoldHistory!M:M, "Task Plan")</f>
        <v>0</v>
      </c>
      <c r="D336">
        <f>SUMIFS(HoldHistory!Q:Q, HoldHistory!A:A, A336, HoldHistory!M:M, "Initial Design Review")</f>
        <v>0</v>
      </c>
      <c r="E336">
        <f>SUMIFS(HoldHistory!Q:Q, HoldHistory!A:A, A336, HoldHistory!M:M, "ReCAP")</f>
        <v>0</v>
      </c>
      <c r="F336">
        <f>SUMIFS(HoldHistory!Q:Q, HoldHistory!A:A, A336, HoldHistory!M:M, "Draft EA")</f>
        <v>0</v>
      </c>
      <c r="G336">
        <f>SUMIFS(HoldHistory!Q:Q, HoldHistory!A:A, A336, HoldHistory!M:M, "Structures Pre-SAM")</f>
        <v>6.2307712615729542</v>
      </c>
      <c r="H336">
        <f>SUMIFS(HoldHistory!Q:Q, HoldHistory!A:A, A336, HoldHistory!M:M, "Structures SAM")</f>
        <v>0</v>
      </c>
      <c r="I336">
        <f>SUMIFS(HoldHistory!Q:Q, HoldHistory!A:A, A336, HoldHistory!M:M, "Final Design Review")</f>
        <v>0</v>
      </c>
    </row>
    <row r="337" spans="1:9" x14ac:dyDescent="0.35">
      <c r="A337" t="str">
        <v>CAS-236588-C1G8F3</v>
      </c>
      <c r="B337">
        <f>SUMIFS(HoldHistory!Q:Q, HoldHistory!A:A, A337, HoldHistory!M:M, "Triage")</f>
        <v>0</v>
      </c>
      <c r="C337">
        <f>SUMIFS(HoldHistory!Q:Q, HoldHistory!A:A, A337, HoldHistory!M:M, "Task Plan")</f>
        <v>0</v>
      </c>
      <c r="D337">
        <f>SUMIFS(HoldHistory!Q:Q, HoldHistory!A:A, A337, HoldHistory!M:M, "Initial Design Review")</f>
        <v>0</v>
      </c>
      <c r="E337">
        <f>SUMIFS(HoldHistory!Q:Q, HoldHistory!A:A, A337, HoldHistory!M:M, "ReCAP")</f>
        <v>0</v>
      </c>
      <c r="F337">
        <f>SUMIFS(HoldHistory!Q:Q, HoldHistory!A:A, A337, HoldHistory!M:M, "Draft EA")</f>
        <v>0</v>
      </c>
      <c r="G337">
        <f>SUMIFS(HoldHistory!Q:Q, HoldHistory!A:A, A337, HoldHistory!M:M, "Structures Pre-SAM")</f>
        <v>0</v>
      </c>
      <c r="H337">
        <f>SUMIFS(HoldHistory!Q:Q, HoldHistory!A:A, A337, HoldHistory!M:M, "Structures SAM")</f>
        <v>6.0158615162072238</v>
      </c>
      <c r="I337">
        <f>SUMIFS(HoldHistory!Q:Q, HoldHistory!A:A, A337, HoldHistory!M:M, "Final Design Review")</f>
        <v>21.772723564812622</v>
      </c>
    </row>
    <row r="338" spans="1:9" x14ac:dyDescent="0.35">
      <c r="A338" t="str">
        <v>CAS-236764-S7Z9R0</v>
      </c>
      <c r="B338">
        <f>SUMIFS(HoldHistory!Q:Q, HoldHistory!A:A, A338, HoldHistory!M:M, "Triage")</f>
        <v>39</v>
      </c>
      <c r="C338">
        <f>SUMIFS(HoldHistory!Q:Q, HoldHistory!A:A, A338, HoldHistory!M:M, "Task Plan")</f>
        <v>0</v>
      </c>
      <c r="D338">
        <f>SUMIFS(HoldHistory!Q:Q, HoldHistory!A:A, A338, HoldHistory!M:M, "Initial Design Review")</f>
        <v>0</v>
      </c>
      <c r="E338">
        <f>SUMIFS(HoldHistory!Q:Q, HoldHistory!A:A, A338, HoldHistory!M:M, "ReCAP")</f>
        <v>0</v>
      </c>
      <c r="F338">
        <f>SUMIFS(HoldHistory!Q:Q, HoldHistory!A:A, A338, HoldHistory!M:M, "Draft EA")</f>
        <v>0</v>
      </c>
      <c r="G338">
        <f>SUMIFS(HoldHistory!Q:Q, HoldHistory!A:A, A338, HoldHistory!M:M, "Structures Pre-SAM")</f>
        <v>0</v>
      </c>
      <c r="H338">
        <f>SUMIFS(HoldHistory!Q:Q, HoldHistory!A:A, A338, HoldHistory!M:M, "Structures SAM")</f>
        <v>0</v>
      </c>
      <c r="I338">
        <f>SUMIFS(HoldHistory!Q:Q, HoldHistory!A:A, A338, HoldHistory!M:M, "Final Design Review")</f>
        <v>0</v>
      </c>
    </row>
    <row r="339" spans="1:9" x14ac:dyDescent="0.35">
      <c r="A339" t="str">
        <v>CAS-236766-H3Z3H0</v>
      </c>
      <c r="B339">
        <f>SUMIFS(HoldHistory!Q:Q, HoldHistory!A:A, A339, HoldHistory!M:M, "Triage")</f>
        <v>12</v>
      </c>
      <c r="C339">
        <f>SUMIFS(HoldHistory!Q:Q, HoldHistory!A:A, A339, HoldHistory!M:M, "Task Plan")</f>
        <v>0</v>
      </c>
      <c r="D339">
        <f>SUMIFS(HoldHistory!Q:Q, HoldHistory!A:A, A339, HoldHistory!M:M, "Initial Design Review")</f>
        <v>0</v>
      </c>
      <c r="E339">
        <f>SUMIFS(HoldHistory!Q:Q, HoldHistory!A:A, A339, HoldHistory!M:M, "ReCAP")</f>
        <v>0</v>
      </c>
      <c r="F339">
        <f>SUMIFS(HoldHistory!Q:Q, HoldHistory!A:A, A339, HoldHistory!M:M, "Draft EA")</f>
        <v>0</v>
      </c>
      <c r="G339">
        <f>SUMIFS(HoldHistory!Q:Q, HoldHistory!A:A, A339, HoldHistory!M:M, "Structures Pre-SAM")</f>
        <v>0</v>
      </c>
      <c r="H339">
        <f>SUMIFS(HoldHistory!Q:Q, HoldHistory!A:A, A339, HoldHistory!M:M, "Structures SAM")</f>
        <v>0</v>
      </c>
      <c r="I339">
        <f>SUMIFS(HoldHistory!Q:Q, HoldHistory!A:A, A339, HoldHistory!M:M, "Final Design Review")</f>
        <v>0</v>
      </c>
    </row>
    <row r="340" spans="1:9" x14ac:dyDescent="0.35">
      <c r="A340" t="str">
        <v>CAS-236948-F1Z4V5</v>
      </c>
      <c r="B340">
        <f>SUMIFS(HoldHistory!Q:Q, HoldHistory!A:A, A340, HoldHistory!M:M, "Triage")</f>
        <v>14</v>
      </c>
      <c r="C340">
        <f>SUMIFS(HoldHistory!Q:Q, HoldHistory!A:A, A340, HoldHistory!M:M, "Task Plan")</f>
        <v>0</v>
      </c>
      <c r="D340">
        <f>SUMIFS(HoldHistory!Q:Q, HoldHistory!A:A, A340, HoldHistory!M:M, "Initial Design Review")</f>
        <v>0</v>
      </c>
      <c r="E340">
        <f>SUMIFS(HoldHistory!Q:Q, HoldHistory!A:A, A340, HoldHistory!M:M, "ReCAP")</f>
        <v>0</v>
      </c>
      <c r="F340">
        <f>SUMIFS(HoldHistory!Q:Q, HoldHistory!A:A, A340, HoldHistory!M:M, "Draft EA")</f>
        <v>0</v>
      </c>
      <c r="G340">
        <f>SUMIFS(HoldHistory!Q:Q, HoldHistory!A:A, A340, HoldHistory!M:M, "Structures Pre-SAM")</f>
        <v>0</v>
      </c>
      <c r="H340">
        <f>SUMIFS(HoldHistory!Q:Q, HoldHistory!A:A, A340, HoldHistory!M:M, "Structures SAM")</f>
        <v>0</v>
      </c>
      <c r="I340">
        <f>SUMIFS(HoldHistory!Q:Q, HoldHistory!A:A, A340, HoldHistory!M:M, "Final Design Review")</f>
        <v>0</v>
      </c>
    </row>
    <row r="341" spans="1:9" x14ac:dyDescent="0.35">
      <c r="A341" t="str">
        <v>CAS-237959-Y4V7W9</v>
      </c>
      <c r="B341">
        <f>SUMIFS(HoldHistory!Q:Q, HoldHistory!A:A, A341, HoldHistory!M:M, "Triage")</f>
        <v>49</v>
      </c>
      <c r="C341">
        <f>SUMIFS(HoldHistory!Q:Q, HoldHistory!A:A, A341, HoldHistory!M:M, "Task Plan")</f>
        <v>0</v>
      </c>
      <c r="D341">
        <f>SUMIFS(HoldHistory!Q:Q, HoldHistory!A:A, A341, HoldHistory!M:M, "Initial Design Review")</f>
        <v>0</v>
      </c>
      <c r="E341">
        <f>SUMIFS(HoldHistory!Q:Q, HoldHistory!A:A, A341, HoldHistory!M:M, "ReCAP")</f>
        <v>0</v>
      </c>
      <c r="F341">
        <f>SUMIFS(HoldHistory!Q:Q, HoldHistory!A:A, A341, HoldHistory!M:M, "Draft EA")</f>
        <v>0</v>
      </c>
      <c r="G341">
        <f>SUMIFS(HoldHistory!Q:Q, HoldHistory!A:A, A341, HoldHistory!M:M, "Structures Pre-SAM")</f>
        <v>0</v>
      </c>
      <c r="H341">
        <f>SUMIFS(HoldHistory!Q:Q, HoldHistory!A:A, A341, HoldHistory!M:M, "Structures SAM")</f>
        <v>0</v>
      </c>
      <c r="I341">
        <f>SUMIFS(HoldHistory!Q:Q, HoldHistory!A:A, A341, HoldHistory!M:M, "Final Design Review")</f>
        <v>0</v>
      </c>
    </row>
    <row r="342" spans="1:9" x14ac:dyDescent="0.35">
      <c r="A342" t="str">
        <v>CAS-239016-Z5M2Q3</v>
      </c>
      <c r="B342">
        <f>SUMIFS(HoldHistory!Q:Q, HoldHistory!A:A, A342, HoldHistory!M:M, "Triage")</f>
        <v>0</v>
      </c>
      <c r="C342">
        <f>SUMIFS(HoldHistory!Q:Q, HoldHistory!A:A, A342, HoldHistory!M:M, "Task Plan")</f>
        <v>0</v>
      </c>
      <c r="D342">
        <f>SUMIFS(HoldHistory!Q:Q, HoldHistory!A:A, A342, HoldHistory!M:M, "Initial Design Review")</f>
        <v>13</v>
      </c>
      <c r="E342">
        <f>SUMIFS(HoldHistory!Q:Q, HoldHistory!A:A, A342, HoldHistory!M:M, "ReCAP")</f>
        <v>0</v>
      </c>
      <c r="F342">
        <f>SUMIFS(HoldHistory!Q:Q, HoldHistory!A:A, A342, HoldHistory!M:M, "Draft EA")</f>
        <v>16</v>
      </c>
      <c r="G342">
        <f>SUMIFS(HoldHistory!Q:Q, HoldHistory!A:A, A342, HoldHistory!M:M, "Structures Pre-SAM")</f>
        <v>0</v>
      </c>
      <c r="H342">
        <f>SUMIFS(HoldHistory!Q:Q, HoldHistory!A:A, A342, HoldHistory!M:M, "Structures SAM")</f>
        <v>0</v>
      </c>
      <c r="I342">
        <f>SUMIFS(HoldHistory!Q:Q, HoldHistory!A:A, A342, HoldHistory!M:M, "Final Design Review")</f>
        <v>0</v>
      </c>
    </row>
    <row r="343" spans="1:9" x14ac:dyDescent="0.35">
      <c r="A343" t="str">
        <v>CAS-239036-W5Q5P3</v>
      </c>
      <c r="B343">
        <f>SUMIFS(HoldHistory!Q:Q, HoldHistory!A:A, A343, HoldHistory!M:M, "Triage")</f>
        <v>12</v>
      </c>
      <c r="C343">
        <f>SUMIFS(HoldHistory!Q:Q, HoldHistory!A:A, A343, HoldHistory!M:M, "Task Plan")</f>
        <v>0</v>
      </c>
      <c r="D343">
        <f>SUMIFS(HoldHistory!Q:Q, HoldHistory!A:A, A343, HoldHistory!M:M, "Initial Design Review")</f>
        <v>0</v>
      </c>
      <c r="E343">
        <f>SUMIFS(HoldHistory!Q:Q, HoldHistory!A:A, A343, HoldHistory!M:M, "ReCAP")</f>
        <v>0</v>
      </c>
      <c r="F343">
        <f>SUMIFS(HoldHistory!Q:Q, HoldHistory!A:A, A343, HoldHistory!M:M, "Draft EA")</f>
        <v>21</v>
      </c>
      <c r="G343">
        <f>SUMIFS(HoldHistory!Q:Q, HoldHistory!A:A, A343, HoldHistory!M:M, "Structures Pre-SAM")</f>
        <v>0</v>
      </c>
      <c r="H343">
        <f>SUMIFS(HoldHistory!Q:Q, HoldHistory!A:A, A343, HoldHistory!M:M, "Structures SAM")</f>
        <v>17</v>
      </c>
      <c r="I343">
        <f>SUMIFS(HoldHistory!Q:Q, HoldHistory!A:A, A343, HoldHistory!M:M, "Final Design Review")</f>
        <v>0</v>
      </c>
    </row>
    <row r="344" spans="1:9" x14ac:dyDescent="0.35">
      <c r="A344" t="str">
        <v>CAS-239705-S1J4Y4</v>
      </c>
      <c r="B344">
        <f>SUMIFS(HoldHistory!Q:Q, HoldHistory!A:A, A344, HoldHistory!M:M, "Triage")</f>
        <v>4</v>
      </c>
      <c r="C344">
        <f>SUMIFS(HoldHistory!Q:Q, HoldHistory!A:A, A344, HoldHistory!M:M, "Task Plan")</f>
        <v>0</v>
      </c>
      <c r="D344">
        <f>SUMIFS(HoldHistory!Q:Q, HoldHistory!A:A, A344, HoldHistory!M:M, "Initial Design Review")</f>
        <v>0</v>
      </c>
      <c r="E344">
        <f>SUMIFS(HoldHistory!Q:Q, HoldHistory!A:A, A344, HoldHistory!M:M, "ReCAP")</f>
        <v>0</v>
      </c>
      <c r="F344">
        <f>SUMIFS(HoldHistory!Q:Q, HoldHistory!A:A, A344, HoldHistory!M:M, "Draft EA")</f>
        <v>0</v>
      </c>
      <c r="G344">
        <f>SUMIFS(HoldHistory!Q:Q, HoldHistory!A:A, A344, HoldHistory!M:M, "Structures Pre-SAM")</f>
        <v>0</v>
      </c>
      <c r="H344">
        <f>SUMIFS(HoldHistory!Q:Q, HoldHistory!A:A, A344, HoldHistory!M:M, "Structures SAM")</f>
        <v>0</v>
      </c>
      <c r="I344">
        <f>SUMIFS(HoldHistory!Q:Q, HoldHistory!A:A, A344, HoldHistory!M:M, "Final Design Review")</f>
        <v>0</v>
      </c>
    </row>
    <row r="345" spans="1:9" x14ac:dyDescent="0.35">
      <c r="A345" t="str">
        <v>CAS-240883-L1Y8M0</v>
      </c>
      <c r="B345">
        <f>SUMIFS(HoldHistory!Q:Q, HoldHistory!A:A, A345, HoldHistory!M:M, "Triage")</f>
        <v>0</v>
      </c>
      <c r="C345">
        <f>SUMIFS(HoldHistory!Q:Q, HoldHistory!A:A, A345, HoldHistory!M:M, "Task Plan")</f>
        <v>4</v>
      </c>
      <c r="D345">
        <f>SUMIFS(HoldHistory!Q:Q, HoldHistory!A:A, A345, HoldHistory!M:M, "Initial Design Review")</f>
        <v>0</v>
      </c>
      <c r="E345">
        <f>SUMIFS(HoldHistory!Q:Q, HoldHistory!A:A, A345, HoldHistory!M:M, "ReCAP")</f>
        <v>0</v>
      </c>
      <c r="F345">
        <f>SUMIFS(HoldHistory!Q:Q, HoldHistory!A:A, A345, HoldHistory!M:M, "Draft EA")</f>
        <v>0</v>
      </c>
      <c r="G345">
        <f>SUMIFS(HoldHistory!Q:Q, HoldHistory!A:A, A345, HoldHistory!M:M, "Structures Pre-SAM")</f>
        <v>0</v>
      </c>
      <c r="H345">
        <f>SUMIFS(HoldHistory!Q:Q, HoldHistory!A:A, A345, HoldHistory!M:M, "Structures SAM")</f>
        <v>0</v>
      </c>
      <c r="I345">
        <f>SUMIFS(HoldHistory!Q:Q, HoldHistory!A:A, A345, HoldHistory!M:M, "Final Design Review")</f>
        <v>0</v>
      </c>
    </row>
    <row r="346" spans="1:9" x14ac:dyDescent="0.35">
      <c r="A346" t="str">
        <v>CAS-241369-H8W2W0</v>
      </c>
      <c r="B346">
        <f>SUMIFS(HoldHistory!Q:Q, HoldHistory!A:A, A346, HoldHistory!M:M, "Triage")</f>
        <v>10</v>
      </c>
      <c r="C346">
        <f>SUMIFS(HoldHistory!Q:Q, HoldHistory!A:A, A346, HoldHistory!M:M, "Task Plan")</f>
        <v>16</v>
      </c>
      <c r="D346">
        <f>SUMIFS(HoldHistory!Q:Q, HoldHistory!A:A, A346, HoldHistory!M:M, "Initial Design Review")</f>
        <v>0</v>
      </c>
      <c r="E346">
        <f>SUMIFS(HoldHistory!Q:Q, HoldHistory!A:A, A346, HoldHistory!M:M, "ReCAP")</f>
        <v>0</v>
      </c>
      <c r="F346">
        <f>SUMIFS(HoldHistory!Q:Q, HoldHistory!A:A, A346, HoldHistory!M:M, "Draft EA")</f>
        <v>0</v>
      </c>
      <c r="G346">
        <f>SUMIFS(HoldHistory!Q:Q, HoldHistory!A:A, A346, HoldHistory!M:M, "Structures Pre-SAM")</f>
        <v>0</v>
      </c>
      <c r="H346">
        <f>SUMIFS(HoldHistory!Q:Q, HoldHistory!A:A, A346, HoldHistory!M:M, "Structures SAM")</f>
        <v>0</v>
      </c>
      <c r="I346">
        <f>SUMIFS(HoldHistory!Q:Q, HoldHistory!A:A, A346, HoldHistory!M:M, "Final Design Review")</f>
        <v>0</v>
      </c>
    </row>
    <row r="347" spans="1:9" x14ac:dyDescent="0.35">
      <c r="A347" t="str">
        <v>CAS-241504-K8D4Q0</v>
      </c>
      <c r="B347">
        <f>SUMIFS(HoldHistory!Q:Q, HoldHistory!A:A, A347, HoldHistory!M:M, "Triage")</f>
        <v>0</v>
      </c>
      <c r="C347">
        <f>SUMIFS(HoldHistory!Q:Q, HoldHistory!A:A, A347, HoldHistory!M:M, "Task Plan")</f>
        <v>0</v>
      </c>
      <c r="D347">
        <f>SUMIFS(HoldHistory!Q:Q, HoldHistory!A:A, A347, HoldHistory!M:M, "Initial Design Review")</f>
        <v>0</v>
      </c>
      <c r="E347">
        <f>SUMIFS(HoldHistory!Q:Q, HoldHistory!A:A, A347, HoldHistory!M:M, "ReCAP")</f>
        <v>0</v>
      </c>
      <c r="F347">
        <f>SUMIFS(HoldHistory!Q:Q, HoldHistory!A:A, A347, HoldHistory!M:M, "Draft EA")</f>
        <v>6</v>
      </c>
      <c r="G347">
        <f>SUMIFS(HoldHistory!Q:Q, HoldHistory!A:A, A347, HoldHistory!M:M, "Structures Pre-SAM")</f>
        <v>0</v>
      </c>
      <c r="H347">
        <f>SUMIFS(HoldHistory!Q:Q, HoldHistory!A:A, A347, HoldHistory!M:M, "Structures SAM")</f>
        <v>0</v>
      </c>
      <c r="I347">
        <f>SUMIFS(HoldHistory!Q:Q, HoldHistory!A:A, A347, HoldHistory!M:M, "Final Design Review")</f>
        <v>0</v>
      </c>
    </row>
    <row r="348" spans="1:9" x14ac:dyDescent="0.35">
      <c r="A348" t="str">
        <v>CAS-241620-Q5W5L2</v>
      </c>
      <c r="B348">
        <f>SUMIFS(HoldHistory!Q:Q, HoldHistory!A:A, A348, HoldHistory!M:M, "Triage")</f>
        <v>17</v>
      </c>
      <c r="C348">
        <f>SUMIFS(HoldHistory!Q:Q, HoldHistory!A:A, A348, HoldHistory!M:M, "Task Plan")</f>
        <v>0</v>
      </c>
      <c r="D348">
        <f>SUMIFS(HoldHistory!Q:Q, HoldHistory!A:A, A348, HoldHistory!M:M, "Initial Design Review")</f>
        <v>0</v>
      </c>
      <c r="E348">
        <f>SUMIFS(HoldHistory!Q:Q, HoldHistory!A:A, A348, HoldHistory!M:M, "ReCAP")</f>
        <v>0</v>
      </c>
      <c r="F348">
        <f>SUMIFS(HoldHistory!Q:Q, HoldHistory!A:A, A348, HoldHistory!M:M, "Draft EA")</f>
        <v>0</v>
      </c>
      <c r="G348">
        <f>SUMIFS(HoldHistory!Q:Q, HoldHistory!A:A, A348, HoldHistory!M:M, "Structures Pre-SAM")</f>
        <v>0</v>
      </c>
      <c r="H348">
        <f>SUMIFS(HoldHistory!Q:Q, HoldHistory!A:A, A348, HoldHistory!M:M, "Structures SAM")</f>
        <v>0</v>
      </c>
      <c r="I348">
        <f>SUMIFS(HoldHistory!Q:Q, HoldHistory!A:A, A348, HoldHistory!M:M, "Final Design Review")</f>
        <v>0</v>
      </c>
    </row>
    <row r="349" spans="1:9" x14ac:dyDescent="0.35">
      <c r="A349" t="str">
        <v>CAS-241717-P5L9H1</v>
      </c>
      <c r="B349">
        <f>SUMIFS(HoldHistory!Q:Q, HoldHistory!A:A, A349, HoldHistory!M:M, "Triage")</f>
        <v>10</v>
      </c>
      <c r="C349">
        <f>SUMIFS(HoldHistory!Q:Q, HoldHistory!A:A, A349, HoldHistory!M:M, "Task Plan")</f>
        <v>5</v>
      </c>
      <c r="D349">
        <f>SUMIFS(HoldHistory!Q:Q, HoldHistory!A:A, A349, HoldHistory!M:M, "Initial Design Review")</f>
        <v>0</v>
      </c>
      <c r="E349">
        <f>SUMIFS(HoldHistory!Q:Q, HoldHistory!A:A, A349, HoldHistory!M:M, "ReCAP")</f>
        <v>0</v>
      </c>
      <c r="F349">
        <f>SUMIFS(HoldHistory!Q:Q, HoldHistory!A:A, A349, HoldHistory!M:M, "Draft EA")</f>
        <v>0</v>
      </c>
      <c r="G349">
        <f>SUMIFS(HoldHistory!Q:Q, HoldHistory!A:A, A349, HoldHistory!M:M, "Structures Pre-SAM")</f>
        <v>0</v>
      </c>
      <c r="H349">
        <f>SUMIFS(HoldHistory!Q:Q, HoldHistory!A:A, A349, HoldHistory!M:M, "Structures SAM")</f>
        <v>0</v>
      </c>
      <c r="I349">
        <f>SUMIFS(HoldHistory!Q:Q, HoldHistory!A:A, A349, HoldHistory!M:M, "Final Design Review")</f>
        <v>0</v>
      </c>
    </row>
    <row r="350" spans="1:9" x14ac:dyDescent="0.35">
      <c r="A350" t="str">
        <v>CAS-242013-X7X9J4</v>
      </c>
      <c r="B350">
        <f>SUMIFS(HoldHistory!Q:Q, HoldHistory!A:A, A350, HoldHistory!M:M, "Triage")</f>
        <v>15</v>
      </c>
      <c r="C350">
        <f>SUMIFS(HoldHistory!Q:Q, HoldHistory!A:A, A350, HoldHistory!M:M, "Task Plan")</f>
        <v>0</v>
      </c>
      <c r="D350">
        <f>SUMIFS(HoldHistory!Q:Q, HoldHistory!A:A, A350, HoldHistory!M:M, "Initial Design Review")</f>
        <v>0</v>
      </c>
      <c r="E350">
        <f>SUMIFS(HoldHistory!Q:Q, HoldHistory!A:A, A350, HoldHistory!M:M, "ReCAP")</f>
        <v>0</v>
      </c>
      <c r="F350">
        <f>SUMIFS(HoldHistory!Q:Q, HoldHistory!A:A, A350, HoldHistory!M:M, "Draft EA")</f>
        <v>0</v>
      </c>
      <c r="G350">
        <f>SUMIFS(HoldHistory!Q:Q, HoldHistory!A:A, A350, HoldHistory!M:M, "Structures Pre-SAM")</f>
        <v>0</v>
      </c>
      <c r="H350">
        <f>SUMIFS(HoldHistory!Q:Q, HoldHistory!A:A, A350, HoldHistory!M:M, "Structures SAM")</f>
        <v>0</v>
      </c>
      <c r="I350">
        <f>SUMIFS(HoldHistory!Q:Q, HoldHistory!A:A, A350, HoldHistory!M:M, "Final Design Review")</f>
        <v>0</v>
      </c>
    </row>
    <row r="351" spans="1:9" x14ac:dyDescent="0.35">
      <c r="A351" t="str">
        <v>CAS-242014-G6L7P5</v>
      </c>
      <c r="B351">
        <f>SUMIFS(HoldHistory!Q:Q, HoldHistory!A:A, A351, HoldHistory!M:M, "Triage")</f>
        <v>5</v>
      </c>
      <c r="C351">
        <f>SUMIFS(HoldHistory!Q:Q, HoldHistory!A:A, A351, HoldHistory!M:M, "Task Plan")</f>
        <v>0</v>
      </c>
      <c r="D351">
        <f>SUMIFS(HoldHistory!Q:Q, HoldHistory!A:A, A351, HoldHistory!M:M, "Initial Design Review")</f>
        <v>0</v>
      </c>
      <c r="E351">
        <f>SUMIFS(HoldHistory!Q:Q, HoldHistory!A:A, A351, HoldHistory!M:M, "ReCAP")</f>
        <v>0</v>
      </c>
      <c r="F351">
        <f>SUMIFS(HoldHistory!Q:Q, HoldHistory!A:A, A351, HoldHistory!M:M, "Draft EA")</f>
        <v>0</v>
      </c>
      <c r="G351">
        <f>SUMIFS(HoldHistory!Q:Q, HoldHistory!A:A, A351, HoldHistory!M:M, "Structures Pre-SAM")</f>
        <v>0</v>
      </c>
      <c r="H351">
        <f>SUMIFS(HoldHistory!Q:Q, HoldHistory!A:A, A351, HoldHistory!M:M, "Structures SAM")</f>
        <v>0</v>
      </c>
      <c r="I351">
        <f>SUMIFS(HoldHistory!Q:Q, HoldHistory!A:A, A351, HoldHistory!M:M, "Final Design Review")</f>
        <v>0</v>
      </c>
    </row>
    <row r="352" spans="1:9" x14ac:dyDescent="0.35">
      <c r="A352" t="str">
        <v>CAS-242245-K3M2L8</v>
      </c>
      <c r="B352">
        <f>SUMIFS(HoldHistory!Q:Q, HoldHistory!A:A, A352, HoldHistory!M:M, "Triage")</f>
        <v>2</v>
      </c>
      <c r="C352">
        <f>SUMIFS(HoldHistory!Q:Q, HoldHistory!A:A, A352, HoldHistory!M:M, "Task Plan")</f>
        <v>14</v>
      </c>
      <c r="D352">
        <f>SUMIFS(HoldHistory!Q:Q, HoldHistory!A:A, A352, HoldHistory!M:M, "Initial Design Review")</f>
        <v>0</v>
      </c>
      <c r="E352">
        <f>SUMIFS(HoldHistory!Q:Q, HoldHistory!A:A, A352, HoldHistory!M:M, "ReCAP")</f>
        <v>0</v>
      </c>
      <c r="F352">
        <f>SUMIFS(HoldHistory!Q:Q, HoldHistory!A:A, A352, HoldHistory!M:M, "Draft EA")</f>
        <v>0</v>
      </c>
      <c r="G352">
        <f>SUMIFS(HoldHistory!Q:Q, HoldHistory!A:A, A352, HoldHistory!M:M, "Structures Pre-SAM")</f>
        <v>0</v>
      </c>
      <c r="H352">
        <f>SUMIFS(HoldHistory!Q:Q, HoldHistory!A:A, A352, HoldHistory!M:M, "Structures SAM")</f>
        <v>0</v>
      </c>
      <c r="I352">
        <f>SUMIFS(HoldHistory!Q:Q, HoldHistory!A:A, A352, HoldHistory!M:M, "Final Design Review")</f>
        <v>0</v>
      </c>
    </row>
    <row r="353" spans="1:9" x14ac:dyDescent="0.35">
      <c r="A353" t="str">
        <v>CAS-242294-N6T8Z7</v>
      </c>
      <c r="B353">
        <f>SUMIFS(HoldHistory!Q:Q, HoldHistory!A:A, A353, HoldHistory!M:M, "Triage")</f>
        <v>0</v>
      </c>
      <c r="C353">
        <f>SUMIFS(HoldHistory!Q:Q, HoldHistory!A:A, A353, HoldHistory!M:M, "Task Plan")</f>
        <v>0</v>
      </c>
      <c r="D353">
        <f>SUMIFS(HoldHistory!Q:Q, HoldHistory!A:A, A353, HoldHistory!M:M, "Initial Design Review")</f>
        <v>0</v>
      </c>
      <c r="E353">
        <f>SUMIFS(HoldHistory!Q:Q, HoldHistory!A:A, A353, HoldHistory!M:M, "ReCAP")</f>
        <v>0</v>
      </c>
      <c r="F353">
        <f>SUMIFS(HoldHistory!Q:Q, HoldHistory!A:A, A353, HoldHistory!M:M, "Draft EA")</f>
        <v>0</v>
      </c>
      <c r="G353">
        <f>SUMIFS(HoldHistory!Q:Q, HoldHistory!A:A, A353, HoldHistory!M:M, "Structures Pre-SAM")</f>
        <v>35.049358553245838</v>
      </c>
      <c r="H353">
        <f>SUMIFS(HoldHistory!Q:Q, HoldHistory!A:A, A353, HoldHistory!M:M, "Structures SAM")</f>
        <v>0</v>
      </c>
      <c r="I353">
        <f>SUMIFS(HoldHistory!Q:Q, HoldHistory!A:A, A353, HoldHistory!M:M, "Final Design Review")</f>
        <v>0</v>
      </c>
    </row>
    <row r="354" spans="1:9" x14ac:dyDescent="0.35">
      <c r="A354" t="str">
        <v>CAS-242617-B7W1N8</v>
      </c>
      <c r="B354">
        <f>SUMIFS(HoldHistory!Q:Q, HoldHistory!A:A, A354, HoldHistory!M:M, "Triage")</f>
        <v>1</v>
      </c>
      <c r="C354">
        <f>SUMIFS(HoldHistory!Q:Q, HoldHistory!A:A, A354, HoldHistory!M:M, "Task Plan")</f>
        <v>32</v>
      </c>
      <c r="D354">
        <f>SUMIFS(HoldHistory!Q:Q, HoldHistory!A:A, A354, HoldHistory!M:M, "Initial Design Review")</f>
        <v>0</v>
      </c>
      <c r="E354">
        <f>SUMIFS(HoldHistory!Q:Q, HoldHistory!A:A, A354, HoldHistory!M:M, "ReCAP")</f>
        <v>0</v>
      </c>
      <c r="F354">
        <f>SUMIFS(HoldHistory!Q:Q, HoldHistory!A:A, A354, HoldHistory!M:M, "Draft EA")</f>
        <v>21</v>
      </c>
      <c r="G354">
        <f>SUMIFS(HoldHistory!Q:Q, HoldHistory!A:A, A354, HoldHistory!M:M, "Structures Pre-SAM")</f>
        <v>0</v>
      </c>
      <c r="H354">
        <f>SUMIFS(HoldHistory!Q:Q, HoldHistory!A:A, A354, HoldHistory!M:M, "Structures SAM")</f>
        <v>0</v>
      </c>
      <c r="I354">
        <f>SUMIFS(HoldHistory!Q:Q, HoldHistory!A:A, A354, HoldHistory!M:M, "Final Design Review")</f>
        <v>0</v>
      </c>
    </row>
    <row r="355" spans="1:9" x14ac:dyDescent="0.35">
      <c r="A355" t="str">
        <v>CAS-242917-K1P0D6</v>
      </c>
      <c r="B355">
        <f>SUMIFS(HoldHistory!Q:Q, HoldHistory!A:A, A355, HoldHistory!M:M, "Triage")</f>
        <v>0</v>
      </c>
      <c r="C355">
        <f>SUMIFS(HoldHistory!Q:Q, HoldHistory!A:A, A355, HoldHistory!M:M, "Task Plan")</f>
        <v>5.9057839467568556</v>
      </c>
      <c r="D355">
        <f>SUMIFS(HoldHistory!Q:Q, HoldHistory!A:A, A355, HoldHistory!M:M, "Initial Design Review")</f>
        <v>0</v>
      </c>
      <c r="E355">
        <f>SUMIFS(HoldHistory!Q:Q, HoldHistory!A:A, A355, HoldHistory!M:M, "ReCAP")</f>
        <v>0</v>
      </c>
      <c r="F355">
        <f>SUMIFS(HoldHistory!Q:Q, HoldHistory!A:A, A355, HoldHistory!M:M, "Draft EA")</f>
        <v>0</v>
      </c>
      <c r="G355">
        <f>SUMIFS(HoldHistory!Q:Q, HoldHistory!A:A, A355, HoldHistory!M:M, "Structures Pre-SAM")</f>
        <v>0</v>
      </c>
      <c r="H355">
        <f>SUMIFS(HoldHistory!Q:Q, HoldHistory!A:A, A355, HoldHistory!M:M, "Structures SAM")</f>
        <v>0</v>
      </c>
      <c r="I355">
        <f>SUMIFS(HoldHistory!Q:Q, HoldHistory!A:A, A355, HoldHistory!M:M, "Final Design Review")</f>
        <v>0</v>
      </c>
    </row>
    <row r="356" spans="1:9" x14ac:dyDescent="0.35">
      <c r="A356" t="str">
        <v>CAS-243406-F0R2J6</v>
      </c>
      <c r="B356">
        <f>SUMIFS(HoldHistory!Q:Q, HoldHistory!A:A, A356, HoldHistory!M:M, "Triage")</f>
        <v>14</v>
      </c>
      <c r="C356">
        <f>SUMIFS(HoldHistory!Q:Q, HoldHistory!A:A, A356, HoldHistory!M:M, "Task Plan")</f>
        <v>0</v>
      </c>
      <c r="D356">
        <f>SUMIFS(HoldHistory!Q:Q, HoldHistory!A:A, A356, HoldHistory!M:M, "Initial Design Review")</f>
        <v>0</v>
      </c>
      <c r="E356">
        <f>SUMIFS(HoldHistory!Q:Q, HoldHistory!A:A, A356, HoldHistory!M:M, "ReCAP")</f>
        <v>0</v>
      </c>
      <c r="F356">
        <f>SUMIFS(HoldHistory!Q:Q, HoldHistory!A:A, A356, HoldHistory!M:M, "Draft EA")</f>
        <v>0</v>
      </c>
      <c r="G356">
        <f>SUMIFS(HoldHistory!Q:Q, HoldHistory!A:A, A356, HoldHistory!M:M, "Structures Pre-SAM")</f>
        <v>0</v>
      </c>
      <c r="H356">
        <f>SUMIFS(HoldHistory!Q:Q, HoldHistory!A:A, A356, HoldHistory!M:M, "Structures SAM")</f>
        <v>0</v>
      </c>
      <c r="I356">
        <f>SUMIFS(HoldHistory!Q:Q, HoldHistory!A:A, A356, HoldHistory!M:M, "Final Design Review")</f>
        <v>0</v>
      </c>
    </row>
    <row r="357" spans="1:9" x14ac:dyDescent="0.35">
      <c r="A357" t="str">
        <v>CAS-243955-X4Q8Y4</v>
      </c>
      <c r="B357">
        <f>SUMIFS(HoldHistory!Q:Q, HoldHistory!A:A, A357, HoldHistory!M:M, "Triage")</f>
        <v>29.132429606477672</v>
      </c>
      <c r="C357">
        <f>SUMIFS(HoldHistory!Q:Q, HoldHistory!A:A, A357, HoldHistory!M:M, "Task Plan")</f>
        <v>0</v>
      </c>
      <c r="D357">
        <f>SUMIFS(HoldHistory!Q:Q, HoldHistory!A:A, A357, HoldHistory!M:M, "Initial Design Review")</f>
        <v>0</v>
      </c>
      <c r="E357">
        <f>SUMIFS(HoldHistory!Q:Q, HoldHistory!A:A, A357, HoldHistory!M:M, "ReCAP")</f>
        <v>0</v>
      </c>
      <c r="F357">
        <f>SUMIFS(HoldHistory!Q:Q, HoldHistory!A:A, A357, HoldHistory!M:M, "Draft EA")</f>
        <v>0</v>
      </c>
      <c r="G357">
        <f>SUMIFS(HoldHistory!Q:Q, HoldHistory!A:A, A357, HoldHistory!M:M, "Structures Pre-SAM")</f>
        <v>0</v>
      </c>
      <c r="H357">
        <f>SUMIFS(HoldHistory!Q:Q, HoldHistory!A:A, A357, HoldHistory!M:M, "Structures SAM")</f>
        <v>0</v>
      </c>
      <c r="I357">
        <f>SUMIFS(HoldHistory!Q:Q, HoldHistory!A:A, A357, HoldHistory!M:M, "Final Design Review")</f>
        <v>0</v>
      </c>
    </row>
    <row r="358" spans="1:9" x14ac:dyDescent="0.35">
      <c r="A358" t="str">
        <v>CAS-244176-T4N4M8</v>
      </c>
      <c r="B358">
        <f>SUMIFS(HoldHistory!Q:Q, HoldHistory!A:A, A358, HoldHistory!M:M, "Triage")</f>
        <v>0</v>
      </c>
      <c r="C358">
        <f>SUMIFS(HoldHistory!Q:Q, HoldHistory!A:A, A358, HoldHistory!M:M, "Task Plan")</f>
        <v>9</v>
      </c>
      <c r="D358">
        <f>SUMIFS(HoldHistory!Q:Q, HoldHistory!A:A, A358, HoldHistory!M:M, "Initial Design Review")</f>
        <v>0</v>
      </c>
      <c r="E358">
        <f>SUMIFS(HoldHistory!Q:Q, HoldHistory!A:A, A358, HoldHistory!M:M, "ReCAP")</f>
        <v>0</v>
      </c>
      <c r="F358">
        <f>SUMIFS(HoldHistory!Q:Q, HoldHistory!A:A, A358, HoldHistory!M:M, "Draft EA")</f>
        <v>0</v>
      </c>
      <c r="G358">
        <f>SUMIFS(HoldHistory!Q:Q, HoldHistory!A:A, A358, HoldHistory!M:M, "Structures Pre-SAM")</f>
        <v>0</v>
      </c>
      <c r="H358">
        <f>SUMIFS(HoldHistory!Q:Q, HoldHistory!A:A, A358, HoldHistory!M:M, "Structures SAM")</f>
        <v>0</v>
      </c>
      <c r="I358">
        <f>SUMIFS(HoldHistory!Q:Q, HoldHistory!A:A, A358, HoldHistory!M:M, "Final Design Review")</f>
        <v>0</v>
      </c>
    </row>
    <row r="359" spans="1:9" x14ac:dyDescent="0.35">
      <c r="A359" t="str">
        <v>CAS-244700-C8J2K7</v>
      </c>
      <c r="B359">
        <f>SUMIFS(HoldHistory!Q:Q, HoldHistory!A:A, A359, HoldHistory!M:M, "Triage")</f>
        <v>0</v>
      </c>
      <c r="C359">
        <f>SUMIFS(HoldHistory!Q:Q, HoldHistory!A:A, A359, HoldHistory!M:M, "Task Plan")</f>
        <v>9</v>
      </c>
      <c r="D359">
        <f>SUMIFS(HoldHistory!Q:Q, HoldHistory!A:A, A359, HoldHistory!M:M, "Initial Design Review")</f>
        <v>0</v>
      </c>
      <c r="E359">
        <f>SUMIFS(HoldHistory!Q:Q, HoldHistory!A:A, A359, HoldHistory!M:M, "ReCAP")</f>
        <v>0</v>
      </c>
      <c r="F359">
        <f>SUMIFS(HoldHistory!Q:Q, HoldHistory!A:A, A359, HoldHistory!M:M, "Draft EA")</f>
        <v>0</v>
      </c>
      <c r="G359">
        <f>SUMIFS(HoldHistory!Q:Q, HoldHistory!A:A, A359, HoldHistory!M:M, "Structures Pre-SAM")</f>
        <v>0</v>
      </c>
      <c r="H359">
        <f>SUMIFS(HoldHistory!Q:Q, HoldHistory!A:A, A359, HoldHistory!M:M, "Structures SAM")</f>
        <v>0</v>
      </c>
      <c r="I359">
        <f>SUMIFS(HoldHistory!Q:Q, HoldHistory!A:A, A359, HoldHistory!M:M, "Final Design Review")</f>
        <v>0</v>
      </c>
    </row>
    <row r="360" spans="1:9" x14ac:dyDescent="0.35">
      <c r="A360" t="str">
        <v>CAS-246085-W8F6F6</v>
      </c>
      <c r="B360">
        <f>SUMIFS(HoldHistory!Q:Q, HoldHistory!A:A, A360, HoldHistory!M:M, "Triage")</f>
        <v>13</v>
      </c>
      <c r="C360">
        <f>SUMIFS(HoldHistory!Q:Q, HoldHistory!A:A, A360, HoldHistory!M:M, "Task Plan")</f>
        <v>0</v>
      </c>
      <c r="D360">
        <f>SUMIFS(HoldHistory!Q:Q, HoldHistory!A:A, A360, HoldHistory!M:M, "Initial Design Review")</f>
        <v>8</v>
      </c>
      <c r="E360">
        <f>SUMIFS(HoldHistory!Q:Q, HoldHistory!A:A, A360, HoldHistory!M:M, "ReCAP")</f>
        <v>0</v>
      </c>
      <c r="F360">
        <f>SUMIFS(HoldHistory!Q:Q, HoldHistory!A:A, A360, HoldHistory!M:M, "Draft EA")</f>
        <v>0</v>
      </c>
      <c r="G360">
        <f>SUMIFS(HoldHistory!Q:Q, HoldHistory!A:A, A360, HoldHistory!M:M, "Structures Pre-SAM")</f>
        <v>0</v>
      </c>
      <c r="H360">
        <f>SUMIFS(HoldHistory!Q:Q, HoldHistory!A:A, A360, HoldHistory!M:M, "Structures SAM")</f>
        <v>0</v>
      </c>
      <c r="I360">
        <f>SUMIFS(HoldHistory!Q:Q, HoldHistory!A:A, A360, HoldHistory!M:M, "Final Design Review")</f>
        <v>0</v>
      </c>
    </row>
    <row r="361" spans="1:9" x14ac:dyDescent="0.35">
      <c r="A361" t="str">
        <v>CAS-247522-C9B6C1</v>
      </c>
      <c r="B361">
        <f>SUMIFS(HoldHistory!Q:Q, HoldHistory!A:A, A361, HoldHistory!M:M, "Triage")</f>
        <v>0</v>
      </c>
      <c r="C361">
        <f>SUMIFS(HoldHistory!Q:Q, HoldHistory!A:A, A361, HoldHistory!M:M, "Task Plan")</f>
        <v>9</v>
      </c>
      <c r="D361">
        <f>SUMIFS(HoldHistory!Q:Q, HoldHistory!A:A, A361, HoldHistory!M:M, "Initial Design Review")</f>
        <v>0</v>
      </c>
      <c r="E361">
        <f>SUMIFS(HoldHistory!Q:Q, HoldHistory!A:A, A361, HoldHistory!M:M, "ReCAP")</f>
        <v>0</v>
      </c>
      <c r="F361">
        <f>SUMIFS(HoldHistory!Q:Q, HoldHistory!A:A, A361, HoldHistory!M:M, "Draft EA")</f>
        <v>0</v>
      </c>
      <c r="G361">
        <f>SUMIFS(HoldHistory!Q:Q, HoldHistory!A:A, A361, HoldHistory!M:M, "Structures Pre-SAM")</f>
        <v>0</v>
      </c>
      <c r="H361">
        <f>SUMIFS(HoldHistory!Q:Q, HoldHistory!A:A, A361, HoldHistory!M:M, "Structures SAM")</f>
        <v>0</v>
      </c>
      <c r="I361">
        <f>SUMIFS(HoldHistory!Q:Q, HoldHistory!A:A, A361, HoldHistory!M:M, "Final Design Review")</f>
        <v>0</v>
      </c>
    </row>
    <row r="362" spans="1:9" x14ac:dyDescent="0.35">
      <c r="A362" t="str">
        <v>CAS-248143-B5W0M9</v>
      </c>
      <c r="B362">
        <f>SUMIFS(HoldHistory!Q:Q, HoldHistory!A:A, A362, HoldHistory!M:M, "Triage")</f>
        <v>16</v>
      </c>
      <c r="C362">
        <f>SUMIFS(HoldHistory!Q:Q, HoldHistory!A:A, A362, HoldHistory!M:M, "Task Plan")</f>
        <v>0</v>
      </c>
      <c r="D362">
        <f>SUMIFS(HoldHistory!Q:Q, HoldHistory!A:A, A362, HoldHistory!M:M, "Initial Design Review")</f>
        <v>0</v>
      </c>
      <c r="E362">
        <f>SUMIFS(HoldHistory!Q:Q, HoldHistory!A:A, A362, HoldHistory!M:M, "ReCAP")</f>
        <v>0</v>
      </c>
      <c r="F362">
        <f>SUMIFS(HoldHistory!Q:Q, HoldHistory!A:A, A362, HoldHistory!M:M, "Draft EA")</f>
        <v>0</v>
      </c>
      <c r="G362">
        <f>SUMIFS(HoldHistory!Q:Q, HoldHistory!A:A, A362, HoldHistory!M:M, "Structures Pre-SAM")</f>
        <v>0</v>
      </c>
      <c r="H362">
        <f>SUMIFS(HoldHistory!Q:Q, HoldHistory!A:A, A362, HoldHistory!M:M, "Structures SAM")</f>
        <v>2</v>
      </c>
      <c r="I362">
        <f>SUMIFS(HoldHistory!Q:Q, HoldHistory!A:A, A362, HoldHistory!M:M, "Final Design Review")</f>
        <v>0</v>
      </c>
    </row>
    <row r="363" spans="1:9" x14ac:dyDescent="0.35">
      <c r="A363" t="str">
        <v>CAS-248935-C8L7Q1</v>
      </c>
      <c r="B363">
        <f>SUMIFS(HoldHistory!Q:Q, HoldHistory!A:A, A363, HoldHistory!M:M, "Triage")</f>
        <v>0</v>
      </c>
      <c r="C363">
        <f>SUMIFS(HoldHistory!Q:Q, HoldHistory!A:A, A363, HoldHistory!M:M, "Task Plan")</f>
        <v>4.7220414814801188</v>
      </c>
      <c r="D363">
        <f>SUMIFS(HoldHistory!Q:Q, HoldHistory!A:A, A363, HoldHistory!M:M, "Initial Design Review")</f>
        <v>0</v>
      </c>
      <c r="E363">
        <f>SUMIFS(HoldHistory!Q:Q, HoldHistory!A:A, A363, HoldHistory!M:M, "ReCAP")</f>
        <v>0</v>
      </c>
      <c r="F363">
        <f>SUMIFS(HoldHistory!Q:Q, HoldHistory!A:A, A363, HoldHistory!M:M, "Draft EA")</f>
        <v>10.564514456018514</v>
      </c>
      <c r="G363">
        <f>SUMIFS(HoldHistory!Q:Q, HoldHistory!A:A, A363, HoldHistory!M:M, "Structures Pre-SAM")</f>
        <v>0</v>
      </c>
      <c r="H363">
        <f>SUMIFS(HoldHistory!Q:Q, HoldHistory!A:A, A363, HoldHistory!M:M, "Structures SAM")</f>
        <v>0</v>
      </c>
      <c r="I363">
        <f>SUMIFS(HoldHistory!Q:Q, HoldHistory!A:A, A363, HoldHistory!M:M, "Final Design Review")</f>
        <v>23.758786585654889</v>
      </c>
    </row>
    <row r="364" spans="1:9" x14ac:dyDescent="0.35">
      <c r="A364" t="str">
        <v>CAS-250133-F2M6S1</v>
      </c>
      <c r="B364">
        <f>SUMIFS(HoldHistory!Q:Q, HoldHistory!A:A, A364, HoldHistory!M:M, "Triage")</f>
        <v>12.938011053236551</v>
      </c>
      <c r="C364">
        <f>SUMIFS(HoldHistory!Q:Q, HoldHistory!A:A, A364, HoldHistory!M:M, "Task Plan")</f>
        <v>0</v>
      </c>
      <c r="D364">
        <f>SUMIFS(HoldHistory!Q:Q, HoldHistory!A:A, A364, HoldHistory!M:M, "Initial Design Review")</f>
        <v>0</v>
      </c>
      <c r="E364">
        <f>SUMIFS(HoldHistory!Q:Q, HoldHistory!A:A, A364, HoldHistory!M:M, "ReCAP")</f>
        <v>0</v>
      </c>
      <c r="F364">
        <f>SUMIFS(HoldHistory!Q:Q, HoldHistory!A:A, A364, HoldHistory!M:M, "Draft EA")</f>
        <v>0</v>
      </c>
      <c r="G364">
        <f>SUMIFS(HoldHistory!Q:Q, HoldHistory!A:A, A364, HoldHistory!M:M, "Structures Pre-SAM")</f>
        <v>0</v>
      </c>
      <c r="H364">
        <f>SUMIFS(HoldHistory!Q:Q, HoldHistory!A:A, A364, HoldHistory!M:M, "Structures SAM")</f>
        <v>0</v>
      </c>
      <c r="I364">
        <f>SUMIFS(HoldHistory!Q:Q, HoldHistory!A:A, A364, HoldHistory!M:M, "Final Design Review")</f>
        <v>0</v>
      </c>
    </row>
    <row r="365" spans="1:9" x14ac:dyDescent="0.35">
      <c r="A365" t="str">
        <v>CAS-250645-M5X7X8</v>
      </c>
      <c r="B365">
        <f>SUMIFS(HoldHistory!Q:Q, HoldHistory!A:A, A365, HoldHistory!M:M, "Triage")</f>
        <v>2</v>
      </c>
      <c r="C365">
        <f>SUMIFS(HoldHistory!Q:Q, HoldHistory!A:A, A365, HoldHistory!M:M, "Task Plan")</f>
        <v>0</v>
      </c>
      <c r="D365">
        <f>SUMIFS(HoldHistory!Q:Q, HoldHistory!A:A, A365, HoldHistory!M:M, "Initial Design Review")</f>
        <v>0</v>
      </c>
      <c r="E365">
        <f>SUMIFS(HoldHistory!Q:Q, HoldHistory!A:A, A365, HoldHistory!M:M, "ReCAP")</f>
        <v>0</v>
      </c>
      <c r="F365">
        <f>SUMIFS(HoldHistory!Q:Q, HoldHistory!A:A, A365, HoldHistory!M:M, "Draft EA")</f>
        <v>0</v>
      </c>
      <c r="G365">
        <f>SUMIFS(HoldHistory!Q:Q, HoldHistory!A:A, A365, HoldHistory!M:M, "Structures Pre-SAM")</f>
        <v>0</v>
      </c>
      <c r="H365">
        <f>SUMIFS(HoldHistory!Q:Q, HoldHistory!A:A, A365, HoldHistory!M:M, "Structures SAM")</f>
        <v>0</v>
      </c>
      <c r="I365">
        <f>SUMIFS(HoldHistory!Q:Q, HoldHistory!A:A, A365, HoldHistory!M:M, "Final Design Review")</f>
        <v>0</v>
      </c>
    </row>
    <row r="366" spans="1:9" x14ac:dyDescent="0.35">
      <c r="A366" t="str">
        <v>CAS-250804-X1Q6W5</v>
      </c>
      <c r="B366">
        <f>SUMIFS(HoldHistory!Q:Q, HoldHistory!A:A, A366, HoldHistory!M:M, "Triage")</f>
        <v>0</v>
      </c>
      <c r="C366">
        <f>SUMIFS(HoldHistory!Q:Q, HoldHistory!A:A, A366, HoldHistory!M:M, "Task Plan")</f>
        <v>6.7693425231482252</v>
      </c>
      <c r="D366">
        <f>SUMIFS(HoldHistory!Q:Q, HoldHistory!A:A, A366, HoldHistory!M:M, "Initial Design Review")</f>
        <v>0</v>
      </c>
      <c r="E366">
        <f>SUMIFS(HoldHistory!Q:Q, HoldHistory!A:A, A366, HoldHistory!M:M, "ReCAP")</f>
        <v>0</v>
      </c>
      <c r="F366">
        <f>SUMIFS(HoldHistory!Q:Q, HoldHistory!A:A, A366, HoldHistory!M:M, "Draft EA")</f>
        <v>0</v>
      </c>
      <c r="G366">
        <f>SUMIFS(HoldHistory!Q:Q, HoldHistory!A:A, A366, HoldHistory!M:M, "Structures Pre-SAM")</f>
        <v>0</v>
      </c>
      <c r="H366">
        <f>SUMIFS(HoldHistory!Q:Q, HoldHistory!A:A, A366, HoldHistory!M:M, "Structures SAM")</f>
        <v>0</v>
      </c>
      <c r="I366">
        <f>SUMIFS(HoldHistory!Q:Q, HoldHistory!A:A, A366, HoldHistory!M:M, "Final Design Review")</f>
        <v>0</v>
      </c>
    </row>
    <row r="367" spans="1:9" x14ac:dyDescent="0.35">
      <c r="A367" t="str">
        <v>CAS-251099-P3H0J4</v>
      </c>
      <c r="B367">
        <f>SUMIFS(HoldHistory!Q:Q, HoldHistory!A:A, A367, HoldHistory!M:M, "Triage")</f>
        <v>10</v>
      </c>
      <c r="C367">
        <f>SUMIFS(HoldHistory!Q:Q, HoldHistory!A:A, A367, HoldHistory!M:M, "Task Plan")</f>
        <v>0</v>
      </c>
      <c r="D367">
        <f>SUMIFS(HoldHistory!Q:Q, HoldHistory!A:A, A367, HoldHistory!M:M, "Initial Design Review")</f>
        <v>0</v>
      </c>
      <c r="E367">
        <f>SUMIFS(HoldHistory!Q:Q, HoldHistory!A:A, A367, HoldHistory!M:M, "ReCAP")</f>
        <v>0</v>
      </c>
      <c r="F367">
        <f>SUMIFS(HoldHistory!Q:Q, HoldHistory!A:A, A367, HoldHistory!M:M, "Draft EA")</f>
        <v>0</v>
      </c>
      <c r="G367">
        <f>SUMIFS(HoldHistory!Q:Q, HoldHistory!A:A, A367, HoldHistory!M:M, "Structures Pre-SAM")</f>
        <v>0</v>
      </c>
      <c r="H367">
        <f>SUMIFS(HoldHistory!Q:Q, HoldHistory!A:A, A367, HoldHistory!M:M, "Structures SAM")</f>
        <v>0</v>
      </c>
      <c r="I367">
        <f>SUMIFS(HoldHistory!Q:Q, HoldHistory!A:A, A367, HoldHistory!M:M, "Final Design Review")</f>
        <v>0</v>
      </c>
    </row>
    <row r="368" spans="1:9" x14ac:dyDescent="0.35">
      <c r="A368" t="str">
        <v>CAS-251215-T4H8K6</v>
      </c>
      <c r="B368">
        <f>SUMIFS(HoldHistory!Q:Q, HoldHistory!A:A, A368, HoldHistory!M:M, "Triage")</f>
        <v>0</v>
      </c>
      <c r="C368">
        <f>SUMIFS(HoldHistory!Q:Q, HoldHistory!A:A, A368, HoldHistory!M:M, "Task Plan")</f>
        <v>0</v>
      </c>
      <c r="D368">
        <f>SUMIFS(HoldHistory!Q:Q, HoldHistory!A:A, A368, HoldHistory!M:M, "Initial Design Review")</f>
        <v>0</v>
      </c>
      <c r="E368">
        <f>SUMIFS(HoldHistory!Q:Q, HoldHistory!A:A, A368, HoldHistory!M:M, "ReCAP")</f>
        <v>0</v>
      </c>
      <c r="F368">
        <f>SUMIFS(HoldHistory!Q:Q, HoldHistory!A:A, A368, HoldHistory!M:M, "Draft EA")</f>
        <v>0</v>
      </c>
      <c r="G368">
        <f>SUMIFS(HoldHistory!Q:Q, HoldHistory!A:A, A368, HoldHistory!M:M, "Structures Pre-SAM")</f>
        <v>0</v>
      </c>
      <c r="H368">
        <f>SUMIFS(HoldHistory!Q:Q, HoldHistory!A:A, A368, HoldHistory!M:M, "Structures SAM")</f>
        <v>0</v>
      </c>
      <c r="I368">
        <f>SUMIFS(HoldHistory!Q:Q, HoldHistory!A:A, A368, HoldHistory!M:M, "Final Design Review")</f>
        <v>19</v>
      </c>
    </row>
    <row r="369" spans="1:9" x14ac:dyDescent="0.35">
      <c r="A369" t="str">
        <v>CAS-251591-J9H8J4</v>
      </c>
      <c r="B369">
        <f>SUMIFS(HoldHistory!Q:Q, HoldHistory!A:A, A369, HoldHistory!M:M, "Triage")</f>
        <v>0</v>
      </c>
      <c r="C369">
        <f>SUMIFS(HoldHistory!Q:Q, HoldHistory!A:A, A369, HoldHistory!M:M, "Task Plan")</f>
        <v>0</v>
      </c>
      <c r="D369">
        <f>SUMIFS(HoldHistory!Q:Q, HoldHistory!A:A, A369, HoldHistory!M:M, "Initial Design Review")</f>
        <v>0</v>
      </c>
      <c r="E369">
        <f>SUMIFS(HoldHistory!Q:Q, HoldHistory!A:A, A369, HoldHistory!M:M, "ReCAP")</f>
        <v>0</v>
      </c>
      <c r="F369">
        <f>SUMIFS(HoldHistory!Q:Q, HoldHistory!A:A, A369, HoldHistory!M:M, "Draft EA")</f>
        <v>0</v>
      </c>
      <c r="G369">
        <f>SUMIFS(HoldHistory!Q:Q, HoldHistory!A:A, A369, HoldHistory!M:M, "Structures Pre-SAM")</f>
        <v>0</v>
      </c>
      <c r="H369">
        <f>SUMIFS(HoldHistory!Q:Q, HoldHistory!A:A, A369, HoldHistory!M:M, "Structures SAM")</f>
        <v>0</v>
      </c>
      <c r="I369">
        <f>SUMIFS(HoldHistory!Q:Q, HoldHistory!A:A, A369, HoldHistory!M:M, "Final Design Review")</f>
        <v>0.67575780092738569</v>
      </c>
    </row>
    <row r="370" spans="1:9" x14ac:dyDescent="0.35">
      <c r="A370" t="str">
        <v>CAS-253955-D8X2N1</v>
      </c>
      <c r="B370">
        <f>SUMIFS(HoldHistory!Q:Q, HoldHistory!A:A, A370, HoldHistory!M:M, "Triage")</f>
        <v>11</v>
      </c>
      <c r="C370">
        <f>SUMIFS(HoldHistory!Q:Q, HoldHistory!A:A, A370, HoldHistory!M:M, "Task Plan")</f>
        <v>12</v>
      </c>
      <c r="D370">
        <f>SUMIFS(HoldHistory!Q:Q, HoldHistory!A:A, A370, HoldHistory!M:M, "Initial Design Review")</f>
        <v>0</v>
      </c>
      <c r="E370">
        <f>SUMIFS(HoldHistory!Q:Q, HoldHistory!A:A, A370, HoldHistory!M:M, "ReCAP")</f>
        <v>0</v>
      </c>
      <c r="F370">
        <f>SUMIFS(HoldHistory!Q:Q, HoldHistory!A:A, A370, HoldHistory!M:M, "Draft EA")</f>
        <v>0</v>
      </c>
      <c r="G370">
        <f>SUMIFS(HoldHistory!Q:Q, HoldHistory!A:A, A370, HoldHistory!M:M, "Structures Pre-SAM")</f>
        <v>0</v>
      </c>
      <c r="H370">
        <f>SUMIFS(HoldHistory!Q:Q, HoldHistory!A:A, A370, HoldHistory!M:M, "Structures SAM")</f>
        <v>0</v>
      </c>
      <c r="I370">
        <f>SUMIFS(HoldHistory!Q:Q, HoldHistory!A:A, A370, HoldHistory!M:M, "Final Design Review")</f>
        <v>0</v>
      </c>
    </row>
    <row r="371" spans="1:9" x14ac:dyDescent="0.35">
      <c r="A371" t="str">
        <v>CAS-255270-H7C7M1</v>
      </c>
      <c r="B371">
        <f>SUMIFS(HoldHistory!Q:Q, HoldHistory!A:A, A371, HoldHistory!M:M, "Triage")</f>
        <v>2.9074952777737053</v>
      </c>
      <c r="C371">
        <f>SUMIFS(HoldHistory!Q:Q, HoldHistory!A:A, A371, HoldHistory!M:M, "Task Plan")</f>
        <v>0</v>
      </c>
      <c r="D371">
        <f>SUMIFS(HoldHistory!Q:Q, HoldHistory!A:A, A371, HoldHistory!M:M, "Initial Design Review")</f>
        <v>0</v>
      </c>
      <c r="E371">
        <f>SUMIFS(HoldHistory!Q:Q, HoldHistory!A:A, A371, HoldHistory!M:M, "ReCAP")</f>
        <v>0</v>
      </c>
      <c r="F371">
        <f>SUMIFS(HoldHistory!Q:Q, HoldHistory!A:A, A371, HoldHistory!M:M, "Draft EA")</f>
        <v>0</v>
      </c>
      <c r="G371">
        <f>SUMIFS(HoldHistory!Q:Q, HoldHistory!A:A, A371, HoldHistory!M:M, "Structures Pre-SAM")</f>
        <v>0</v>
      </c>
      <c r="H371">
        <f>SUMIFS(HoldHistory!Q:Q, HoldHistory!A:A, A371, HoldHistory!M:M, "Structures SAM")</f>
        <v>0</v>
      </c>
      <c r="I371">
        <f>SUMIFS(HoldHistory!Q:Q, HoldHistory!A:A, A371, HoldHistory!M:M, "Final Design Review")</f>
        <v>0</v>
      </c>
    </row>
    <row r="372" spans="1:9" x14ac:dyDescent="0.35">
      <c r="A372" t="str">
        <v>CAS-255773-G2Q6L0</v>
      </c>
      <c r="B372">
        <f>SUMIFS(HoldHistory!Q:Q, HoldHistory!A:A, A372, HoldHistory!M:M, "Triage")</f>
        <v>4</v>
      </c>
      <c r="C372">
        <f>SUMIFS(HoldHistory!Q:Q, HoldHistory!A:A, A372, HoldHistory!M:M, "Task Plan")</f>
        <v>0</v>
      </c>
      <c r="D372">
        <f>SUMIFS(HoldHistory!Q:Q, HoldHistory!A:A, A372, HoldHistory!M:M, "Initial Design Review")</f>
        <v>0</v>
      </c>
      <c r="E372">
        <f>SUMIFS(HoldHistory!Q:Q, HoldHistory!A:A, A372, HoldHistory!M:M, "ReCAP")</f>
        <v>0</v>
      </c>
      <c r="F372">
        <f>SUMIFS(HoldHistory!Q:Q, HoldHistory!A:A, A372, HoldHistory!M:M, "Draft EA")</f>
        <v>0</v>
      </c>
      <c r="G372">
        <f>SUMIFS(HoldHistory!Q:Q, HoldHistory!A:A, A372, HoldHistory!M:M, "Structures Pre-SAM")</f>
        <v>0</v>
      </c>
      <c r="H372">
        <f>SUMIFS(HoldHistory!Q:Q, HoldHistory!A:A, A372, HoldHistory!M:M, "Structures SAM")</f>
        <v>0</v>
      </c>
      <c r="I372">
        <f>SUMIFS(HoldHistory!Q:Q, HoldHistory!A:A, A372, HoldHistory!M:M, "Final Design Review")</f>
        <v>0</v>
      </c>
    </row>
    <row r="373" spans="1:9" x14ac:dyDescent="0.35">
      <c r="A373" t="str">
        <v>MSG-230809-1EA69A</v>
      </c>
      <c r="B373">
        <f>SUMIFS(HoldHistory!Q:Q, HoldHistory!A:A, A373, HoldHistory!M:M, "Triage")</f>
        <v>0</v>
      </c>
      <c r="C373">
        <f>SUMIFS(HoldHistory!Q:Q, HoldHistory!A:A, A373, HoldHistory!M:M, "Task Plan")</f>
        <v>0</v>
      </c>
      <c r="D373">
        <f>SUMIFS(HoldHistory!Q:Q, HoldHistory!A:A, A373, HoldHistory!M:M, "Initial Design Review")</f>
        <v>0</v>
      </c>
      <c r="E373">
        <f>SUMIFS(HoldHistory!Q:Q, HoldHistory!A:A, A373, HoldHistory!M:M, "ReCAP")</f>
        <v>0</v>
      </c>
      <c r="F373">
        <f>SUMIFS(HoldHistory!Q:Q, HoldHistory!A:A, A373, HoldHistory!M:M, "Draft EA")</f>
        <v>0</v>
      </c>
      <c r="G373">
        <f>SUMIFS(HoldHistory!Q:Q, HoldHistory!A:A, A373, HoldHistory!M:M, "Structures Pre-SAM")</f>
        <v>208.99278038194461</v>
      </c>
      <c r="H373">
        <f>SUMIFS(HoldHistory!Q:Q, HoldHistory!A:A, A373, HoldHistory!M:M, "Structures SAM")</f>
        <v>14.163330127310473</v>
      </c>
      <c r="I373">
        <f>SUMIFS(HoldHistory!Q:Q, HoldHistory!A:A, A373, HoldHistory!M:M, "Final Design Review")</f>
        <v>0</v>
      </c>
    </row>
    <row r="374" spans="1:9" x14ac:dyDescent="0.35">
      <c r="A374" t="str">
        <v>MSG-231025-8D1C23</v>
      </c>
      <c r="B374">
        <f>SUMIFS(HoldHistory!Q:Q, HoldHistory!A:A, A374, HoldHistory!M:M, "Triage")</f>
        <v>0</v>
      </c>
      <c r="C374">
        <f>SUMIFS(HoldHistory!Q:Q, HoldHistory!A:A, A374, HoldHistory!M:M, "Task Plan")</f>
        <v>0</v>
      </c>
      <c r="D374">
        <f>SUMIFS(HoldHistory!Q:Q, HoldHistory!A:A, A374, HoldHistory!M:M, "Initial Design Review")</f>
        <v>0</v>
      </c>
      <c r="E374">
        <f>SUMIFS(HoldHistory!Q:Q, HoldHistory!A:A, A374, HoldHistory!M:M, "ReCAP")</f>
        <v>0</v>
      </c>
      <c r="F374">
        <f>SUMIFS(HoldHistory!Q:Q, HoldHistory!A:A, A374, HoldHistory!M:M, "Draft EA")</f>
        <v>0</v>
      </c>
      <c r="G374">
        <f>SUMIFS(HoldHistory!Q:Q, HoldHistory!A:A, A374, HoldHistory!M:M, "Structures Pre-SAM")</f>
        <v>0</v>
      </c>
      <c r="H374">
        <f>SUMIFS(HoldHistory!Q:Q, HoldHistory!A:A, A374, HoldHistory!M:M, "Structures SAM")</f>
        <v>0</v>
      </c>
      <c r="I374">
        <f>SUMIFS(HoldHistory!Q:Q, HoldHistory!A:A, A374, HoldHistory!M:M, "Final Design Review")</f>
        <v>0</v>
      </c>
    </row>
    <row r="375" spans="1:9" x14ac:dyDescent="0.35">
      <c r="A375" t="str">
        <v>MSG-231215-321AE4</v>
      </c>
      <c r="B375">
        <f>SUMIFS(HoldHistory!Q:Q, HoldHistory!A:A, A375, HoldHistory!M:M, "Triage")</f>
        <v>0</v>
      </c>
      <c r="C375">
        <f>SUMIFS(HoldHistory!Q:Q, HoldHistory!A:A, A375, HoldHistory!M:M, "Task Plan")</f>
        <v>0</v>
      </c>
      <c r="D375">
        <f>SUMIFS(HoldHistory!Q:Q, HoldHistory!A:A, A375, HoldHistory!M:M, "Initial Design Review")</f>
        <v>0</v>
      </c>
      <c r="E375">
        <f>SUMIFS(HoldHistory!Q:Q, HoldHistory!A:A, A375, HoldHistory!M:M, "ReCAP")</f>
        <v>0</v>
      </c>
      <c r="F375">
        <f>SUMIFS(HoldHistory!Q:Q, HoldHistory!A:A, A375, HoldHistory!M:M, "Draft EA")</f>
        <v>0</v>
      </c>
      <c r="G375">
        <f>SUMIFS(HoldHistory!Q:Q, HoldHistory!A:A, A375, HoldHistory!M:M, "Structures Pre-SAM")</f>
        <v>0</v>
      </c>
      <c r="H375">
        <f>SUMIFS(HoldHistory!Q:Q, HoldHistory!A:A, A375, HoldHistory!M:M, "Structures SAM")</f>
        <v>0</v>
      </c>
      <c r="I375">
        <f>SUMIFS(HoldHistory!Q:Q, HoldHistory!A:A, A375, HoldHistory!M:M, "Final Design Review")</f>
        <v>15.160699467596714</v>
      </c>
    </row>
    <row r="376" spans="1:9" x14ac:dyDescent="0.35">
      <c r="A376" t="str">
        <v>MSG-240111-343FFA</v>
      </c>
      <c r="B376">
        <f>SUMIFS(HoldHistory!Q:Q, HoldHistory!A:A, A376, HoldHistory!M:M, "Triage")</f>
        <v>0</v>
      </c>
      <c r="C376">
        <f>SUMIFS(HoldHistory!Q:Q, HoldHistory!A:A, A376, HoldHistory!M:M, "Task Plan")</f>
        <v>0</v>
      </c>
      <c r="D376">
        <f>SUMIFS(HoldHistory!Q:Q, HoldHistory!A:A, A376, HoldHistory!M:M, "Initial Design Review")</f>
        <v>0</v>
      </c>
      <c r="E376">
        <f>SUMIFS(HoldHistory!Q:Q, HoldHistory!A:A, A376, HoldHistory!M:M, "ReCAP")</f>
        <v>0</v>
      </c>
      <c r="F376">
        <f>SUMIFS(HoldHistory!Q:Q, HoldHistory!A:A, A376, HoldHistory!M:M, "Draft EA")</f>
        <v>0</v>
      </c>
      <c r="G376">
        <f>SUMIFS(HoldHistory!Q:Q, HoldHistory!A:A, A376, HoldHistory!M:M, "Structures Pre-SAM")</f>
        <v>0</v>
      </c>
      <c r="H376">
        <f>SUMIFS(HoldHistory!Q:Q, HoldHistory!A:A, A376, HoldHistory!M:M, "Structures SAM")</f>
        <v>0</v>
      </c>
      <c r="I376">
        <f>SUMIFS(HoldHistory!Q:Q, HoldHistory!A:A, A376, HoldHistory!M:M, "Final Design Review")</f>
        <v>0</v>
      </c>
    </row>
    <row r="377" spans="1:9" x14ac:dyDescent="0.35">
      <c r="A377" t="str">
        <v>MSG-240111-F5E3BB</v>
      </c>
      <c r="B377">
        <f>SUMIFS(HoldHistory!Q:Q, HoldHistory!A:A, A377, HoldHistory!M:M, "Triage")</f>
        <v>0</v>
      </c>
      <c r="C377">
        <f>SUMIFS(HoldHistory!Q:Q, HoldHistory!A:A, A377, HoldHistory!M:M, "Task Plan")</f>
        <v>0</v>
      </c>
      <c r="D377">
        <f>SUMIFS(HoldHistory!Q:Q, HoldHistory!A:A, A377, HoldHistory!M:M, "Initial Design Review")</f>
        <v>0</v>
      </c>
      <c r="E377">
        <f>SUMIFS(HoldHistory!Q:Q, HoldHistory!A:A, A377, HoldHistory!M:M, "ReCAP")</f>
        <v>0</v>
      </c>
      <c r="F377">
        <f>SUMIFS(HoldHistory!Q:Q, HoldHistory!A:A, A377, HoldHistory!M:M, "Draft EA")</f>
        <v>0</v>
      </c>
      <c r="G377">
        <f>SUMIFS(HoldHistory!Q:Q, HoldHistory!A:A, A377, HoldHistory!M:M, "Structures Pre-SAM")</f>
        <v>0</v>
      </c>
      <c r="H377">
        <f>SUMIFS(HoldHistory!Q:Q, HoldHistory!A:A, A377, HoldHistory!M:M, "Structures SAM")</f>
        <v>0</v>
      </c>
      <c r="I377">
        <f>SUMIFS(HoldHistory!Q:Q, HoldHistory!A:A, A377, HoldHistory!M:M, "Final Design Review")</f>
        <v>111.80105909721897</v>
      </c>
    </row>
    <row r="378" spans="1:9" x14ac:dyDescent="0.35">
      <c r="A378" t="str">
        <v>MSG-240117-BC4B80</v>
      </c>
      <c r="B378">
        <f>SUMIFS(HoldHistory!Q:Q, HoldHistory!A:A, A378, HoldHistory!M:M, "Triage")</f>
        <v>0</v>
      </c>
      <c r="C378">
        <f>SUMIFS(HoldHistory!Q:Q, HoldHistory!A:A, A378, HoldHistory!M:M, "Task Plan")</f>
        <v>0</v>
      </c>
      <c r="D378">
        <f>SUMIFS(HoldHistory!Q:Q, HoldHistory!A:A, A378, HoldHistory!M:M, "Initial Design Review")</f>
        <v>4.2837456828710856</v>
      </c>
      <c r="E378">
        <f>SUMIFS(HoldHistory!Q:Q, HoldHistory!A:A, A378, HoldHistory!M:M, "ReCAP")</f>
        <v>0</v>
      </c>
      <c r="F378">
        <f>SUMIFS(HoldHistory!Q:Q, HoldHistory!A:A, A378, HoldHistory!M:M, "Draft EA")</f>
        <v>0</v>
      </c>
      <c r="G378">
        <f>SUMIFS(HoldHistory!Q:Q, HoldHistory!A:A, A378, HoldHistory!M:M, "Structures Pre-SAM")</f>
        <v>0</v>
      </c>
      <c r="H378">
        <f>SUMIFS(HoldHistory!Q:Q, HoldHistory!A:A, A378, HoldHistory!M:M, "Structures SAM")</f>
        <v>0</v>
      </c>
      <c r="I378">
        <f>SUMIFS(HoldHistory!Q:Q, HoldHistory!A:A, A378, HoldHistory!M:M, "Final Design Review")</f>
        <v>0</v>
      </c>
    </row>
    <row r="379" spans="1:9" x14ac:dyDescent="0.35">
      <c r="A379" t="str">
        <v>MSG-240126-167421</v>
      </c>
      <c r="B379">
        <f>SUMIFS(HoldHistory!Q:Q, HoldHistory!A:A, A379, HoldHistory!M:M, "Triage")</f>
        <v>0</v>
      </c>
      <c r="C379">
        <f>SUMIFS(HoldHistory!Q:Q, HoldHistory!A:A, A379, HoldHistory!M:M, "Task Plan")</f>
        <v>0</v>
      </c>
      <c r="D379">
        <f>SUMIFS(HoldHistory!Q:Q, HoldHistory!A:A, A379, HoldHistory!M:M, "Initial Design Review")</f>
        <v>7.208712650462985</v>
      </c>
      <c r="E379">
        <f>SUMIFS(HoldHistory!Q:Q, HoldHistory!A:A, A379, HoldHistory!M:M, "ReCAP")</f>
        <v>0</v>
      </c>
      <c r="F379">
        <f>SUMIFS(HoldHistory!Q:Q, HoldHistory!A:A, A379, HoldHistory!M:M, "Draft EA")</f>
        <v>29.728673784724378</v>
      </c>
      <c r="G379">
        <f>SUMIFS(HoldHistory!Q:Q, HoldHistory!A:A, A379, HoldHistory!M:M, "Structures Pre-SAM")</f>
        <v>0</v>
      </c>
      <c r="H379">
        <f>SUMIFS(HoldHistory!Q:Q, HoldHistory!A:A, A379, HoldHistory!M:M, "Structures SAM")</f>
        <v>0</v>
      </c>
      <c r="I379">
        <f>SUMIFS(HoldHistory!Q:Q, HoldHistory!A:A, A379, HoldHistory!M:M, "Final Design Review")</f>
        <v>6.0158679398155073</v>
      </c>
    </row>
    <row r="380" spans="1:9" x14ac:dyDescent="0.35">
      <c r="A380" t="str">
        <v>MSG-240126-5A47AC</v>
      </c>
      <c r="B380">
        <f>SUMIFS(HoldHistory!Q:Q, HoldHistory!A:A, A380, HoldHistory!M:M, "Triage")</f>
        <v>0</v>
      </c>
      <c r="C380">
        <f>SUMIFS(HoldHistory!Q:Q, HoldHistory!A:A, A380, HoldHistory!M:M, "Task Plan")</f>
        <v>0</v>
      </c>
      <c r="D380">
        <f>SUMIFS(HoldHistory!Q:Q, HoldHistory!A:A, A380, HoldHistory!M:M, "Initial Design Review")</f>
        <v>0</v>
      </c>
      <c r="E380">
        <f>SUMIFS(HoldHistory!Q:Q, HoldHistory!A:A, A380, HoldHistory!M:M, "ReCAP")</f>
        <v>0</v>
      </c>
      <c r="F380">
        <f>SUMIFS(HoldHistory!Q:Q, HoldHistory!A:A, A380, HoldHistory!M:M, "Draft EA")</f>
        <v>0</v>
      </c>
      <c r="G380">
        <f>SUMIFS(HoldHistory!Q:Q, HoldHistory!A:A, A380, HoldHistory!M:M, "Structures Pre-SAM")</f>
        <v>0</v>
      </c>
      <c r="H380">
        <f>SUMIFS(HoldHistory!Q:Q, HoldHistory!A:A, A380, HoldHistory!M:M, "Structures SAM")</f>
        <v>0</v>
      </c>
      <c r="I380">
        <f>SUMIFS(HoldHistory!Q:Q, HoldHistory!A:A, A380, HoldHistory!M:M, "Final Design Review")</f>
        <v>121.97776807870832</v>
      </c>
    </row>
    <row r="381" spans="1:9" x14ac:dyDescent="0.35">
      <c r="A381" t="str">
        <v>MSG-240126-DEECB9</v>
      </c>
      <c r="B381">
        <f>SUMIFS(HoldHistory!Q:Q, HoldHistory!A:A, A381, HoldHistory!M:M, "Triage")</f>
        <v>0</v>
      </c>
      <c r="C381">
        <f>SUMIFS(HoldHistory!Q:Q, HoldHistory!A:A, A381, HoldHistory!M:M, "Task Plan")</f>
        <v>0</v>
      </c>
      <c r="D381">
        <f>SUMIFS(HoldHistory!Q:Q, HoldHistory!A:A, A381, HoldHistory!M:M, "Initial Design Review")</f>
        <v>0</v>
      </c>
      <c r="E381">
        <f>SUMIFS(HoldHistory!Q:Q, HoldHistory!A:A, A381, HoldHistory!M:M, "ReCAP")</f>
        <v>0</v>
      </c>
      <c r="F381">
        <f>SUMIFS(HoldHistory!Q:Q, HoldHistory!A:A, A381, HoldHistory!M:M, "Draft EA")</f>
        <v>0</v>
      </c>
      <c r="G381">
        <f>SUMIFS(HoldHistory!Q:Q, HoldHistory!A:A, A381, HoldHistory!M:M, "Structures Pre-SAM")</f>
        <v>72.15351572916552</v>
      </c>
      <c r="H381">
        <f>SUMIFS(HoldHistory!Q:Q, HoldHistory!A:A, A381, HoldHistory!M:M, "Structures SAM")</f>
        <v>0</v>
      </c>
      <c r="I381">
        <f>SUMIFS(HoldHistory!Q:Q, HoldHistory!A:A, A381, HoldHistory!M:M, "Final Design Review")</f>
        <v>0</v>
      </c>
    </row>
    <row r="382" spans="1:9" x14ac:dyDescent="0.35">
      <c r="A382" t="str">
        <v>MSG-240814-317DA9</v>
      </c>
      <c r="B382">
        <f>SUMIFS(HoldHistory!Q:Q, HoldHistory!A:A, A382, HoldHistory!M:M, "Triage")</f>
        <v>0</v>
      </c>
      <c r="C382">
        <f>SUMIFS(HoldHistory!Q:Q, HoldHistory!A:A, A382, HoldHistory!M:M, "Task Plan")</f>
        <v>0</v>
      </c>
      <c r="D382">
        <f>SUMIFS(HoldHistory!Q:Q, HoldHistory!A:A, A382, HoldHistory!M:M, "Initial Design Review")</f>
        <v>0</v>
      </c>
      <c r="E382">
        <f>SUMIFS(HoldHistory!Q:Q, HoldHistory!A:A, A382, HoldHistory!M:M, "ReCAP")</f>
        <v>0</v>
      </c>
      <c r="F382">
        <f>SUMIFS(HoldHistory!Q:Q, HoldHistory!A:A, A382, HoldHistory!M:M, "Draft EA")</f>
        <v>4</v>
      </c>
      <c r="G382">
        <f>SUMIFS(HoldHistory!Q:Q, HoldHistory!A:A, A382, HoldHistory!M:M, "Structures Pre-SAM")</f>
        <v>0</v>
      </c>
      <c r="H382">
        <f>SUMIFS(HoldHistory!Q:Q, HoldHistory!A:A, A382, HoldHistory!M:M, "Structures SAM")</f>
        <v>0</v>
      </c>
      <c r="I382">
        <f>SUMIFS(HoldHistory!Q:Q, HoldHistory!A:A, A382, HoldHistory!M:M, "Final Design Review")</f>
        <v>0</v>
      </c>
    </row>
    <row r="383" spans="1:9" x14ac:dyDescent="0.35">
      <c r="A383" t="str">
        <v>MSG-240821-EFF837</v>
      </c>
      <c r="B383">
        <f>SUMIFS(HoldHistory!Q:Q, HoldHistory!A:A, A383, HoldHistory!M:M, "Triage")</f>
        <v>0</v>
      </c>
      <c r="C383">
        <f>SUMIFS(HoldHistory!Q:Q, HoldHistory!A:A, A383, HoldHistory!M:M, "Task Plan")</f>
        <v>2</v>
      </c>
      <c r="D383">
        <f>SUMIFS(HoldHistory!Q:Q, HoldHistory!A:A, A383, HoldHistory!M:M, "Initial Design Review")</f>
        <v>0</v>
      </c>
      <c r="E383">
        <f>SUMIFS(HoldHistory!Q:Q, HoldHistory!A:A, A383, HoldHistory!M:M, "ReCAP")</f>
        <v>0</v>
      </c>
      <c r="F383">
        <f>SUMIFS(HoldHistory!Q:Q, HoldHistory!A:A, A383, HoldHistory!M:M, "Draft EA")</f>
        <v>12</v>
      </c>
      <c r="G383">
        <f>SUMIFS(HoldHistory!Q:Q, HoldHistory!A:A, A383, HoldHistory!M:M, "Structures Pre-SAM")</f>
        <v>0</v>
      </c>
      <c r="H383">
        <f>SUMIFS(HoldHistory!Q:Q, HoldHistory!A:A, A383, HoldHistory!M:M, "Structures SAM")</f>
        <v>0</v>
      </c>
      <c r="I383">
        <f>SUMIFS(HoldHistory!Q:Q, HoldHistory!A:A, A383, HoldHistory!M:M, "Final Design Review")</f>
        <v>0</v>
      </c>
    </row>
    <row r="384" spans="1:9" x14ac:dyDescent="0.35">
      <c r="A384" t="str">
        <v>MSG-240828-EB3AE2</v>
      </c>
      <c r="B384">
        <f>SUMIFS(HoldHistory!Q:Q, HoldHistory!A:A, A384, HoldHistory!M:M, "Triage")</f>
        <v>0</v>
      </c>
      <c r="C384">
        <f>SUMIFS(HoldHistory!Q:Q, HoldHistory!A:A, A384, HoldHistory!M:M, "Task Plan")</f>
        <v>0</v>
      </c>
      <c r="D384">
        <f>SUMIFS(HoldHistory!Q:Q, HoldHistory!A:A, A384, HoldHistory!M:M, "Initial Design Review")</f>
        <v>0</v>
      </c>
      <c r="E384">
        <f>SUMIFS(HoldHistory!Q:Q, HoldHistory!A:A, A384, HoldHistory!M:M, "ReCAP")</f>
        <v>0</v>
      </c>
      <c r="F384">
        <f>SUMIFS(HoldHistory!Q:Q, HoldHistory!A:A, A384, HoldHistory!M:M, "Draft EA")</f>
        <v>3</v>
      </c>
      <c r="G384">
        <f>SUMIFS(HoldHistory!Q:Q, HoldHistory!A:A, A384, HoldHistory!M:M, "Structures Pre-SAM")</f>
        <v>0</v>
      </c>
      <c r="H384">
        <f>SUMIFS(HoldHistory!Q:Q, HoldHistory!A:A, A384, HoldHistory!M:M, "Structures SAM")</f>
        <v>0</v>
      </c>
      <c r="I384">
        <f>SUMIFS(HoldHistory!Q:Q, HoldHistory!A:A, A384, HoldHistory!M:M, "Final Design Review")</f>
        <v>0</v>
      </c>
    </row>
    <row r="385" spans="1:9" x14ac:dyDescent="0.35">
      <c r="A385" t="str">
        <v>MSG-241105-D40671</v>
      </c>
      <c r="B385">
        <f>SUMIFS(HoldHistory!Q:Q, HoldHistory!A:A, A385, HoldHistory!M:M, "Triage")</f>
        <v>0</v>
      </c>
      <c r="C385">
        <f>SUMIFS(HoldHistory!Q:Q, HoldHistory!A:A, A385, HoldHistory!M:M, "Task Plan")</f>
        <v>0</v>
      </c>
      <c r="D385">
        <f>SUMIFS(HoldHistory!Q:Q, HoldHistory!A:A, A385, HoldHistory!M:M, "Initial Design Review")</f>
        <v>0</v>
      </c>
      <c r="E385">
        <f>SUMIFS(HoldHistory!Q:Q, HoldHistory!A:A, A385, HoldHistory!M:M, "ReCAP")</f>
        <v>0</v>
      </c>
      <c r="F385">
        <f>SUMIFS(HoldHistory!Q:Q, HoldHistory!A:A, A385, HoldHistory!M:M, "Draft EA")</f>
        <v>0</v>
      </c>
      <c r="G385">
        <f>SUMIFS(HoldHistory!Q:Q, HoldHistory!A:A, A385, HoldHistory!M:M, "Structures Pre-SAM")</f>
        <v>0</v>
      </c>
      <c r="H385">
        <f>SUMIFS(HoldHistory!Q:Q, HoldHistory!A:A, A385, HoldHistory!M:M, "Structures SAM")</f>
        <v>0</v>
      </c>
      <c r="I385">
        <f>SUMIFS(HoldHistory!Q:Q, HoldHistory!A:A, A385, HoldHistory!M:M, "Final Design Review")</f>
        <v>0</v>
      </c>
    </row>
    <row r="386" spans="1:9" x14ac:dyDescent="0.35">
      <c r="A386" t="str">
        <v>MSG-241121-0491BB</v>
      </c>
      <c r="B386">
        <f>SUMIFS(HoldHistory!Q:Q, HoldHistory!A:A, A386, HoldHistory!M:M, "Triage")</f>
        <v>0</v>
      </c>
      <c r="C386">
        <f>SUMIFS(HoldHistory!Q:Q, HoldHistory!A:A, A386, HoldHistory!M:M, "Task Plan")</f>
        <v>3</v>
      </c>
      <c r="D386">
        <f>SUMIFS(HoldHistory!Q:Q, HoldHistory!A:A, A386, HoldHistory!M:M, "Initial Design Review")</f>
        <v>0</v>
      </c>
      <c r="E386">
        <f>SUMIFS(HoldHistory!Q:Q, HoldHistory!A:A, A386, HoldHistory!M:M, "ReCAP")</f>
        <v>0</v>
      </c>
      <c r="F386">
        <f>SUMIFS(HoldHistory!Q:Q, HoldHistory!A:A, A386, HoldHistory!M:M, "Draft EA")</f>
        <v>0</v>
      </c>
      <c r="G386">
        <f>SUMIFS(HoldHistory!Q:Q, HoldHistory!A:A, A386, HoldHistory!M:M, "Structures Pre-SAM")</f>
        <v>0</v>
      </c>
      <c r="H386">
        <f>SUMIFS(HoldHistory!Q:Q, HoldHistory!A:A, A386, HoldHistory!M:M, "Structures SAM")</f>
        <v>0</v>
      </c>
      <c r="I386">
        <f>SUMIFS(HoldHistory!Q:Q, HoldHistory!A:A, A386, HoldHistory!M:M, "Final Design Review")</f>
        <v>0</v>
      </c>
    </row>
    <row r="387" spans="1:9" x14ac:dyDescent="0.35">
      <c r="A387" t="str">
        <v>MSG-250318-098751</v>
      </c>
      <c r="B387">
        <f>SUMIFS(HoldHistory!Q:Q, HoldHistory!A:A, A387, HoldHistory!M:M, "Triage")</f>
        <v>0</v>
      </c>
      <c r="C387">
        <f>SUMIFS(HoldHistory!Q:Q, HoldHistory!A:A, A387, HoldHistory!M:M, "Task Plan")</f>
        <v>8.3237430671288166</v>
      </c>
      <c r="D387">
        <f>SUMIFS(HoldHistory!Q:Q, HoldHistory!A:A, A387, HoldHistory!M:M, "Initial Design Review")</f>
        <v>0</v>
      </c>
      <c r="E387">
        <f>SUMIFS(HoldHistory!Q:Q, HoldHistory!A:A, A387, HoldHistory!M:M, "ReCAP")</f>
        <v>0</v>
      </c>
      <c r="F387">
        <f>SUMIFS(HoldHistory!Q:Q, HoldHistory!A:A, A387, HoldHistory!M:M, "Draft EA")</f>
        <v>0</v>
      </c>
      <c r="G387">
        <f>SUMIFS(HoldHistory!Q:Q, HoldHistory!A:A, A387, HoldHistory!M:M, "Structures Pre-SAM")</f>
        <v>0</v>
      </c>
      <c r="H387">
        <f>SUMIFS(HoldHistory!Q:Q, HoldHistory!A:A, A387, HoldHistory!M:M, "Structures SAM")</f>
        <v>0</v>
      </c>
      <c r="I387">
        <f>SUMIFS(HoldHistory!Q:Q, HoldHistory!A:A, A387, HoldHistory!M:M, "Final Design Review")</f>
        <v>0</v>
      </c>
    </row>
    <row r="388" spans="1:9" x14ac:dyDescent="0.35">
      <c r="A388" t="str">
        <v>MSG-250324-8F569F</v>
      </c>
      <c r="B388">
        <f>SUMIFS(HoldHistory!Q:Q, HoldHistory!A:A, A388, HoldHistory!M:M, "Triage")</f>
        <v>15</v>
      </c>
      <c r="C388">
        <f>SUMIFS(HoldHistory!Q:Q, HoldHistory!A:A, A388, HoldHistory!M:M, "Task Plan")</f>
        <v>0</v>
      </c>
      <c r="D388">
        <f>SUMIFS(HoldHistory!Q:Q, HoldHistory!A:A, A388, HoldHistory!M:M, "Initial Design Review")</f>
        <v>0</v>
      </c>
      <c r="E388">
        <f>SUMIFS(HoldHistory!Q:Q, HoldHistory!A:A, A388, HoldHistory!M:M, "ReCAP")</f>
        <v>0</v>
      </c>
      <c r="F388">
        <f>SUMIFS(HoldHistory!Q:Q, HoldHistory!A:A, A388, HoldHistory!M:M, "Draft EA")</f>
        <v>0</v>
      </c>
      <c r="G388">
        <f>SUMIFS(HoldHistory!Q:Q, HoldHistory!A:A, A388, HoldHistory!M:M, "Structures Pre-SAM")</f>
        <v>0</v>
      </c>
      <c r="H388">
        <f>SUMIFS(HoldHistory!Q:Q, HoldHistory!A:A, A388, HoldHistory!M:M, "Structures SAM")</f>
        <v>0</v>
      </c>
      <c r="I388">
        <f>SUMIFS(HoldHistory!Q:Q, HoldHistory!A:A, A388, HoldHistory!M:M, "Final Design Review")</f>
        <v>3</v>
      </c>
    </row>
    <row r="389" spans="1:9" x14ac:dyDescent="0.35">
      <c r="A389" t="str">
        <v>MSG-ID-20230317140936967-878</v>
      </c>
      <c r="B389">
        <f>SUMIFS(HoldHistory!Q:Q, HoldHistory!A:A, A389, HoldHistory!M:M, "Triage")</f>
        <v>0</v>
      </c>
      <c r="C389">
        <f>SUMIFS(HoldHistory!Q:Q, HoldHistory!A:A, A389, HoldHistory!M:M, "Task Plan")</f>
        <v>0</v>
      </c>
      <c r="D389">
        <f>SUMIFS(HoldHistory!Q:Q, HoldHistory!A:A, A389, HoldHistory!M:M, "Initial Design Review")</f>
        <v>0</v>
      </c>
      <c r="E389">
        <f>SUMIFS(HoldHistory!Q:Q, HoldHistory!A:A, A389, HoldHistory!M:M, "ReCAP")</f>
        <v>0</v>
      </c>
      <c r="F389">
        <f>SUMIFS(HoldHistory!Q:Q, HoldHistory!A:A, A389, HoldHistory!M:M, "Draft EA")</f>
        <v>0</v>
      </c>
      <c r="G389">
        <f>SUMIFS(HoldHistory!Q:Q, HoldHistory!A:A, A389, HoldHistory!M:M, "Structures Pre-SAM")</f>
        <v>25.01863765046437</v>
      </c>
      <c r="H389">
        <f>SUMIFS(HoldHistory!Q:Q, HoldHistory!A:A, A389, HoldHistory!M:M, "Structures SAM")</f>
        <v>401.08825248843641</v>
      </c>
      <c r="I389">
        <f>SUMIFS(HoldHistory!Q:Q, HoldHistory!A:A, A389, HoldHistory!M:M, "Final Design Review")</f>
        <v>0</v>
      </c>
    </row>
    <row r="390" spans="1:9" x14ac:dyDescent="0.35">
      <c r="A390" t="str">
        <v>MSG-ID-20230512123251010-172</v>
      </c>
      <c r="B390">
        <f>SUMIFS(HoldHistory!Q:Q, HoldHistory!A:A, A390, HoldHistory!M:M, "Triage")</f>
        <v>0</v>
      </c>
      <c r="C390">
        <f>SUMIFS(HoldHistory!Q:Q, HoldHistory!A:A, A390, HoldHistory!M:M, "Task Plan")</f>
        <v>0</v>
      </c>
      <c r="D390">
        <f>SUMIFS(HoldHistory!Q:Q, HoldHistory!A:A, A390, HoldHistory!M:M, "Initial Design Review")</f>
        <v>0</v>
      </c>
      <c r="E390">
        <f>SUMIFS(HoldHistory!Q:Q, HoldHistory!A:A, A390, HoldHistory!M:M, "ReCAP")</f>
        <v>0</v>
      </c>
      <c r="F390">
        <f>SUMIFS(HoldHistory!Q:Q, HoldHistory!A:A, A390, HoldHistory!M:M, "Draft EA")</f>
        <v>0</v>
      </c>
      <c r="G390">
        <f>SUMIFS(HoldHistory!Q:Q, HoldHistory!A:A, A390, HoldHistory!M:M, "Structures Pre-SAM")</f>
        <v>0</v>
      </c>
      <c r="H390">
        <f>SUMIFS(HoldHistory!Q:Q, HoldHistory!A:A, A390, HoldHistory!M:M, "Structures SAM")</f>
        <v>0</v>
      </c>
      <c r="I390">
        <f>SUMIFS(HoldHistory!Q:Q, HoldHistory!A:A, A390, HoldHistory!M:M, "Final Design Review")</f>
        <v>0</v>
      </c>
    </row>
    <row r="391" spans="1:9" x14ac:dyDescent="0.35">
      <c r="A391" s="194"/>
      <c r="B391" s="194"/>
      <c r="C391" s="194"/>
      <c r="D391" s="194"/>
      <c r="E391" s="194"/>
      <c r="F391" s="194"/>
      <c r="G391" s="194"/>
      <c r="H391" s="194"/>
      <c r="I391" s="194"/>
    </row>
  </sheetData>
  <autoFilter ref="A1:I1" xr:uid="{489A3DA3-7B72-40FB-9075-414AB6D047E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O889"/>
  <sheetViews>
    <sheetView tabSelected="1" workbookViewId="0">
      <pane ySplit="1" topLeftCell="A853" activePane="bottomLeft" state="frozen"/>
      <selection activeCell="Q1" sqref="Q1"/>
      <selection pane="bottomLeft" activeCell="Q2" sqref="Q2:Q888"/>
    </sheetView>
  </sheetViews>
  <sheetFormatPr defaultRowHeight="14.5" x14ac:dyDescent="0.35"/>
  <cols>
    <col min="1" max="1" width="15.1796875" customWidth="1"/>
    <col min="2" max="2" width="20.54296875" customWidth="1"/>
    <col min="3" max="3" width="14.453125" customWidth="1"/>
    <col min="14" max="16" width="10.7265625" bestFit="1" customWidth="1"/>
    <col min="17" max="17" width="14.453125" bestFit="1" customWidth="1"/>
    <col min="18" max="18" width="10.7265625" bestFit="1" customWidth="1"/>
    <col min="19" max="19" width="16.54296875" customWidth="1"/>
    <col min="20" max="20" width="10.7265625" bestFit="1" customWidth="1"/>
    <col min="21" max="21" width="14.453125" bestFit="1" customWidth="1"/>
    <col min="22" max="22" width="17.7265625" customWidth="1"/>
    <col min="23" max="23" width="19" customWidth="1"/>
    <col min="24" max="24" width="9.1796875" style="195"/>
    <col min="38" max="38" width="11.81640625" customWidth="1"/>
    <col min="39" max="39" width="13.1796875" customWidth="1"/>
    <col min="40" max="40" width="9.1796875" style="196"/>
  </cols>
  <sheetData>
    <row r="1" spans="1:41" s="1" customFormat="1"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8" t="s">
        <v>22</v>
      </c>
      <c r="R1" s="1" t="s">
        <v>16</v>
      </c>
      <c r="S1" s="1" t="s">
        <v>17</v>
      </c>
      <c r="T1" s="1" t="s">
        <v>20</v>
      </c>
      <c r="U1" s="1" t="s">
        <v>21</v>
      </c>
      <c r="V1" s="1" t="s">
        <v>18</v>
      </c>
      <c r="W1" s="1" t="s">
        <v>19</v>
      </c>
      <c r="X1" s="4" t="s">
        <v>1958</v>
      </c>
      <c r="Y1" s="1" t="s">
        <v>1959</v>
      </c>
      <c r="Z1" s="1" t="s">
        <v>1960</v>
      </c>
      <c r="AA1" s="5" t="s">
        <v>1961</v>
      </c>
      <c r="AB1" s="10" t="s">
        <v>1962</v>
      </c>
      <c r="AC1" s="9" t="s">
        <v>1999</v>
      </c>
      <c r="AD1" s="1" t="s">
        <v>2000</v>
      </c>
      <c r="AE1" s="1" t="s">
        <v>2001</v>
      </c>
      <c r="AF1" s="1" t="s">
        <v>2002</v>
      </c>
      <c r="AG1" s="1" t="s">
        <v>2003</v>
      </c>
      <c r="AH1" s="1" t="s">
        <v>2004</v>
      </c>
      <c r="AI1" s="1" t="s">
        <v>2005</v>
      </c>
      <c r="AJ1" s="1" t="s">
        <v>2006</v>
      </c>
      <c r="AK1" s="5" t="s">
        <v>2007</v>
      </c>
      <c r="AL1" s="10" t="s">
        <v>2021</v>
      </c>
      <c r="AM1" s="11" t="s">
        <v>2008</v>
      </c>
      <c r="AN1" s="199" t="s">
        <v>2009</v>
      </c>
      <c r="AO1" s="1" t="s">
        <v>2010</v>
      </c>
    </row>
    <row r="2" spans="1:41" x14ac:dyDescent="0.35">
      <c r="A2" t="s">
        <v>23</v>
      </c>
      <c r="B2" t="s">
        <v>2273</v>
      </c>
      <c r="C2" t="s">
        <v>36</v>
      </c>
      <c r="D2" t="s">
        <v>26</v>
      </c>
      <c r="E2" t="s">
        <v>27</v>
      </c>
      <c r="F2" t="s">
        <v>28</v>
      </c>
      <c r="G2">
        <v>30</v>
      </c>
      <c r="H2" t="s">
        <v>2274</v>
      </c>
      <c r="I2" t="s">
        <v>30</v>
      </c>
      <c r="J2" t="s">
        <v>31</v>
      </c>
      <c r="K2" t="s">
        <v>48</v>
      </c>
      <c r="L2" t="s">
        <v>49</v>
      </c>
      <c r="M2" t="s">
        <v>33</v>
      </c>
      <c r="N2" s="2">
        <v>45779.793113425927</v>
      </c>
      <c r="O2" s="2">
        <v>45810.166666666664</v>
      </c>
      <c r="P2" s="2">
        <v>45810.166666666664</v>
      </c>
      <c r="Q2" s="2">
        <v>45870</v>
      </c>
      <c r="R2" s="2"/>
      <c r="T2" s="2">
        <v>45792.166666666664</v>
      </c>
      <c r="U2" s="2">
        <v>45792.166666666664</v>
      </c>
      <c r="V2" s="2"/>
      <c r="W2" s="2">
        <v>45797.166666666664</v>
      </c>
      <c r="X2" s="3">
        <f>IF(OR(ISBLANK(T2), ISBLANK(U2)), "", U2 - T2)</f>
        <v>0</v>
      </c>
      <c r="Y2" t="str">
        <f>IF(OR(ISBLANK(V2), ISBLANK(W2)), "", W2 - V2)</f>
        <v/>
      </c>
      <c r="Z2">
        <f>N(X2) + N(Y2)</f>
        <v>0</v>
      </c>
      <c r="AA2">
        <f>IF(OR(ISBLANK(N2), ISBLANK(Q2)), "", Q2 - N2)</f>
        <v>90.206886574072996</v>
      </c>
      <c r="AB2">
        <f>IF(AA2="", "", AA2 - Z2)</f>
        <v>90.206886574072996</v>
      </c>
      <c r="AC2">
        <f>IFERROR(_xlfn.XLOOKUP(B2, HoldSummary!$A:$A, HoldSummary!B:B), 0)</f>
        <v>0</v>
      </c>
      <c r="AD2">
        <f>IFERROR(_xlfn.XLOOKUP(B2, HoldSummary!$A:$A, HoldSummary!C:C), 0)</f>
        <v>0</v>
      </c>
      <c r="AE2">
        <f>IFERROR(_xlfn.XLOOKUP(B2, HoldSummary!$A:$A, HoldSummary!D:D), 0)</f>
        <v>0</v>
      </c>
      <c r="AF2">
        <f>IFERROR(_xlfn.XLOOKUP(B2, HoldSummary!$A:$A, HoldSummary!E:E), 0)</f>
        <v>0</v>
      </c>
      <c r="AG2">
        <f>IFERROR(_xlfn.XLOOKUP(B2, HoldSummary!$A:$A, HoldSummary!F:F), 0)</f>
        <v>0</v>
      </c>
      <c r="AH2">
        <f>IFERROR(_xlfn.XLOOKUP(B2, HoldSummary!$A:$A, HoldSummary!G:G), 0)</f>
        <v>0</v>
      </c>
      <c r="AI2">
        <f>IFERROR(_xlfn.XLOOKUP(B2, HoldSummary!$A:$A, HoldSummary!H:H), 0)</f>
        <v>0</v>
      </c>
      <c r="AJ2">
        <f>IFERROR(_xlfn.XLOOKUP(B2, HoldSummary!$A:$A, HoldSummary!I:I), 0)</f>
        <v>0</v>
      </c>
      <c r="AK2">
        <f>SUM(AC2:AJ2)</f>
        <v>0</v>
      </c>
      <c r="AL2">
        <f>IF(AA2="", "", AA2 - AK2)</f>
        <v>90.206886574072996</v>
      </c>
      <c r="AM2">
        <f>IF(OR(AK2="", AB2=""), "", AB2 - AK2)</f>
        <v>90.206886574072996</v>
      </c>
      <c r="AN2" s="12">
        <f>Q2-O2</f>
        <v>59.833333333335759</v>
      </c>
      <c r="AO2">
        <f>IF(OR(ISBLANK(O2), ISBLANK(Q2)), 1, IF(AN2&lt;=0,1,0))</f>
        <v>0</v>
      </c>
    </row>
    <row r="3" spans="1:41" x14ac:dyDescent="0.35">
      <c r="A3" t="s">
        <v>23</v>
      </c>
      <c r="B3" t="s">
        <v>42</v>
      </c>
      <c r="C3" t="s">
        <v>43</v>
      </c>
      <c r="D3" t="s">
        <v>44</v>
      </c>
      <c r="E3" t="s">
        <v>45</v>
      </c>
      <c r="F3" t="s">
        <v>46</v>
      </c>
      <c r="G3">
        <v>1</v>
      </c>
      <c r="H3" t="s">
        <v>47</v>
      </c>
      <c r="I3" t="s">
        <v>30</v>
      </c>
      <c r="J3" t="s">
        <v>31</v>
      </c>
      <c r="K3" t="s">
        <v>48</v>
      </c>
      <c r="L3" t="s">
        <v>49</v>
      </c>
      <c r="N3" s="2">
        <v>45369.474409722221</v>
      </c>
      <c r="O3" s="2">
        <v>45373.166666666664</v>
      </c>
      <c r="P3" s="2">
        <v>45373.166666666664</v>
      </c>
      <c r="Q3" s="2">
        <v>45370</v>
      </c>
      <c r="R3" s="2">
        <v>45370.820107361113</v>
      </c>
      <c r="T3" s="2"/>
      <c r="U3" s="2"/>
      <c r="V3" s="2"/>
      <c r="W3" s="2"/>
      <c r="X3" s="3" t="str">
        <f t="shared" ref="X3:X66" si="0">IF(OR(ISBLANK(T3), ISBLANK(U3)), "", U3 - T3)</f>
        <v/>
      </c>
      <c r="Y3" t="str">
        <f t="shared" ref="Y3:Y66" si="1">IF(OR(ISBLANK(V3), ISBLANK(W3)), "", W3 - V3)</f>
        <v/>
      </c>
      <c r="Z3">
        <f t="shared" ref="Z3:Z66" si="2">N(X3) + N(Y3)</f>
        <v>0</v>
      </c>
      <c r="AA3">
        <f t="shared" ref="AA3:AA66" si="3">IF(OR(ISBLANK(N3), ISBLANK(Q3)), "", Q3 - N3)</f>
        <v>0.52559027777897427</v>
      </c>
      <c r="AB3">
        <f t="shared" ref="AB3:AB66" si="4">IF(AA3="", "", AA3 - Z3)</f>
        <v>0.52559027777897427</v>
      </c>
      <c r="AC3">
        <f>IFERROR(_xlfn.XLOOKUP(B3, HoldSummary!$A:$A, HoldSummary!B:B), 0)</f>
        <v>0</v>
      </c>
      <c r="AD3">
        <f>IFERROR(_xlfn.XLOOKUP(B3, HoldSummary!$A:$A, HoldSummary!C:C), 0)</f>
        <v>0</v>
      </c>
      <c r="AE3">
        <f>IFERROR(_xlfn.XLOOKUP(B3, HoldSummary!$A:$A, HoldSummary!D:D), 0)</f>
        <v>0</v>
      </c>
      <c r="AF3">
        <f>IFERROR(_xlfn.XLOOKUP(B3, HoldSummary!$A:$A, HoldSummary!E:E), 0)</f>
        <v>0</v>
      </c>
      <c r="AG3">
        <f>IFERROR(_xlfn.XLOOKUP(B3, HoldSummary!$A:$A, HoldSummary!F:F), 0)</f>
        <v>0</v>
      </c>
      <c r="AH3">
        <f>IFERROR(_xlfn.XLOOKUP(B3, HoldSummary!$A:$A, HoldSummary!G:G), 0)</f>
        <v>0</v>
      </c>
      <c r="AI3">
        <f>IFERROR(_xlfn.XLOOKUP(B3, HoldSummary!$A:$A, HoldSummary!H:H), 0)</f>
        <v>0</v>
      </c>
      <c r="AJ3">
        <f>IFERROR(_xlfn.XLOOKUP(B3, HoldSummary!$A:$A, HoldSummary!I:I), 0)</f>
        <v>0</v>
      </c>
      <c r="AK3">
        <f t="shared" ref="AK3:AK66" si="5">SUM(AC3:AJ3)</f>
        <v>0</v>
      </c>
      <c r="AL3">
        <f t="shared" ref="AL3:AL66" si="6">IF(AA3="", "", AA3 - AK3)</f>
        <v>0.52559027777897427</v>
      </c>
      <c r="AM3">
        <f t="shared" ref="AM3:AM66" si="7">IF(OR(AK3="", AB3=""), "", AB3 - AK3)</f>
        <v>0.52559027777897427</v>
      </c>
      <c r="AN3" s="12">
        <f t="shared" ref="AN3:AN66" si="8">Q3-O3</f>
        <v>-3.1666666666642413</v>
      </c>
      <c r="AO3">
        <f t="shared" ref="AO3:AO66" si="9">IF(OR(ISBLANK(O3), ISBLANK(Q3)), 1, IF(AN3&lt;=0,1,0))</f>
        <v>1</v>
      </c>
    </row>
    <row r="4" spans="1:41" x14ac:dyDescent="0.35">
      <c r="A4" t="s">
        <v>23</v>
      </c>
      <c r="B4" t="s">
        <v>50</v>
      </c>
      <c r="C4" t="s">
        <v>51</v>
      </c>
      <c r="D4" t="s">
        <v>44</v>
      </c>
      <c r="E4" t="s">
        <v>45</v>
      </c>
      <c r="F4" t="s">
        <v>46</v>
      </c>
      <c r="G4">
        <v>1</v>
      </c>
      <c r="H4" t="s">
        <v>52</v>
      </c>
      <c r="I4" t="s">
        <v>30</v>
      </c>
      <c r="J4" t="s">
        <v>31</v>
      </c>
      <c r="K4" t="s">
        <v>38</v>
      </c>
      <c r="L4" t="s">
        <v>53</v>
      </c>
      <c r="N4" s="2">
        <v>45383.212129629632</v>
      </c>
      <c r="O4" s="2">
        <v>45463.166666666664</v>
      </c>
      <c r="P4" s="2">
        <v>45418.166666666664</v>
      </c>
      <c r="Q4" s="2">
        <v>45412</v>
      </c>
      <c r="R4" s="2">
        <v>45412.948118032407</v>
      </c>
      <c r="T4" s="2"/>
      <c r="U4" s="2"/>
      <c r="V4" s="2"/>
      <c r="W4" s="2"/>
      <c r="X4" s="3" t="str">
        <f t="shared" si="0"/>
        <v/>
      </c>
      <c r="Y4" t="str">
        <f t="shared" si="1"/>
        <v/>
      </c>
      <c r="Z4">
        <f t="shared" si="2"/>
        <v>0</v>
      </c>
      <c r="AA4">
        <f t="shared" si="3"/>
        <v>28.787870370368182</v>
      </c>
      <c r="AB4">
        <f t="shared" si="4"/>
        <v>28.787870370368182</v>
      </c>
      <c r="AC4">
        <f>IFERROR(_xlfn.XLOOKUP(B4, HoldSummary!$A:$A, HoldSummary!B:B), 0)</f>
        <v>0</v>
      </c>
      <c r="AD4">
        <f>IFERROR(_xlfn.XLOOKUP(B4, HoldSummary!$A:$A, HoldSummary!C:C), 0)</f>
        <v>0</v>
      </c>
      <c r="AE4">
        <f>IFERROR(_xlfn.XLOOKUP(B4, HoldSummary!$A:$A, HoldSummary!D:D), 0)</f>
        <v>0</v>
      </c>
      <c r="AF4">
        <f>IFERROR(_xlfn.XLOOKUP(B4, HoldSummary!$A:$A, HoldSummary!E:E), 0)</f>
        <v>0</v>
      </c>
      <c r="AG4">
        <f>IFERROR(_xlfn.XLOOKUP(B4, HoldSummary!$A:$A, HoldSummary!F:F), 0)</f>
        <v>0</v>
      </c>
      <c r="AH4">
        <f>IFERROR(_xlfn.XLOOKUP(B4, HoldSummary!$A:$A, HoldSummary!G:G), 0)</f>
        <v>0</v>
      </c>
      <c r="AI4">
        <f>IFERROR(_xlfn.XLOOKUP(B4, HoldSummary!$A:$A, HoldSummary!H:H), 0)</f>
        <v>0</v>
      </c>
      <c r="AJ4">
        <f>IFERROR(_xlfn.XLOOKUP(B4, HoldSummary!$A:$A, HoldSummary!I:I), 0)</f>
        <v>0</v>
      </c>
      <c r="AK4">
        <f t="shared" si="5"/>
        <v>0</v>
      </c>
      <c r="AL4">
        <f t="shared" si="6"/>
        <v>28.787870370368182</v>
      </c>
      <c r="AM4">
        <f t="shared" si="7"/>
        <v>28.787870370368182</v>
      </c>
      <c r="AN4" s="12">
        <f t="shared" si="8"/>
        <v>-51.166666666664241</v>
      </c>
      <c r="AO4">
        <f t="shared" si="9"/>
        <v>1</v>
      </c>
    </row>
    <row r="5" spans="1:41" x14ac:dyDescent="0.35">
      <c r="A5" t="s">
        <v>23</v>
      </c>
      <c r="B5">
        <v>106667</v>
      </c>
      <c r="C5" t="s">
        <v>54</v>
      </c>
      <c r="D5" t="s">
        <v>44</v>
      </c>
      <c r="E5" t="s">
        <v>55</v>
      </c>
      <c r="F5" t="s">
        <v>46</v>
      </c>
      <c r="G5">
        <v>1</v>
      </c>
      <c r="H5" t="s">
        <v>56</v>
      </c>
      <c r="I5" t="s">
        <v>30</v>
      </c>
      <c r="J5" t="s">
        <v>31</v>
      </c>
      <c r="K5" t="s">
        <v>57</v>
      </c>
      <c r="L5" t="s">
        <v>58</v>
      </c>
      <c r="M5" t="s">
        <v>33</v>
      </c>
      <c r="N5" s="2">
        <v>45467.166666666664</v>
      </c>
      <c r="O5" s="2">
        <v>45576.166666666664</v>
      </c>
      <c r="P5" s="2">
        <v>45576.166666666664</v>
      </c>
      <c r="Q5" s="2">
        <v>45491</v>
      </c>
      <c r="R5" s="2">
        <v>45492.620107858798</v>
      </c>
      <c r="T5" s="2">
        <v>45483.166666666664</v>
      </c>
      <c r="U5" s="2">
        <v>45485.166666666664</v>
      </c>
      <c r="V5" s="2">
        <v>45485.166666666664</v>
      </c>
      <c r="W5" s="2">
        <v>45490.166666666664</v>
      </c>
      <c r="X5" s="3">
        <f t="shared" si="0"/>
        <v>2</v>
      </c>
      <c r="Y5">
        <f t="shared" si="1"/>
        <v>5</v>
      </c>
      <c r="Z5">
        <f t="shared" si="2"/>
        <v>7</v>
      </c>
      <c r="AA5">
        <f t="shared" si="3"/>
        <v>23.833333333335759</v>
      </c>
      <c r="AB5">
        <f t="shared" si="4"/>
        <v>16.833333333335759</v>
      </c>
      <c r="AC5">
        <f>IFERROR(_xlfn.XLOOKUP(B5, HoldSummary!$A:$A, HoldSummary!B:B), 0)</f>
        <v>0</v>
      </c>
      <c r="AD5">
        <f>IFERROR(_xlfn.XLOOKUP(B5, HoldSummary!$A:$A, HoldSummary!C:C), 0)</f>
        <v>0</v>
      </c>
      <c r="AE5">
        <f>IFERROR(_xlfn.XLOOKUP(B5, HoldSummary!$A:$A, HoldSummary!D:D), 0)</f>
        <v>0</v>
      </c>
      <c r="AF5">
        <f>IFERROR(_xlfn.XLOOKUP(B5, HoldSummary!$A:$A, HoldSummary!E:E), 0)</f>
        <v>0</v>
      </c>
      <c r="AG5">
        <f>IFERROR(_xlfn.XLOOKUP(B5, HoldSummary!$A:$A, HoldSummary!F:F), 0)</f>
        <v>0</v>
      </c>
      <c r="AH5">
        <f>IFERROR(_xlfn.XLOOKUP(B5, HoldSummary!$A:$A, HoldSummary!G:G), 0)</f>
        <v>0</v>
      </c>
      <c r="AI5">
        <f>IFERROR(_xlfn.XLOOKUP(B5, HoldSummary!$A:$A, HoldSummary!H:H), 0)</f>
        <v>0</v>
      </c>
      <c r="AJ5">
        <f>IFERROR(_xlfn.XLOOKUP(B5, HoldSummary!$A:$A, HoldSummary!I:I), 0)</f>
        <v>0</v>
      </c>
      <c r="AK5">
        <f t="shared" si="5"/>
        <v>0</v>
      </c>
      <c r="AL5">
        <f t="shared" si="6"/>
        <v>23.833333333335759</v>
      </c>
      <c r="AM5">
        <f t="shared" si="7"/>
        <v>16.833333333335759</v>
      </c>
      <c r="AN5" s="12">
        <f t="shared" si="8"/>
        <v>-85.166666666664241</v>
      </c>
      <c r="AO5">
        <f t="shared" si="9"/>
        <v>1</v>
      </c>
    </row>
    <row r="6" spans="1:41" x14ac:dyDescent="0.35">
      <c r="A6" t="s">
        <v>23</v>
      </c>
      <c r="B6">
        <v>105554</v>
      </c>
      <c r="C6" t="s">
        <v>54</v>
      </c>
      <c r="D6" t="s">
        <v>44</v>
      </c>
      <c r="E6" t="s">
        <v>55</v>
      </c>
      <c r="F6" t="s">
        <v>46</v>
      </c>
      <c r="G6">
        <v>1</v>
      </c>
      <c r="H6" t="s">
        <v>59</v>
      </c>
      <c r="I6" t="s">
        <v>30</v>
      </c>
      <c r="J6" t="s">
        <v>31</v>
      </c>
      <c r="K6" t="s">
        <v>57</v>
      </c>
      <c r="L6" t="s">
        <v>58</v>
      </c>
      <c r="M6" t="s">
        <v>33</v>
      </c>
      <c r="N6" s="2">
        <v>45407.166666666664</v>
      </c>
      <c r="O6" s="2">
        <v>45575.166666666664</v>
      </c>
      <c r="P6" s="2">
        <v>45575.166666666664</v>
      </c>
      <c r="Q6" s="2">
        <v>45531</v>
      </c>
      <c r="R6" s="2">
        <v>45531.826953657408</v>
      </c>
      <c r="S6" t="s">
        <v>60</v>
      </c>
      <c r="T6" s="2">
        <v>45490.166666666664</v>
      </c>
      <c r="U6" s="2">
        <v>45496.166666666664</v>
      </c>
      <c r="V6" s="2">
        <v>45496.166666666664</v>
      </c>
      <c r="W6" s="2">
        <v>45526.166666666664</v>
      </c>
      <c r="X6" s="3">
        <f t="shared" si="0"/>
        <v>6</v>
      </c>
      <c r="Y6">
        <f t="shared" si="1"/>
        <v>30</v>
      </c>
      <c r="Z6">
        <f t="shared" si="2"/>
        <v>36</v>
      </c>
      <c r="AA6">
        <f t="shared" si="3"/>
        <v>123.83333333333576</v>
      </c>
      <c r="AB6">
        <f t="shared" si="4"/>
        <v>87.833333333335759</v>
      </c>
      <c r="AC6">
        <f>IFERROR(_xlfn.XLOOKUP(B6, HoldSummary!$A:$A, HoldSummary!B:B), 0)</f>
        <v>0</v>
      </c>
      <c r="AD6">
        <f>IFERROR(_xlfn.XLOOKUP(B6, HoldSummary!$A:$A, HoldSummary!C:C), 0)</f>
        <v>0</v>
      </c>
      <c r="AE6">
        <f>IFERROR(_xlfn.XLOOKUP(B6, HoldSummary!$A:$A, HoldSummary!D:D), 0)</f>
        <v>0</v>
      </c>
      <c r="AF6">
        <f>IFERROR(_xlfn.XLOOKUP(B6, HoldSummary!$A:$A, HoldSummary!E:E), 0)</f>
        <v>0</v>
      </c>
      <c r="AG6">
        <f>IFERROR(_xlfn.XLOOKUP(B6, HoldSummary!$A:$A, HoldSummary!F:F), 0)</f>
        <v>3</v>
      </c>
      <c r="AH6">
        <f>IFERROR(_xlfn.XLOOKUP(B6, HoldSummary!$A:$A, HoldSummary!G:G), 0)</f>
        <v>0</v>
      </c>
      <c r="AI6">
        <f>IFERROR(_xlfn.XLOOKUP(B6, HoldSummary!$A:$A, HoldSummary!H:H), 0)</f>
        <v>0</v>
      </c>
      <c r="AJ6">
        <f>IFERROR(_xlfn.XLOOKUP(B6, HoldSummary!$A:$A, HoldSummary!I:I), 0)</f>
        <v>0</v>
      </c>
      <c r="AK6">
        <f t="shared" si="5"/>
        <v>3</v>
      </c>
      <c r="AL6">
        <f t="shared" si="6"/>
        <v>120.83333333333576</v>
      </c>
      <c r="AM6">
        <f t="shared" si="7"/>
        <v>84.833333333335759</v>
      </c>
      <c r="AN6" s="12">
        <f t="shared" si="8"/>
        <v>-44.166666666664241</v>
      </c>
      <c r="AO6">
        <f t="shared" si="9"/>
        <v>1</v>
      </c>
    </row>
    <row r="7" spans="1:41" x14ac:dyDescent="0.35">
      <c r="A7" t="s">
        <v>23</v>
      </c>
      <c r="B7" t="s">
        <v>61</v>
      </c>
      <c r="C7" t="s">
        <v>43</v>
      </c>
      <c r="D7" t="s">
        <v>44</v>
      </c>
      <c r="E7" t="s">
        <v>45</v>
      </c>
      <c r="F7" t="s">
        <v>46</v>
      </c>
      <c r="G7">
        <v>1</v>
      </c>
      <c r="H7" t="s">
        <v>62</v>
      </c>
      <c r="I7" t="s">
        <v>30</v>
      </c>
      <c r="J7" t="s">
        <v>31</v>
      </c>
      <c r="K7" t="s">
        <v>38</v>
      </c>
      <c r="L7" t="s">
        <v>39</v>
      </c>
      <c r="M7" t="s">
        <v>33</v>
      </c>
      <c r="N7" s="2">
        <v>45471.537673611114</v>
      </c>
      <c r="O7" s="2">
        <v>45506.166666666664</v>
      </c>
      <c r="P7" s="2">
        <v>45511.166666666664</v>
      </c>
      <c r="Q7" s="2">
        <v>45509</v>
      </c>
      <c r="R7" s="2">
        <v>45510.021303125002</v>
      </c>
      <c r="S7" t="s">
        <v>63</v>
      </c>
      <c r="T7" s="2">
        <v>45497.166666666664</v>
      </c>
      <c r="U7" s="2">
        <v>45497.166666666664</v>
      </c>
      <c r="V7" s="2">
        <v>45497.166666666664</v>
      </c>
      <c r="W7" s="2">
        <v>45499.166666666664</v>
      </c>
      <c r="X7" s="3">
        <f t="shared" si="0"/>
        <v>0</v>
      </c>
      <c r="Y7">
        <f t="shared" si="1"/>
        <v>2</v>
      </c>
      <c r="Z7">
        <f t="shared" si="2"/>
        <v>2</v>
      </c>
      <c r="AA7">
        <f t="shared" si="3"/>
        <v>37.46232638888614</v>
      </c>
      <c r="AB7">
        <f t="shared" si="4"/>
        <v>35.46232638888614</v>
      </c>
      <c r="AC7">
        <f>IFERROR(_xlfn.XLOOKUP(B7, HoldSummary!$A:$A, HoldSummary!B:B), 0)</f>
        <v>0</v>
      </c>
      <c r="AD7">
        <f>IFERROR(_xlfn.XLOOKUP(B7, HoldSummary!$A:$A, HoldSummary!C:C), 0)</f>
        <v>0</v>
      </c>
      <c r="AE7">
        <f>IFERROR(_xlfn.XLOOKUP(B7, HoldSummary!$A:$A, HoldSummary!D:D), 0)</f>
        <v>0</v>
      </c>
      <c r="AF7">
        <f>IFERROR(_xlfn.XLOOKUP(B7, HoldSummary!$A:$A, HoldSummary!E:E), 0)</f>
        <v>0</v>
      </c>
      <c r="AG7">
        <f>IFERROR(_xlfn.XLOOKUP(B7, HoldSummary!$A:$A, HoldSummary!F:F), 0)</f>
        <v>0</v>
      </c>
      <c r="AH7">
        <f>IFERROR(_xlfn.XLOOKUP(B7, HoldSummary!$A:$A, HoldSummary!G:G), 0)</f>
        <v>0</v>
      </c>
      <c r="AI7">
        <f>IFERROR(_xlfn.XLOOKUP(B7, HoldSummary!$A:$A, HoldSummary!H:H), 0)</f>
        <v>0</v>
      </c>
      <c r="AJ7">
        <f>IFERROR(_xlfn.XLOOKUP(B7, HoldSummary!$A:$A, HoldSummary!I:I), 0)</f>
        <v>0</v>
      </c>
      <c r="AK7">
        <f t="shared" si="5"/>
        <v>0</v>
      </c>
      <c r="AL7">
        <f t="shared" si="6"/>
        <v>37.46232638888614</v>
      </c>
      <c r="AM7">
        <f t="shared" si="7"/>
        <v>35.46232638888614</v>
      </c>
      <c r="AN7" s="12">
        <f t="shared" si="8"/>
        <v>2.8333333333357587</v>
      </c>
      <c r="AO7">
        <f t="shared" si="9"/>
        <v>0</v>
      </c>
    </row>
    <row r="8" spans="1:41" x14ac:dyDescent="0.35">
      <c r="A8" t="s">
        <v>23</v>
      </c>
      <c r="B8" t="s">
        <v>64</v>
      </c>
      <c r="C8" t="s">
        <v>65</v>
      </c>
      <c r="D8" t="s">
        <v>44</v>
      </c>
      <c r="E8" t="s">
        <v>44</v>
      </c>
      <c r="F8" t="s">
        <v>46</v>
      </c>
      <c r="G8">
        <v>1</v>
      </c>
      <c r="H8" t="s">
        <v>66</v>
      </c>
      <c r="I8" t="s">
        <v>30</v>
      </c>
      <c r="J8" t="s">
        <v>31</v>
      </c>
      <c r="K8" t="s">
        <v>38</v>
      </c>
      <c r="M8" t="s">
        <v>33</v>
      </c>
      <c r="N8" s="2">
        <v>45518.166666666664</v>
      </c>
      <c r="O8" s="2">
        <v>45534.166666666664</v>
      </c>
      <c r="P8" s="2">
        <v>45534.166666666664</v>
      </c>
      <c r="Q8" s="2">
        <v>45530</v>
      </c>
      <c r="R8" s="2">
        <v>45531.660401851848</v>
      </c>
      <c r="S8" t="s">
        <v>67</v>
      </c>
      <c r="T8" s="2">
        <v>45525.166666666664</v>
      </c>
      <c r="U8" s="2">
        <v>45525.166666666664</v>
      </c>
      <c r="V8" s="2">
        <v>45525.166666666664</v>
      </c>
      <c r="W8" s="2">
        <v>45525.166666666664</v>
      </c>
      <c r="X8" s="3">
        <f t="shared" si="0"/>
        <v>0</v>
      </c>
      <c r="Y8">
        <f t="shared" si="1"/>
        <v>0</v>
      </c>
      <c r="Z8">
        <f t="shared" si="2"/>
        <v>0</v>
      </c>
      <c r="AA8">
        <f t="shared" si="3"/>
        <v>11.833333333335759</v>
      </c>
      <c r="AB8">
        <f t="shared" si="4"/>
        <v>11.833333333335759</v>
      </c>
      <c r="AC8">
        <f>IFERROR(_xlfn.XLOOKUP(B8, HoldSummary!$A:$A, HoldSummary!B:B), 0)</f>
        <v>0</v>
      </c>
      <c r="AD8">
        <f>IFERROR(_xlfn.XLOOKUP(B8, HoldSummary!$A:$A, HoldSummary!C:C), 0)</f>
        <v>0</v>
      </c>
      <c r="AE8">
        <f>IFERROR(_xlfn.XLOOKUP(B8, HoldSummary!$A:$A, HoldSummary!D:D), 0)</f>
        <v>0</v>
      </c>
      <c r="AF8">
        <f>IFERROR(_xlfn.XLOOKUP(B8, HoldSummary!$A:$A, HoldSummary!E:E), 0)</f>
        <v>0</v>
      </c>
      <c r="AG8">
        <f>IFERROR(_xlfn.XLOOKUP(B8, HoldSummary!$A:$A, HoldSummary!F:F), 0)</f>
        <v>4</v>
      </c>
      <c r="AH8">
        <f>IFERROR(_xlfn.XLOOKUP(B8, HoldSummary!$A:$A, HoldSummary!G:G), 0)</f>
        <v>0</v>
      </c>
      <c r="AI8">
        <f>IFERROR(_xlfn.XLOOKUP(B8, HoldSummary!$A:$A, HoldSummary!H:H), 0)</f>
        <v>0</v>
      </c>
      <c r="AJ8">
        <f>IFERROR(_xlfn.XLOOKUP(B8, HoldSummary!$A:$A, HoldSummary!I:I), 0)</f>
        <v>0</v>
      </c>
      <c r="AK8">
        <f t="shared" si="5"/>
        <v>4</v>
      </c>
      <c r="AL8">
        <f t="shared" si="6"/>
        <v>7.8333333333357587</v>
      </c>
      <c r="AM8">
        <f t="shared" si="7"/>
        <v>7.8333333333357587</v>
      </c>
      <c r="AN8" s="12">
        <f t="shared" si="8"/>
        <v>-4.1666666666642413</v>
      </c>
      <c r="AO8">
        <f t="shared" si="9"/>
        <v>1</v>
      </c>
    </row>
    <row r="9" spans="1:41" x14ac:dyDescent="0.35">
      <c r="A9" t="s">
        <v>23</v>
      </c>
      <c r="B9" t="s">
        <v>68</v>
      </c>
      <c r="C9" t="s">
        <v>54</v>
      </c>
      <c r="D9" t="s">
        <v>44</v>
      </c>
      <c r="E9" t="s">
        <v>44</v>
      </c>
      <c r="F9" t="s">
        <v>46</v>
      </c>
      <c r="G9">
        <v>1</v>
      </c>
      <c r="H9" t="s">
        <v>69</v>
      </c>
      <c r="I9" t="s">
        <v>30</v>
      </c>
      <c r="J9" t="s">
        <v>70</v>
      </c>
      <c r="K9" t="s">
        <v>38</v>
      </c>
      <c r="L9" t="s">
        <v>58</v>
      </c>
      <c r="M9" t="s">
        <v>33</v>
      </c>
      <c r="N9" s="2">
        <v>45679.208333333336</v>
      </c>
      <c r="O9" s="2">
        <v>45716.208333333336</v>
      </c>
      <c r="P9" s="2">
        <v>45838.166666666664</v>
      </c>
      <c r="Q9" s="2">
        <v>45835</v>
      </c>
      <c r="R9" s="2">
        <v>45839.486731377314</v>
      </c>
      <c r="S9" t="s">
        <v>71</v>
      </c>
      <c r="T9" s="2">
        <v>45695.208333333336</v>
      </c>
      <c r="U9" s="2">
        <v>45699.208333333336</v>
      </c>
      <c r="V9" s="2">
        <v>45699.208333333336</v>
      </c>
      <c r="W9" s="2">
        <v>45716.208333333336</v>
      </c>
      <c r="X9" s="3">
        <f t="shared" si="0"/>
        <v>4</v>
      </c>
      <c r="Y9">
        <f t="shared" si="1"/>
        <v>17</v>
      </c>
      <c r="Z9">
        <f t="shared" si="2"/>
        <v>21</v>
      </c>
      <c r="AA9">
        <f t="shared" si="3"/>
        <v>155.79166666666424</v>
      </c>
      <c r="AB9">
        <f t="shared" si="4"/>
        <v>134.79166666666424</v>
      </c>
      <c r="AC9">
        <f>IFERROR(_xlfn.XLOOKUP(B9, HoldSummary!$A:$A, HoldSummary!B:B), 0)</f>
        <v>0</v>
      </c>
      <c r="AD9">
        <f>IFERROR(_xlfn.XLOOKUP(B9, HoldSummary!$A:$A, HoldSummary!C:C), 0)</f>
        <v>0</v>
      </c>
      <c r="AE9">
        <f>IFERROR(_xlfn.XLOOKUP(B9, HoldSummary!$A:$A, HoldSummary!D:D), 0)</f>
        <v>0</v>
      </c>
      <c r="AF9">
        <f>IFERROR(_xlfn.XLOOKUP(B9, HoldSummary!$A:$A, HoldSummary!E:E), 0)</f>
        <v>0</v>
      </c>
      <c r="AG9">
        <f>IFERROR(_xlfn.XLOOKUP(B9, HoldSummary!$A:$A, HoldSummary!F:F), 0)</f>
        <v>0</v>
      </c>
      <c r="AH9">
        <f>IFERROR(_xlfn.XLOOKUP(B9, HoldSummary!$A:$A, HoldSummary!G:G), 0)</f>
        <v>0</v>
      </c>
      <c r="AI9">
        <f>IFERROR(_xlfn.XLOOKUP(B9, HoldSummary!$A:$A, HoldSummary!H:H), 0)</f>
        <v>0</v>
      </c>
      <c r="AJ9">
        <f>IFERROR(_xlfn.XLOOKUP(B9, HoldSummary!$A:$A, HoldSummary!I:I), 0)</f>
        <v>0</v>
      </c>
      <c r="AK9">
        <f t="shared" si="5"/>
        <v>0</v>
      </c>
      <c r="AL9">
        <f t="shared" si="6"/>
        <v>155.79166666666424</v>
      </c>
      <c r="AM9">
        <f t="shared" si="7"/>
        <v>134.79166666666424</v>
      </c>
      <c r="AN9" s="12">
        <f t="shared" si="8"/>
        <v>118.79166666666424</v>
      </c>
      <c r="AO9">
        <f t="shared" si="9"/>
        <v>0</v>
      </c>
    </row>
    <row r="10" spans="1:41" x14ac:dyDescent="0.35">
      <c r="A10" t="s">
        <v>23</v>
      </c>
      <c r="B10" t="s">
        <v>72</v>
      </c>
      <c r="C10" t="s">
        <v>54</v>
      </c>
      <c r="D10" t="s">
        <v>44</v>
      </c>
      <c r="E10" t="s">
        <v>45</v>
      </c>
      <c r="F10" t="s">
        <v>46</v>
      </c>
      <c r="G10">
        <v>1</v>
      </c>
      <c r="H10" t="s">
        <v>73</v>
      </c>
      <c r="I10" t="s">
        <v>30</v>
      </c>
      <c r="J10" t="s">
        <v>31</v>
      </c>
      <c r="K10" t="s">
        <v>38</v>
      </c>
      <c r="L10" t="s">
        <v>53</v>
      </c>
      <c r="M10" t="s">
        <v>33</v>
      </c>
      <c r="N10" s="2">
        <v>45818.046400462961</v>
      </c>
      <c r="O10" s="2">
        <v>46224.166666666664</v>
      </c>
      <c r="P10" s="2">
        <v>45826.166666666664</v>
      </c>
      <c r="Q10" s="2">
        <v>45826</v>
      </c>
      <c r="R10" s="2">
        <v>45826.925384189817</v>
      </c>
      <c r="T10" s="2">
        <v>45821.166666666664</v>
      </c>
      <c r="U10" s="2">
        <v>45821.166666666664</v>
      </c>
      <c r="V10" s="2">
        <v>45825.166666666664</v>
      </c>
      <c r="W10" s="2">
        <v>45825.166666666664</v>
      </c>
      <c r="X10" s="3">
        <f t="shared" si="0"/>
        <v>0</v>
      </c>
      <c r="Y10">
        <f t="shared" si="1"/>
        <v>0</v>
      </c>
      <c r="Z10">
        <f t="shared" si="2"/>
        <v>0</v>
      </c>
      <c r="AA10">
        <f t="shared" si="3"/>
        <v>7.9535995370388264</v>
      </c>
      <c r="AB10">
        <f t="shared" si="4"/>
        <v>7.9535995370388264</v>
      </c>
      <c r="AC10">
        <f>IFERROR(_xlfn.XLOOKUP(B10, HoldSummary!$A:$A, HoldSummary!B:B), 0)</f>
        <v>0</v>
      </c>
      <c r="AD10">
        <f>IFERROR(_xlfn.XLOOKUP(B10, HoldSummary!$A:$A, HoldSummary!C:C), 0)</f>
        <v>0</v>
      </c>
      <c r="AE10">
        <f>IFERROR(_xlfn.XLOOKUP(B10, HoldSummary!$A:$A, HoldSummary!D:D), 0)</f>
        <v>0</v>
      </c>
      <c r="AF10">
        <f>IFERROR(_xlfn.XLOOKUP(B10, HoldSummary!$A:$A, HoldSummary!E:E), 0)</f>
        <v>0</v>
      </c>
      <c r="AG10">
        <f>IFERROR(_xlfn.XLOOKUP(B10, HoldSummary!$A:$A, HoldSummary!F:F), 0)</f>
        <v>0</v>
      </c>
      <c r="AH10">
        <f>IFERROR(_xlfn.XLOOKUP(B10, HoldSummary!$A:$A, HoldSummary!G:G), 0)</f>
        <v>0</v>
      </c>
      <c r="AI10">
        <f>IFERROR(_xlfn.XLOOKUP(B10, HoldSummary!$A:$A, HoldSummary!H:H), 0)</f>
        <v>0</v>
      </c>
      <c r="AJ10">
        <f>IFERROR(_xlfn.XLOOKUP(B10, HoldSummary!$A:$A, HoldSummary!I:I), 0)</f>
        <v>0</v>
      </c>
      <c r="AK10">
        <f t="shared" si="5"/>
        <v>0</v>
      </c>
      <c r="AL10">
        <f t="shared" si="6"/>
        <v>7.9535995370388264</v>
      </c>
      <c r="AM10">
        <f t="shared" si="7"/>
        <v>7.9535995370388264</v>
      </c>
      <c r="AN10" s="12">
        <f t="shared" si="8"/>
        <v>-398.16666666666424</v>
      </c>
      <c r="AO10">
        <f t="shared" si="9"/>
        <v>1</v>
      </c>
    </row>
    <row r="11" spans="1:41" x14ac:dyDescent="0.35">
      <c r="A11" t="s">
        <v>23</v>
      </c>
      <c r="B11">
        <v>107422</v>
      </c>
      <c r="C11" t="s">
        <v>54</v>
      </c>
      <c r="D11" t="s">
        <v>44</v>
      </c>
      <c r="E11" t="s">
        <v>55</v>
      </c>
      <c r="F11" t="s">
        <v>46</v>
      </c>
      <c r="G11">
        <v>2</v>
      </c>
      <c r="H11" t="s">
        <v>74</v>
      </c>
      <c r="I11" t="s">
        <v>30</v>
      </c>
      <c r="J11" t="s">
        <v>31</v>
      </c>
      <c r="K11" t="s">
        <v>57</v>
      </c>
      <c r="L11" t="s">
        <v>58</v>
      </c>
      <c r="M11" t="s">
        <v>33</v>
      </c>
      <c r="N11" s="2">
        <v>45509.166666666664</v>
      </c>
      <c r="O11" s="2">
        <v>45534.166666666664</v>
      </c>
      <c r="P11" s="2">
        <v>45534.166666666664</v>
      </c>
      <c r="Q11" s="2">
        <v>45527</v>
      </c>
      <c r="R11" s="2">
        <v>45527.638374965281</v>
      </c>
      <c r="S11" t="s">
        <v>75</v>
      </c>
      <c r="T11" s="2">
        <v>45523.166666666664</v>
      </c>
      <c r="U11" s="2">
        <v>45523.166666666664</v>
      </c>
      <c r="V11" s="2">
        <v>45523.166666666664</v>
      </c>
      <c r="W11" s="2">
        <v>45523.166666666664</v>
      </c>
      <c r="X11" s="3">
        <f t="shared" si="0"/>
        <v>0</v>
      </c>
      <c r="Y11">
        <f t="shared" si="1"/>
        <v>0</v>
      </c>
      <c r="Z11">
        <f t="shared" si="2"/>
        <v>0</v>
      </c>
      <c r="AA11">
        <f t="shared" si="3"/>
        <v>17.833333333335759</v>
      </c>
      <c r="AB11">
        <f t="shared" si="4"/>
        <v>17.833333333335759</v>
      </c>
      <c r="AC11">
        <f>IFERROR(_xlfn.XLOOKUP(B11, HoldSummary!$A:$A, HoldSummary!B:B), 0)</f>
        <v>0</v>
      </c>
      <c r="AD11">
        <f>IFERROR(_xlfn.XLOOKUP(B11, HoldSummary!$A:$A, HoldSummary!C:C), 0)</f>
        <v>0</v>
      </c>
      <c r="AE11">
        <f>IFERROR(_xlfn.XLOOKUP(B11, HoldSummary!$A:$A, HoldSummary!D:D), 0)</f>
        <v>0</v>
      </c>
      <c r="AF11">
        <f>IFERROR(_xlfn.XLOOKUP(B11, HoldSummary!$A:$A, HoldSummary!E:E), 0)</f>
        <v>0</v>
      </c>
      <c r="AG11">
        <f>IFERROR(_xlfn.XLOOKUP(B11, HoldSummary!$A:$A, HoldSummary!F:F), 0)</f>
        <v>0</v>
      </c>
      <c r="AH11">
        <f>IFERROR(_xlfn.XLOOKUP(B11, HoldSummary!$A:$A, HoldSummary!G:G), 0)</f>
        <v>0</v>
      </c>
      <c r="AI11">
        <f>IFERROR(_xlfn.XLOOKUP(B11, HoldSummary!$A:$A, HoldSummary!H:H), 0)</f>
        <v>0</v>
      </c>
      <c r="AJ11">
        <f>IFERROR(_xlfn.XLOOKUP(B11, HoldSummary!$A:$A, HoldSummary!I:I), 0)</f>
        <v>0</v>
      </c>
      <c r="AK11">
        <f t="shared" si="5"/>
        <v>0</v>
      </c>
      <c r="AL11">
        <f t="shared" si="6"/>
        <v>17.833333333335759</v>
      </c>
      <c r="AM11">
        <f t="shared" si="7"/>
        <v>17.833333333335759</v>
      </c>
      <c r="AN11" s="12">
        <f t="shared" si="8"/>
        <v>-7.1666666666642413</v>
      </c>
      <c r="AO11">
        <f t="shared" si="9"/>
        <v>1</v>
      </c>
    </row>
    <row r="12" spans="1:41" x14ac:dyDescent="0.35">
      <c r="A12" t="s">
        <v>23</v>
      </c>
      <c r="B12">
        <v>108880</v>
      </c>
      <c r="C12" t="s">
        <v>76</v>
      </c>
      <c r="D12" t="s">
        <v>44</v>
      </c>
      <c r="E12" t="s">
        <v>55</v>
      </c>
      <c r="F12" t="s">
        <v>46</v>
      </c>
      <c r="G12">
        <v>2</v>
      </c>
      <c r="H12" t="s">
        <v>77</v>
      </c>
      <c r="I12" t="s">
        <v>30</v>
      </c>
      <c r="J12" t="s">
        <v>31</v>
      </c>
      <c r="K12" t="s">
        <v>57</v>
      </c>
      <c r="L12" t="s">
        <v>39</v>
      </c>
      <c r="M12" t="s">
        <v>33</v>
      </c>
      <c r="N12" s="2">
        <v>45575.166666666664</v>
      </c>
      <c r="O12" s="2">
        <v>45708.208333333336</v>
      </c>
      <c r="P12" s="2">
        <v>45708.208333333336</v>
      </c>
      <c r="Q12" s="2">
        <v>45681</v>
      </c>
      <c r="R12" s="2">
        <v>45681.913408182867</v>
      </c>
      <c r="T12" s="2">
        <v>45666.208333333336</v>
      </c>
      <c r="U12" s="2">
        <v>45674.208333333336</v>
      </c>
      <c r="V12" s="2">
        <v>45674.208333333336</v>
      </c>
      <c r="W12" s="2">
        <v>45677.208333333336</v>
      </c>
      <c r="X12" s="3">
        <f t="shared" si="0"/>
        <v>8</v>
      </c>
      <c r="Y12">
        <f t="shared" si="1"/>
        <v>3</v>
      </c>
      <c r="Z12">
        <f t="shared" si="2"/>
        <v>11</v>
      </c>
      <c r="AA12">
        <f t="shared" si="3"/>
        <v>105.83333333333576</v>
      </c>
      <c r="AB12">
        <f t="shared" si="4"/>
        <v>94.833333333335759</v>
      </c>
      <c r="AC12">
        <f>IFERROR(_xlfn.XLOOKUP(B12, HoldSummary!$A:$A, HoldSummary!B:B), 0)</f>
        <v>4</v>
      </c>
      <c r="AD12">
        <f>IFERROR(_xlfn.XLOOKUP(B12, HoldSummary!$A:$A, HoldSummary!C:C), 0)</f>
        <v>5</v>
      </c>
      <c r="AE12">
        <f>IFERROR(_xlfn.XLOOKUP(B12, HoldSummary!$A:$A, HoldSummary!D:D), 0)</f>
        <v>0</v>
      </c>
      <c r="AF12">
        <f>IFERROR(_xlfn.XLOOKUP(B12, HoldSummary!$A:$A, HoldSummary!E:E), 0)</f>
        <v>0</v>
      </c>
      <c r="AG12">
        <f>IFERROR(_xlfn.XLOOKUP(B12, HoldSummary!$A:$A, HoldSummary!F:F), 0)</f>
        <v>0</v>
      </c>
      <c r="AH12">
        <f>IFERROR(_xlfn.XLOOKUP(B12, HoldSummary!$A:$A, HoldSummary!G:G), 0)</f>
        <v>0</v>
      </c>
      <c r="AI12">
        <f>IFERROR(_xlfn.XLOOKUP(B12, HoldSummary!$A:$A, HoldSummary!H:H), 0)</f>
        <v>0</v>
      </c>
      <c r="AJ12">
        <f>IFERROR(_xlfn.XLOOKUP(B12, HoldSummary!$A:$A, HoldSummary!I:I), 0)</f>
        <v>0</v>
      </c>
      <c r="AK12">
        <f t="shared" si="5"/>
        <v>9</v>
      </c>
      <c r="AL12">
        <f t="shared" si="6"/>
        <v>96.833333333335759</v>
      </c>
      <c r="AM12">
        <f t="shared" si="7"/>
        <v>85.833333333335759</v>
      </c>
      <c r="AN12" s="12">
        <f t="shared" si="8"/>
        <v>-27.208333333335759</v>
      </c>
      <c r="AO12">
        <f t="shared" si="9"/>
        <v>1</v>
      </c>
    </row>
    <row r="13" spans="1:41" x14ac:dyDescent="0.35">
      <c r="A13" t="s">
        <v>23</v>
      </c>
      <c r="B13">
        <v>112238</v>
      </c>
      <c r="C13" t="s">
        <v>54</v>
      </c>
      <c r="D13" t="s">
        <v>44</v>
      </c>
      <c r="E13" t="s">
        <v>55</v>
      </c>
      <c r="F13" t="s">
        <v>46</v>
      </c>
      <c r="G13">
        <v>2</v>
      </c>
      <c r="H13" t="s">
        <v>78</v>
      </c>
      <c r="I13" t="s">
        <v>30</v>
      </c>
      <c r="J13" t="s">
        <v>31</v>
      </c>
      <c r="K13" t="s">
        <v>57</v>
      </c>
      <c r="L13" t="s">
        <v>58</v>
      </c>
      <c r="M13" t="s">
        <v>33</v>
      </c>
      <c r="N13" s="2">
        <v>45751.166666666664</v>
      </c>
      <c r="O13" s="2">
        <v>45856.166666666664</v>
      </c>
      <c r="P13" s="2">
        <v>45814.166666666664</v>
      </c>
      <c r="Q13" s="2">
        <v>45807</v>
      </c>
      <c r="R13" s="2">
        <v>45807.779410381947</v>
      </c>
      <c r="T13" s="2">
        <v>45755.166666666664</v>
      </c>
      <c r="U13" s="2">
        <v>45755.166666666664</v>
      </c>
      <c r="V13" s="2">
        <v>45793.166666666664</v>
      </c>
      <c r="W13" s="2">
        <v>45798.166666666664</v>
      </c>
      <c r="X13" s="3">
        <f t="shared" si="0"/>
        <v>0</v>
      </c>
      <c r="Y13">
        <f t="shared" si="1"/>
        <v>5</v>
      </c>
      <c r="Z13">
        <f t="shared" si="2"/>
        <v>5</v>
      </c>
      <c r="AA13">
        <f t="shared" si="3"/>
        <v>55.833333333335759</v>
      </c>
      <c r="AB13">
        <f t="shared" si="4"/>
        <v>50.833333333335759</v>
      </c>
      <c r="AC13">
        <f>IFERROR(_xlfn.XLOOKUP(B13, HoldSummary!$A:$A, HoldSummary!B:B), 0)</f>
        <v>0</v>
      </c>
      <c r="AD13">
        <f>IFERROR(_xlfn.XLOOKUP(B13, HoldSummary!$A:$A, HoldSummary!C:C), 0)</f>
        <v>0</v>
      </c>
      <c r="AE13">
        <f>IFERROR(_xlfn.XLOOKUP(B13, HoldSummary!$A:$A, HoldSummary!D:D), 0)</f>
        <v>0</v>
      </c>
      <c r="AF13">
        <f>IFERROR(_xlfn.XLOOKUP(B13, HoldSummary!$A:$A, HoldSummary!E:E), 0)</f>
        <v>0</v>
      </c>
      <c r="AG13">
        <f>IFERROR(_xlfn.XLOOKUP(B13, HoldSummary!$A:$A, HoldSummary!F:F), 0)</f>
        <v>0</v>
      </c>
      <c r="AH13">
        <f>IFERROR(_xlfn.XLOOKUP(B13, HoldSummary!$A:$A, HoldSummary!G:G), 0)</f>
        <v>0</v>
      </c>
      <c r="AI13">
        <f>IFERROR(_xlfn.XLOOKUP(B13, HoldSummary!$A:$A, HoldSummary!H:H), 0)</f>
        <v>0</v>
      </c>
      <c r="AJ13">
        <f>IFERROR(_xlfn.XLOOKUP(B13, HoldSummary!$A:$A, HoldSummary!I:I), 0)</f>
        <v>0</v>
      </c>
      <c r="AK13">
        <f t="shared" si="5"/>
        <v>0</v>
      </c>
      <c r="AL13">
        <f t="shared" si="6"/>
        <v>55.833333333335759</v>
      </c>
      <c r="AM13">
        <f t="shared" si="7"/>
        <v>50.833333333335759</v>
      </c>
      <c r="AN13" s="12">
        <f t="shared" si="8"/>
        <v>-49.166666666664241</v>
      </c>
      <c r="AO13">
        <f t="shared" si="9"/>
        <v>1</v>
      </c>
    </row>
    <row r="14" spans="1:41" x14ac:dyDescent="0.35">
      <c r="A14" t="s">
        <v>23</v>
      </c>
      <c r="B14" t="s">
        <v>79</v>
      </c>
      <c r="C14" t="s">
        <v>54</v>
      </c>
      <c r="D14" t="s">
        <v>44</v>
      </c>
      <c r="E14" t="s">
        <v>44</v>
      </c>
      <c r="F14" t="s">
        <v>46</v>
      </c>
      <c r="G14">
        <v>2</v>
      </c>
      <c r="H14" t="s">
        <v>80</v>
      </c>
      <c r="I14" t="s">
        <v>30</v>
      </c>
      <c r="J14" t="s">
        <v>31</v>
      </c>
      <c r="K14" t="s">
        <v>38</v>
      </c>
      <c r="L14" t="s">
        <v>58</v>
      </c>
      <c r="M14" t="s">
        <v>81</v>
      </c>
      <c r="N14" s="2">
        <v>45739.166666666664</v>
      </c>
      <c r="O14" s="2">
        <v>45866.166666666664</v>
      </c>
      <c r="P14" s="2">
        <v>45782.166666666664</v>
      </c>
      <c r="Q14" s="2">
        <v>45782</v>
      </c>
      <c r="R14" s="2">
        <v>45783.511499976848</v>
      </c>
      <c r="S14" t="s">
        <v>82</v>
      </c>
      <c r="T14" s="2">
        <v>45769.166666666664</v>
      </c>
      <c r="U14" s="2">
        <v>45770.166666666664</v>
      </c>
      <c r="V14" s="2">
        <v>45770.166666666664</v>
      </c>
      <c r="W14" s="2">
        <v>45776.166666666664</v>
      </c>
      <c r="X14" s="3">
        <f t="shared" si="0"/>
        <v>1</v>
      </c>
      <c r="Y14">
        <f t="shared" si="1"/>
        <v>6</v>
      </c>
      <c r="Z14">
        <f t="shared" si="2"/>
        <v>7</v>
      </c>
      <c r="AA14">
        <f t="shared" si="3"/>
        <v>42.833333333335759</v>
      </c>
      <c r="AB14">
        <f t="shared" si="4"/>
        <v>35.833333333335759</v>
      </c>
      <c r="AC14">
        <f>IFERROR(_xlfn.XLOOKUP(B14, HoldSummary!$A:$A, HoldSummary!B:B), 0)</f>
        <v>15</v>
      </c>
      <c r="AD14">
        <f>IFERROR(_xlfn.XLOOKUP(B14, HoldSummary!$A:$A, HoldSummary!C:C), 0)</f>
        <v>0</v>
      </c>
      <c r="AE14">
        <f>IFERROR(_xlfn.XLOOKUP(B14, HoldSummary!$A:$A, HoldSummary!D:D), 0)</f>
        <v>0</v>
      </c>
      <c r="AF14">
        <f>IFERROR(_xlfn.XLOOKUP(B14, HoldSummary!$A:$A, HoldSummary!E:E), 0)</f>
        <v>0</v>
      </c>
      <c r="AG14">
        <f>IFERROR(_xlfn.XLOOKUP(B14, HoldSummary!$A:$A, HoldSummary!F:F), 0)</f>
        <v>0</v>
      </c>
      <c r="AH14">
        <f>IFERROR(_xlfn.XLOOKUP(B14, HoldSummary!$A:$A, HoldSummary!G:G), 0)</f>
        <v>0</v>
      </c>
      <c r="AI14">
        <f>IFERROR(_xlfn.XLOOKUP(B14, HoldSummary!$A:$A, HoldSummary!H:H), 0)</f>
        <v>0</v>
      </c>
      <c r="AJ14">
        <f>IFERROR(_xlfn.XLOOKUP(B14, HoldSummary!$A:$A, HoldSummary!I:I), 0)</f>
        <v>3</v>
      </c>
      <c r="AK14">
        <f t="shared" si="5"/>
        <v>18</v>
      </c>
      <c r="AL14">
        <f t="shared" si="6"/>
        <v>24.833333333335759</v>
      </c>
      <c r="AM14">
        <f t="shared" si="7"/>
        <v>17.833333333335759</v>
      </c>
      <c r="AN14" s="12">
        <f t="shared" si="8"/>
        <v>-84.166666666664241</v>
      </c>
      <c r="AO14">
        <f t="shared" si="9"/>
        <v>1</v>
      </c>
    </row>
    <row r="15" spans="1:41" x14ac:dyDescent="0.35">
      <c r="A15" t="s">
        <v>23</v>
      </c>
      <c r="B15">
        <v>113320</v>
      </c>
      <c r="C15" t="s">
        <v>54</v>
      </c>
      <c r="D15" t="s">
        <v>44</v>
      </c>
      <c r="E15" t="s">
        <v>55</v>
      </c>
      <c r="F15" t="s">
        <v>46</v>
      </c>
      <c r="G15">
        <v>2</v>
      </c>
      <c r="H15" t="s">
        <v>83</v>
      </c>
      <c r="I15" t="s">
        <v>30</v>
      </c>
      <c r="J15" t="s">
        <v>31</v>
      </c>
      <c r="K15" t="s">
        <v>38</v>
      </c>
      <c r="L15" t="s">
        <v>58</v>
      </c>
      <c r="M15" t="s">
        <v>81</v>
      </c>
      <c r="N15" s="2">
        <v>45806.166666666664</v>
      </c>
      <c r="O15" s="2">
        <v>45841.166666666664</v>
      </c>
      <c r="P15" s="2">
        <v>45841.166666666664</v>
      </c>
      <c r="Q15" s="2">
        <v>45839</v>
      </c>
      <c r="R15" s="2">
        <v>45839.8194224537</v>
      </c>
      <c r="S15" t="s">
        <v>84</v>
      </c>
      <c r="T15" s="2">
        <v>45825.166666666664</v>
      </c>
      <c r="U15" s="2">
        <v>45825.166666666664</v>
      </c>
      <c r="V15" s="2">
        <v>45825.166666666664</v>
      </c>
      <c r="W15" s="2">
        <v>45827.166666666664</v>
      </c>
      <c r="X15" s="3">
        <f t="shared" si="0"/>
        <v>0</v>
      </c>
      <c r="Y15">
        <f t="shared" si="1"/>
        <v>2</v>
      </c>
      <c r="Z15">
        <f t="shared" si="2"/>
        <v>2</v>
      </c>
      <c r="AA15">
        <f t="shared" si="3"/>
        <v>32.833333333335759</v>
      </c>
      <c r="AB15">
        <f t="shared" si="4"/>
        <v>30.833333333335759</v>
      </c>
      <c r="AC15">
        <f>IFERROR(_xlfn.XLOOKUP(B15, HoldSummary!$A:$A, HoldSummary!B:B), 0)</f>
        <v>0</v>
      </c>
      <c r="AD15">
        <f>IFERROR(_xlfn.XLOOKUP(B15, HoldSummary!$A:$A, HoldSummary!C:C), 0)</f>
        <v>0</v>
      </c>
      <c r="AE15">
        <f>IFERROR(_xlfn.XLOOKUP(B15, HoldSummary!$A:$A, HoldSummary!D:D), 0)</f>
        <v>0</v>
      </c>
      <c r="AF15">
        <f>IFERROR(_xlfn.XLOOKUP(B15, HoldSummary!$A:$A, HoldSummary!E:E), 0)</f>
        <v>0</v>
      </c>
      <c r="AG15">
        <f>IFERROR(_xlfn.XLOOKUP(B15, HoldSummary!$A:$A, HoldSummary!F:F), 0)</f>
        <v>0</v>
      </c>
      <c r="AH15">
        <f>IFERROR(_xlfn.XLOOKUP(B15, HoldSummary!$A:$A, HoldSummary!G:G), 0)</f>
        <v>0</v>
      </c>
      <c r="AI15">
        <f>IFERROR(_xlfn.XLOOKUP(B15, HoldSummary!$A:$A, HoldSummary!H:H), 0)</f>
        <v>0</v>
      </c>
      <c r="AJ15">
        <f>IFERROR(_xlfn.XLOOKUP(B15, HoldSummary!$A:$A, HoldSummary!I:I), 0)</f>
        <v>0</v>
      </c>
      <c r="AK15">
        <f t="shared" si="5"/>
        <v>0</v>
      </c>
      <c r="AL15">
        <f t="shared" si="6"/>
        <v>32.833333333335759</v>
      </c>
      <c r="AM15">
        <f t="shared" si="7"/>
        <v>30.833333333335759</v>
      </c>
      <c r="AN15" s="12">
        <f t="shared" si="8"/>
        <v>-2.1666666666642413</v>
      </c>
      <c r="AO15">
        <f t="shared" si="9"/>
        <v>1</v>
      </c>
    </row>
    <row r="16" spans="1:41" x14ac:dyDescent="0.35">
      <c r="A16" t="s">
        <v>23</v>
      </c>
      <c r="B16" t="s">
        <v>85</v>
      </c>
      <c r="C16" t="s">
        <v>54</v>
      </c>
      <c r="D16" t="s">
        <v>44</v>
      </c>
      <c r="E16" t="s">
        <v>44</v>
      </c>
      <c r="F16" t="s">
        <v>46</v>
      </c>
      <c r="G16">
        <v>3</v>
      </c>
      <c r="H16" t="s">
        <v>86</v>
      </c>
      <c r="I16" t="s">
        <v>30</v>
      </c>
      <c r="J16" t="s">
        <v>31</v>
      </c>
      <c r="K16" t="s">
        <v>38</v>
      </c>
      <c r="M16" t="s">
        <v>33</v>
      </c>
      <c r="N16" s="2">
        <v>45532.166666666664</v>
      </c>
      <c r="O16" s="2">
        <v>45569.166666666664</v>
      </c>
      <c r="P16" s="2">
        <v>45569.166666666664</v>
      </c>
      <c r="Q16" s="2">
        <v>45548</v>
      </c>
      <c r="R16" s="2">
        <v>45553.550812210648</v>
      </c>
      <c r="S16" t="s">
        <v>87</v>
      </c>
      <c r="T16" s="2">
        <v>45538.166666666664</v>
      </c>
      <c r="U16" s="2">
        <v>45538.166666666664</v>
      </c>
      <c r="V16" s="2">
        <v>45538.166666666664</v>
      </c>
      <c r="W16" s="2">
        <v>45540.166666666664</v>
      </c>
      <c r="X16" s="3">
        <f t="shared" si="0"/>
        <v>0</v>
      </c>
      <c r="Y16">
        <f t="shared" si="1"/>
        <v>2</v>
      </c>
      <c r="Z16">
        <f t="shared" si="2"/>
        <v>2</v>
      </c>
      <c r="AA16">
        <f t="shared" si="3"/>
        <v>15.833333333335759</v>
      </c>
      <c r="AB16">
        <f t="shared" si="4"/>
        <v>13.833333333335759</v>
      </c>
      <c r="AC16">
        <f>IFERROR(_xlfn.XLOOKUP(B16, HoldSummary!$A:$A, HoldSummary!B:B), 0)</f>
        <v>0</v>
      </c>
      <c r="AD16">
        <f>IFERROR(_xlfn.XLOOKUP(B16, HoldSummary!$A:$A, HoldSummary!C:C), 0)</f>
        <v>0</v>
      </c>
      <c r="AE16">
        <f>IFERROR(_xlfn.XLOOKUP(B16, HoldSummary!$A:$A, HoldSummary!D:D), 0)</f>
        <v>0</v>
      </c>
      <c r="AF16">
        <f>IFERROR(_xlfn.XLOOKUP(B16, HoldSummary!$A:$A, HoldSummary!E:E), 0)</f>
        <v>0</v>
      </c>
      <c r="AG16">
        <f>IFERROR(_xlfn.XLOOKUP(B16, HoldSummary!$A:$A, HoldSummary!F:F), 0)</f>
        <v>3</v>
      </c>
      <c r="AH16">
        <f>IFERROR(_xlfn.XLOOKUP(B16, HoldSummary!$A:$A, HoldSummary!G:G), 0)</f>
        <v>0</v>
      </c>
      <c r="AI16">
        <f>IFERROR(_xlfn.XLOOKUP(B16, HoldSummary!$A:$A, HoldSummary!H:H), 0)</f>
        <v>0</v>
      </c>
      <c r="AJ16">
        <f>IFERROR(_xlfn.XLOOKUP(B16, HoldSummary!$A:$A, HoldSummary!I:I), 0)</f>
        <v>0</v>
      </c>
      <c r="AK16">
        <f t="shared" si="5"/>
        <v>3</v>
      </c>
      <c r="AL16">
        <f t="shared" si="6"/>
        <v>12.833333333335759</v>
      </c>
      <c r="AM16">
        <f t="shared" si="7"/>
        <v>10.833333333335759</v>
      </c>
      <c r="AN16" s="12">
        <f t="shared" si="8"/>
        <v>-21.166666666664241</v>
      </c>
      <c r="AO16">
        <f t="shared" si="9"/>
        <v>1</v>
      </c>
    </row>
    <row r="17" spans="1:41" x14ac:dyDescent="0.35">
      <c r="A17" t="s">
        <v>23</v>
      </c>
      <c r="B17">
        <v>109158</v>
      </c>
      <c r="C17" t="s">
        <v>76</v>
      </c>
      <c r="D17" t="s">
        <v>44</v>
      </c>
      <c r="E17" t="s">
        <v>88</v>
      </c>
      <c r="F17" t="s">
        <v>46</v>
      </c>
      <c r="G17">
        <v>3</v>
      </c>
      <c r="H17" t="s">
        <v>89</v>
      </c>
      <c r="I17" t="s">
        <v>30</v>
      </c>
      <c r="J17" t="s">
        <v>31</v>
      </c>
      <c r="K17" t="s">
        <v>57</v>
      </c>
      <c r="L17" t="s">
        <v>39</v>
      </c>
      <c r="M17" t="s">
        <v>33</v>
      </c>
      <c r="N17" s="2">
        <v>45588.166666666664</v>
      </c>
      <c r="O17" s="2">
        <v>45708.208333333336</v>
      </c>
      <c r="P17" s="2">
        <v>45708.208333333336</v>
      </c>
      <c r="Q17" s="2">
        <v>45681</v>
      </c>
      <c r="R17" s="2">
        <v>45681.68133835648</v>
      </c>
      <c r="T17" s="2">
        <v>45659.208333333336</v>
      </c>
      <c r="U17" s="2">
        <v>45674.208333333336</v>
      </c>
      <c r="V17" s="2">
        <v>45674.208333333336</v>
      </c>
      <c r="W17" s="2">
        <v>45677.208333333336</v>
      </c>
      <c r="X17" s="3">
        <f t="shared" si="0"/>
        <v>15</v>
      </c>
      <c r="Y17">
        <f t="shared" si="1"/>
        <v>3</v>
      </c>
      <c r="Z17">
        <f t="shared" si="2"/>
        <v>18</v>
      </c>
      <c r="AA17">
        <f t="shared" si="3"/>
        <v>92.833333333335759</v>
      </c>
      <c r="AB17">
        <f t="shared" si="4"/>
        <v>74.833333333335759</v>
      </c>
      <c r="AC17">
        <f>IFERROR(_xlfn.XLOOKUP(B17, HoldSummary!$A:$A, HoldSummary!B:B), 0)</f>
        <v>18</v>
      </c>
      <c r="AD17">
        <f>IFERROR(_xlfn.XLOOKUP(B17, HoldSummary!$A:$A, HoldSummary!C:C), 0)</f>
        <v>0</v>
      </c>
      <c r="AE17">
        <f>IFERROR(_xlfn.XLOOKUP(B17, HoldSummary!$A:$A, HoldSummary!D:D), 0)</f>
        <v>0</v>
      </c>
      <c r="AF17">
        <f>IFERROR(_xlfn.XLOOKUP(B17, HoldSummary!$A:$A, HoldSummary!E:E), 0)</f>
        <v>0</v>
      </c>
      <c r="AG17">
        <f>IFERROR(_xlfn.XLOOKUP(B17, HoldSummary!$A:$A, HoldSummary!F:F), 0)</f>
        <v>0</v>
      </c>
      <c r="AH17">
        <f>IFERROR(_xlfn.XLOOKUP(B17, HoldSummary!$A:$A, HoldSummary!G:G), 0)</f>
        <v>0</v>
      </c>
      <c r="AI17">
        <f>IFERROR(_xlfn.XLOOKUP(B17, HoldSummary!$A:$A, HoldSummary!H:H), 0)</f>
        <v>0</v>
      </c>
      <c r="AJ17">
        <f>IFERROR(_xlfn.XLOOKUP(B17, HoldSummary!$A:$A, HoldSummary!I:I), 0)</f>
        <v>0</v>
      </c>
      <c r="AK17">
        <f t="shared" si="5"/>
        <v>18</v>
      </c>
      <c r="AL17">
        <f t="shared" si="6"/>
        <v>74.833333333335759</v>
      </c>
      <c r="AM17">
        <f t="shared" si="7"/>
        <v>56.833333333335759</v>
      </c>
      <c r="AN17" s="12">
        <f t="shared" si="8"/>
        <v>-27.208333333335759</v>
      </c>
      <c r="AO17">
        <f t="shared" si="9"/>
        <v>1</v>
      </c>
    </row>
    <row r="18" spans="1:41" x14ac:dyDescent="0.35">
      <c r="A18" t="s">
        <v>23</v>
      </c>
      <c r="B18">
        <v>106493</v>
      </c>
      <c r="C18" t="s">
        <v>76</v>
      </c>
      <c r="D18" t="s">
        <v>44</v>
      </c>
      <c r="E18" t="s">
        <v>88</v>
      </c>
      <c r="F18" t="s">
        <v>46</v>
      </c>
      <c r="G18">
        <v>4</v>
      </c>
      <c r="H18" t="s">
        <v>90</v>
      </c>
      <c r="I18" t="s">
        <v>30</v>
      </c>
      <c r="J18" t="s">
        <v>31</v>
      </c>
      <c r="K18" t="s">
        <v>57</v>
      </c>
      <c r="L18" t="s">
        <v>39</v>
      </c>
      <c r="M18" t="s">
        <v>33</v>
      </c>
      <c r="N18" s="2">
        <v>45456.166666666664</v>
      </c>
      <c r="O18" s="2">
        <v>45705.208333333336</v>
      </c>
      <c r="P18" s="2">
        <v>45705.208333333336</v>
      </c>
      <c r="Q18" s="2">
        <v>45693</v>
      </c>
      <c r="R18" s="2">
        <v>45693.868655185186</v>
      </c>
      <c r="T18" s="2">
        <v>45680.208333333336</v>
      </c>
      <c r="U18" s="2">
        <v>45680.208333333336</v>
      </c>
      <c r="V18" s="2">
        <v>45680.208333333336</v>
      </c>
      <c r="W18" s="2">
        <v>45681.208333333336</v>
      </c>
      <c r="X18" s="3">
        <f t="shared" si="0"/>
        <v>0</v>
      </c>
      <c r="Y18">
        <f t="shared" si="1"/>
        <v>1</v>
      </c>
      <c r="Z18">
        <f t="shared" si="2"/>
        <v>1</v>
      </c>
      <c r="AA18">
        <f t="shared" si="3"/>
        <v>236.83333333333576</v>
      </c>
      <c r="AB18">
        <f t="shared" si="4"/>
        <v>235.83333333333576</v>
      </c>
      <c r="AC18">
        <f>IFERROR(_xlfn.XLOOKUP(B18, HoldSummary!$A:$A, HoldSummary!B:B), 0)</f>
        <v>17</v>
      </c>
      <c r="AD18">
        <f>IFERROR(_xlfn.XLOOKUP(B18, HoldSummary!$A:$A, HoldSummary!C:C), 0)</f>
        <v>71</v>
      </c>
      <c r="AE18">
        <f>IFERROR(_xlfn.XLOOKUP(B18, HoldSummary!$A:$A, HoldSummary!D:D), 0)</f>
        <v>2</v>
      </c>
      <c r="AF18">
        <f>IFERROR(_xlfn.XLOOKUP(B18, HoldSummary!$A:$A, HoldSummary!E:E), 0)</f>
        <v>0</v>
      </c>
      <c r="AG18">
        <f>IFERROR(_xlfn.XLOOKUP(B18, HoldSummary!$A:$A, HoldSummary!F:F), 0)</f>
        <v>0</v>
      </c>
      <c r="AH18">
        <f>IFERROR(_xlfn.XLOOKUP(B18, HoldSummary!$A:$A, HoldSummary!G:G), 0)</f>
        <v>0</v>
      </c>
      <c r="AI18">
        <f>IFERROR(_xlfn.XLOOKUP(B18, HoldSummary!$A:$A, HoldSummary!H:H), 0)</f>
        <v>0</v>
      </c>
      <c r="AJ18">
        <f>IFERROR(_xlfn.XLOOKUP(B18, HoldSummary!$A:$A, HoldSummary!I:I), 0)</f>
        <v>0</v>
      </c>
      <c r="AK18">
        <f t="shared" si="5"/>
        <v>90</v>
      </c>
      <c r="AL18">
        <f t="shared" si="6"/>
        <v>146.83333333333576</v>
      </c>
      <c r="AM18">
        <f t="shared" si="7"/>
        <v>145.83333333333576</v>
      </c>
      <c r="AN18" s="12">
        <f t="shared" si="8"/>
        <v>-12.208333333335759</v>
      </c>
      <c r="AO18">
        <f t="shared" si="9"/>
        <v>1</v>
      </c>
    </row>
    <row r="19" spans="1:41" x14ac:dyDescent="0.35">
      <c r="A19" t="s">
        <v>23</v>
      </c>
      <c r="B19">
        <v>111757</v>
      </c>
      <c r="C19" t="s">
        <v>54</v>
      </c>
      <c r="D19" t="s">
        <v>44</v>
      </c>
      <c r="E19" t="s">
        <v>55</v>
      </c>
      <c r="F19" t="s">
        <v>46</v>
      </c>
      <c r="G19">
        <v>4</v>
      </c>
      <c r="H19" t="s">
        <v>91</v>
      </c>
      <c r="I19" t="s">
        <v>30</v>
      </c>
      <c r="J19" t="s">
        <v>31</v>
      </c>
      <c r="K19" t="s">
        <v>57</v>
      </c>
      <c r="L19" t="s">
        <v>58</v>
      </c>
      <c r="M19" t="s">
        <v>33</v>
      </c>
      <c r="N19" s="2">
        <v>45733.166666666664</v>
      </c>
      <c r="O19" s="2">
        <v>45863.166666666664</v>
      </c>
      <c r="P19" s="2">
        <v>45863.166666666664</v>
      </c>
      <c r="Q19" s="2">
        <v>45804</v>
      </c>
      <c r="R19" s="2">
        <v>45804.62352040509</v>
      </c>
      <c r="T19" s="2">
        <v>45775.166666666664</v>
      </c>
      <c r="U19" s="2">
        <v>45775.166666666664</v>
      </c>
      <c r="V19" s="2">
        <v>45784.166666666664</v>
      </c>
      <c r="W19" s="2">
        <v>45798.166666666664</v>
      </c>
      <c r="X19" s="3">
        <f t="shared" si="0"/>
        <v>0</v>
      </c>
      <c r="Y19">
        <f t="shared" si="1"/>
        <v>14</v>
      </c>
      <c r="Z19">
        <f t="shared" si="2"/>
        <v>14</v>
      </c>
      <c r="AA19">
        <f t="shared" si="3"/>
        <v>70.833333333335759</v>
      </c>
      <c r="AB19">
        <f t="shared" si="4"/>
        <v>56.833333333335759</v>
      </c>
      <c r="AC19">
        <f>IFERROR(_xlfn.XLOOKUP(B19, HoldSummary!$A:$A, HoldSummary!B:B), 0)</f>
        <v>0</v>
      </c>
      <c r="AD19">
        <f>IFERROR(_xlfn.XLOOKUP(B19, HoldSummary!$A:$A, HoldSummary!C:C), 0)</f>
        <v>0</v>
      </c>
      <c r="AE19">
        <f>IFERROR(_xlfn.XLOOKUP(B19, HoldSummary!$A:$A, HoldSummary!D:D), 0)</f>
        <v>0</v>
      </c>
      <c r="AF19">
        <f>IFERROR(_xlfn.XLOOKUP(B19, HoldSummary!$A:$A, HoldSummary!E:E), 0)</f>
        <v>0</v>
      </c>
      <c r="AG19">
        <f>IFERROR(_xlfn.XLOOKUP(B19, HoldSummary!$A:$A, HoldSummary!F:F), 0)</f>
        <v>0</v>
      </c>
      <c r="AH19">
        <f>IFERROR(_xlfn.XLOOKUP(B19, HoldSummary!$A:$A, HoldSummary!G:G), 0)</f>
        <v>0</v>
      </c>
      <c r="AI19">
        <f>IFERROR(_xlfn.XLOOKUP(B19, HoldSummary!$A:$A, HoldSummary!H:H), 0)</f>
        <v>0</v>
      </c>
      <c r="AJ19">
        <f>IFERROR(_xlfn.XLOOKUP(B19, HoldSummary!$A:$A, HoldSummary!I:I), 0)</f>
        <v>0</v>
      </c>
      <c r="AK19">
        <f t="shared" si="5"/>
        <v>0</v>
      </c>
      <c r="AL19">
        <f t="shared" si="6"/>
        <v>70.833333333335759</v>
      </c>
      <c r="AM19">
        <f t="shared" si="7"/>
        <v>56.833333333335759</v>
      </c>
      <c r="AN19" s="12">
        <f t="shared" si="8"/>
        <v>-59.166666666664241</v>
      </c>
      <c r="AO19">
        <f t="shared" si="9"/>
        <v>1</v>
      </c>
    </row>
    <row r="20" spans="1:41" x14ac:dyDescent="0.35">
      <c r="A20" t="s">
        <v>23</v>
      </c>
      <c r="B20">
        <v>108959</v>
      </c>
      <c r="C20" t="s">
        <v>36</v>
      </c>
      <c r="D20" t="s">
        <v>44</v>
      </c>
      <c r="E20" t="s">
        <v>55</v>
      </c>
      <c r="F20" t="s">
        <v>46</v>
      </c>
      <c r="G20">
        <v>10</v>
      </c>
      <c r="H20" t="s">
        <v>92</v>
      </c>
      <c r="I20" t="s">
        <v>30</v>
      </c>
      <c r="J20" t="s">
        <v>31</v>
      </c>
      <c r="K20" t="s">
        <v>57</v>
      </c>
      <c r="L20" t="s">
        <v>39</v>
      </c>
      <c r="M20" t="s">
        <v>81</v>
      </c>
      <c r="N20" s="2">
        <v>45580.166666666664</v>
      </c>
      <c r="O20" s="2">
        <v>45679.208333333336</v>
      </c>
      <c r="P20" s="2">
        <v>45772.166666666664</v>
      </c>
      <c r="Q20" s="2">
        <v>45772</v>
      </c>
      <c r="R20" s="2">
        <v>45772.64265037037</v>
      </c>
      <c r="S20" t="s">
        <v>93</v>
      </c>
      <c r="T20" s="2">
        <v>45671.208333333336</v>
      </c>
      <c r="U20" s="2">
        <v>45672.208333333336</v>
      </c>
      <c r="V20" s="2">
        <v>45672.208333333336</v>
      </c>
      <c r="W20" s="2">
        <v>45713.208333333336</v>
      </c>
      <c r="X20" s="3">
        <f t="shared" si="0"/>
        <v>1</v>
      </c>
      <c r="Y20">
        <f t="shared" si="1"/>
        <v>41</v>
      </c>
      <c r="Z20">
        <f t="shared" si="2"/>
        <v>42</v>
      </c>
      <c r="AA20">
        <f t="shared" si="3"/>
        <v>191.83333333333576</v>
      </c>
      <c r="AB20">
        <f t="shared" si="4"/>
        <v>149.83333333333576</v>
      </c>
      <c r="AC20">
        <f>IFERROR(_xlfn.XLOOKUP(B20, HoldSummary!$A:$A, HoldSummary!B:B), 0)</f>
        <v>0</v>
      </c>
      <c r="AD20">
        <f>IFERROR(_xlfn.XLOOKUP(B20, HoldSummary!$A:$A, HoldSummary!C:C), 0)</f>
        <v>39</v>
      </c>
      <c r="AE20">
        <f>IFERROR(_xlfn.XLOOKUP(B20, HoldSummary!$A:$A, HoldSummary!D:D), 0)</f>
        <v>0</v>
      </c>
      <c r="AF20">
        <f>IFERROR(_xlfn.XLOOKUP(B20, HoldSummary!$A:$A, HoldSummary!E:E), 0)</f>
        <v>0</v>
      </c>
      <c r="AG20">
        <f>IFERROR(_xlfn.XLOOKUP(B20, HoldSummary!$A:$A, HoldSummary!F:F), 0)</f>
        <v>0</v>
      </c>
      <c r="AH20">
        <f>IFERROR(_xlfn.XLOOKUP(B20, HoldSummary!$A:$A, HoldSummary!G:G), 0)</f>
        <v>0</v>
      </c>
      <c r="AI20">
        <f>IFERROR(_xlfn.XLOOKUP(B20, HoldSummary!$A:$A, HoldSummary!H:H), 0)</f>
        <v>0</v>
      </c>
      <c r="AJ20">
        <f>IFERROR(_xlfn.XLOOKUP(B20, HoldSummary!$A:$A, HoldSummary!I:I), 0)</f>
        <v>0</v>
      </c>
      <c r="AK20">
        <f t="shared" si="5"/>
        <v>39</v>
      </c>
      <c r="AL20">
        <f t="shared" si="6"/>
        <v>152.83333333333576</v>
      </c>
      <c r="AM20">
        <f t="shared" si="7"/>
        <v>110.83333333333576</v>
      </c>
      <c r="AN20" s="12">
        <f t="shared" si="8"/>
        <v>92.791666666664241</v>
      </c>
      <c r="AO20">
        <f t="shared" si="9"/>
        <v>0</v>
      </c>
    </row>
    <row r="21" spans="1:41" x14ac:dyDescent="0.35">
      <c r="A21" t="s">
        <v>23</v>
      </c>
      <c r="B21">
        <v>111328</v>
      </c>
      <c r="C21" t="s">
        <v>54</v>
      </c>
      <c r="D21" t="s">
        <v>44</v>
      </c>
      <c r="E21" t="s">
        <v>55</v>
      </c>
      <c r="F21" t="s">
        <v>46</v>
      </c>
      <c r="G21">
        <v>10</v>
      </c>
      <c r="H21" t="s">
        <v>94</v>
      </c>
      <c r="I21" t="s">
        <v>30</v>
      </c>
      <c r="J21" t="s">
        <v>31</v>
      </c>
      <c r="K21" t="s">
        <v>57</v>
      </c>
      <c r="L21" t="s">
        <v>58</v>
      </c>
      <c r="M21" t="s">
        <v>33</v>
      </c>
      <c r="N21" s="2">
        <v>45740.166666666664</v>
      </c>
      <c r="O21" s="2">
        <v>45792.166666666664</v>
      </c>
      <c r="P21" s="2">
        <v>45792.166666666664</v>
      </c>
      <c r="Q21" s="2">
        <v>45758</v>
      </c>
      <c r="R21" s="2">
        <v>45758.837687245374</v>
      </c>
      <c r="S21" t="s">
        <v>95</v>
      </c>
      <c r="T21" s="2">
        <v>45743.166666666664</v>
      </c>
      <c r="U21" s="2">
        <v>45743.166666666664</v>
      </c>
      <c r="V21" s="2">
        <v>45744.166666666664</v>
      </c>
      <c r="W21" s="2">
        <v>45756.166666666664</v>
      </c>
      <c r="X21" s="3">
        <f t="shared" si="0"/>
        <v>0</v>
      </c>
      <c r="Y21">
        <f t="shared" si="1"/>
        <v>12</v>
      </c>
      <c r="Z21">
        <f t="shared" si="2"/>
        <v>12</v>
      </c>
      <c r="AA21">
        <f t="shared" si="3"/>
        <v>17.833333333335759</v>
      </c>
      <c r="AB21">
        <f t="shared" si="4"/>
        <v>5.8333333333357587</v>
      </c>
      <c r="AC21">
        <f>IFERROR(_xlfn.XLOOKUP(B21, HoldSummary!$A:$A, HoldSummary!B:B), 0)</f>
        <v>0</v>
      </c>
      <c r="AD21">
        <f>IFERROR(_xlfn.XLOOKUP(B21, HoldSummary!$A:$A, HoldSummary!C:C), 0)</f>
        <v>0</v>
      </c>
      <c r="AE21">
        <f>IFERROR(_xlfn.XLOOKUP(B21, HoldSummary!$A:$A, HoldSummary!D:D), 0)</f>
        <v>0</v>
      </c>
      <c r="AF21">
        <f>IFERROR(_xlfn.XLOOKUP(B21, HoldSummary!$A:$A, HoldSummary!E:E), 0)</f>
        <v>0</v>
      </c>
      <c r="AG21">
        <f>IFERROR(_xlfn.XLOOKUP(B21, HoldSummary!$A:$A, HoldSummary!F:F), 0)</f>
        <v>0</v>
      </c>
      <c r="AH21">
        <f>IFERROR(_xlfn.XLOOKUP(B21, HoldSummary!$A:$A, HoldSummary!G:G), 0)</f>
        <v>0</v>
      </c>
      <c r="AI21">
        <f>IFERROR(_xlfn.XLOOKUP(B21, HoldSummary!$A:$A, HoldSummary!H:H), 0)</f>
        <v>0</v>
      </c>
      <c r="AJ21">
        <f>IFERROR(_xlfn.XLOOKUP(B21, HoldSummary!$A:$A, HoldSummary!I:I), 0)</f>
        <v>0</v>
      </c>
      <c r="AK21">
        <f t="shared" si="5"/>
        <v>0</v>
      </c>
      <c r="AL21">
        <f t="shared" si="6"/>
        <v>17.833333333335759</v>
      </c>
      <c r="AM21">
        <f t="shared" si="7"/>
        <v>5.8333333333357587</v>
      </c>
      <c r="AN21" s="12">
        <f t="shared" si="8"/>
        <v>-34.166666666664241</v>
      </c>
      <c r="AO21">
        <f t="shared" si="9"/>
        <v>1</v>
      </c>
    </row>
    <row r="22" spans="1:41" x14ac:dyDescent="0.35">
      <c r="A22" t="s">
        <v>23</v>
      </c>
      <c r="B22">
        <v>112750</v>
      </c>
      <c r="C22" t="s">
        <v>54</v>
      </c>
      <c r="D22" t="s">
        <v>44</v>
      </c>
      <c r="E22" t="s">
        <v>55</v>
      </c>
      <c r="F22" t="s">
        <v>46</v>
      </c>
      <c r="G22">
        <v>10</v>
      </c>
      <c r="H22" t="s">
        <v>96</v>
      </c>
      <c r="I22" t="s">
        <v>30</v>
      </c>
      <c r="J22" t="s">
        <v>31</v>
      </c>
      <c r="K22" t="s">
        <v>57</v>
      </c>
      <c r="L22" t="s">
        <v>58</v>
      </c>
      <c r="M22" t="s">
        <v>33</v>
      </c>
      <c r="N22" s="2">
        <v>45775.166666666664</v>
      </c>
      <c r="O22" s="2">
        <v>45877.166666666664</v>
      </c>
      <c r="P22" s="2">
        <v>45877.166666666664</v>
      </c>
      <c r="Q22" s="2">
        <v>45831</v>
      </c>
      <c r="R22" s="2">
        <v>45831.771862013891</v>
      </c>
      <c r="S22" t="s">
        <v>97</v>
      </c>
      <c r="T22" s="2">
        <v>45778.166666666664</v>
      </c>
      <c r="U22" s="2">
        <v>45778.166666666664</v>
      </c>
      <c r="V22" s="2">
        <v>45812.166666666664</v>
      </c>
      <c r="W22" s="2">
        <v>45821.166666666664</v>
      </c>
      <c r="X22" s="3">
        <f t="shared" si="0"/>
        <v>0</v>
      </c>
      <c r="Y22">
        <f t="shared" si="1"/>
        <v>9</v>
      </c>
      <c r="Z22">
        <f t="shared" si="2"/>
        <v>9</v>
      </c>
      <c r="AA22">
        <f t="shared" si="3"/>
        <v>55.833333333335759</v>
      </c>
      <c r="AB22">
        <f t="shared" si="4"/>
        <v>46.833333333335759</v>
      </c>
      <c r="AC22">
        <f>IFERROR(_xlfn.XLOOKUP(B22, HoldSummary!$A:$A, HoldSummary!B:B), 0)</f>
        <v>0</v>
      </c>
      <c r="AD22">
        <f>IFERROR(_xlfn.XLOOKUP(B22, HoldSummary!$A:$A, HoldSummary!C:C), 0)</f>
        <v>0</v>
      </c>
      <c r="AE22">
        <f>IFERROR(_xlfn.XLOOKUP(B22, HoldSummary!$A:$A, HoldSummary!D:D), 0)</f>
        <v>0</v>
      </c>
      <c r="AF22">
        <f>IFERROR(_xlfn.XLOOKUP(B22, HoldSummary!$A:$A, HoldSummary!E:E), 0)</f>
        <v>0</v>
      </c>
      <c r="AG22">
        <f>IFERROR(_xlfn.XLOOKUP(B22, HoldSummary!$A:$A, HoldSummary!F:F), 0)</f>
        <v>0</v>
      </c>
      <c r="AH22">
        <f>IFERROR(_xlfn.XLOOKUP(B22, HoldSummary!$A:$A, HoldSummary!G:G), 0)</f>
        <v>0</v>
      </c>
      <c r="AI22">
        <f>IFERROR(_xlfn.XLOOKUP(B22, HoldSummary!$A:$A, HoldSummary!H:H), 0)</f>
        <v>0</v>
      </c>
      <c r="AJ22">
        <f>IFERROR(_xlfn.XLOOKUP(B22, HoldSummary!$A:$A, HoldSummary!I:I), 0)</f>
        <v>0</v>
      </c>
      <c r="AK22">
        <f t="shared" si="5"/>
        <v>0</v>
      </c>
      <c r="AL22">
        <f t="shared" si="6"/>
        <v>55.833333333335759</v>
      </c>
      <c r="AM22">
        <f t="shared" si="7"/>
        <v>46.833333333335759</v>
      </c>
      <c r="AN22" s="12">
        <f t="shared" si="8"/>
        <v>-46.166666666664241</v>
      </c>
      <c r="AO22">
        <f t="shared" si="9"/>
        <v>1</v>
      </c>
    </row>
    <row r="23" spans="1:41" x14ac:dyDescent="0.35">
      <c r="A23" t="s">
        <v>23</v>
      </c>
      <c r="B23">
        <v>111315</v>
      </c>
      <c r="C23" t="s">
        <v>98</v>
      </c>
      <c r="D23" t="s">
        <v>44</v>
      </c>
      <c r="E23" t="s">
        <v>55</v>
      </c>
      <c r="F23" t="s">
        <v>46</v>
      </c>
      <c r="G23">
        <v>10</v>
      </c>
      <c r="H23" t="s">
        <v>99</v>
      </c>
      <c r="I23" t="s">
        <v>30</v>
      </c>
      <c r="J23" t="s">
        <v>31</v>
      </c>
      <c r="K23" t="s">
        <v>57</v>
      </c>
      <c r="L23" t="s">
        <v>58</v>
      </c>
      <c r="M23" t="s">
        <v>81</v>
      </c>
      <c r="N23" s="2">
        <v>45712.208333333336</v>
      </c>
      <c r="O23" s="2">
        <v>45849.166666666664</v>
      </c>
      <c r="P23" s="2">
        <v>45849.166666666664</v>
      </c>
      <c r="Q23" s="2">
        <v>45840</v>
      </c>
      <c r="R23" s="2">
        <v>45844.735818402776</v>
      </c>
      <c r="S23" t="s">
        <v>84</v>
      </c>
      <c r="T23" s="2">
        <v>45817.166666666664</v>
      </c>
      <c r="U23" s="2">
        <v>45817.166666666664</v>
      </c>
      <c r="V23" s="2">
        <v>45832.166666666664</v>
      </c>
      <c r="W23" s="2">
        <v>45833.166666666664</v>
      </c>
      <c r="X23" s="3">
        <f t="shared" si="0"/>
        <v>0</v>
      </c>
      <c r="Y23">
        <f t="shared" si="1"/>
        <v>1</v>
      </c>
      <c r="Z23">
        <f t="shared" si="2"/>
        <v>1</v>
      </c>
      <c r="AA23">
        <f t="shared" si="3"/>
        <v>127.79166666666424</v>
      </c>
      <c r="AB23">
        <f t="shared" si="4"/>
        <v>126.79166666666424</v>
      </c>
      <c r="AC23">
        <f>IFERROR(_xlfn.XLOOKUP(B23, HoldSummary!$A:$A, HoldSummary!B:B), 0)</f>
        <v>59</v>
      </c>
      <c r="AD23">
        <f>IFERROR(_xlfn.XLOOKUP(B23, HoldSummary!$A:$A, HoldSummary!C:C), 0)</f>
        <v>0</v>
      </c>
      <c r="AE23">
        <f>IFERROR(_xlfn.XLOOKUP(B23, HoldSummary!$A:$A, HoldSummary!D:D), 0)</f>
        <v>0</v>
      </c>
      <c r="AF23">
        <f>IFERROR(_xlfn.XLOOKUP(B23, HoldSummary!$A:$A, HoldSummary!E:E), 0)</f>
        <v>0</v>
      </c>
      <c r="AG23">
        <f>IFERROR(_xlfn.XLOOKUP(B23, HoldSummary!$A:$A, HoldSummary!F:F), 0)</f>
        <v>0</v>
      </c>
      <c r="AH23">
        <f>IFERROR(_xlfn.XLOOKUP(B23, HoldSummary!$A:$A, HoldSummary!G:G), 0)</f>
        <v>0</v>
      </c>
      <c r="AI23">
        <f>IFERROR(_xlfn.XLOOKUP(B23, HoldSummary!$A:$A, HoldSummary!H:H), 0)</f>
        <v>0</v>
      </c>
      <c r="AJ23">
        <f>IFERROR(_xlfn.XLOOKUP(B23, HoldSummary!$A:$A, HoldSummary!I:I), 0)</f>
        <v>0</v>
      </c>
      <c r="AK23">
        <f t="shared" si="5"/>
        <v>59</v>
      </c>
      <c r="AL23">
        <f t="shared" si="6"/>
        <v>68.791666666664241</v>
      </c>
      <c r="AM23">
        <f t="shared" si="7"/>
        <v>67.791666666664241</v>
      </c>
      <c r="AN23" s="12">
        <f t="shared" si="8"/>
        <v>-9.1666666666642413</v>
      </c>
      <c r="AO23">
        <f t="shared" si="9"/>
        <v>1</v>
      </c>
    </row>
    <row r="24" spans="1:41" x14ac:dyDescent="0.35">
      <c r="A24" t="s">
        <v>23</v>
      </c>
      <c r="B24">
        <v>108392</v>
      </c>
      <c r="C24" t="s">
        <v>51</v>
      </c>
      <c r="D24" t="s">
        <v>44</v>
      </c>
      <c r="E24" t="s">
        <v>55</v>
      </c>
      <c r="F24" t="s">
        <v>46</v>
      </c>
      <c r="G24">
        <v>11</v>
      </c>
      <c r="H24" t="s">
        <v>100</v>
      </c>
      <c r="I24" t="s">
        <v>30</v>
      </c>
      <c r="J24" t="s">
        <v>31</v>
      </c>
      <c r="K24" t="s">
        <v>57</v>
      </c>
      <c r="L24" t="s">
        <v>58</v>
      </c>
      <c r="N24" s="2">
        <v>45552.166666666664</v>
      </c>
      <c r="O24" s="2">
        <v>45622.208333333336</v>
      </c>
      <c r="P24" s="2">
        <v>45649.208333333336</v>
      </c>
      <c r="Q24" s="2">
        <v>45637</v>
      </c>
      <c r="R24" s="2">
        <v>45637.93848178241</v>
      </c>
      <c r="S24" t="s">
        <v>101</v>
      </c>
      <c r="T24" s="2">
        <v>45604.208333333336</v>
      </c>
      <c r="U24" s="2">
        <v>45604.208333333336</v>
      </c>
      <c r="V24" s="2">
        <v>45604.208333333336</v>
      </c>
      <c r="W24" s="2">
        <v>45629.208333333336</v>
      </c>
      <c r="X24" s="3">
        <f t="shared" si="0"/>
        <v>0</v>
      </c>
      <c r="Y24">
        <f t="shared" si="1"/>
        <v>25</v>
      </c>
      <c r="Z24">
        <f t="shared" si="2"/>
        <v>25</v>
      </c>
      <c r="AA24">
        <f t="shared" si="3"/>
        <v>84.833333333335759</v>
      </c>
      <c r="AB24">
        <f t="shared" si="4"/>
        <v>59.833333333335759</v>
      </c>
      <c r="AC24">
        <f>IFERROR(_xlfn.XLOOKUP(B24, HoldSummary!$A:$A, HoldSummary!B:B), 0)</f>
        <v>0</v>
      </c>
      <c r="AD24">
        <f>IFERROR(_xlfn.XLOOKUP(B24, HoldSummary!$A:$A, HoldSummary!C:C), 0)</f>
        <v>0</v>
      </c>
      <c r="AE24">
        <f>IFERROR(_xlfn.XLOOKUP(B24, HoldSummary!$A:$A, HoldSummary!D:D), 0)</f>
        <v>0</v>
      </c>
      <c r="AF24">
        <f>IFERROR(_xlfn.XLOOKUP(B24, HoldSummary!$A:$A, HoldSummary!E:E), 0)</f>
        <v>0</v>
      </c>
      <c r="AG24">
        <f>IFERROR(_xlfn.XLOOKUP(B24, HoldSummary!$A:$A, HoldSummary!F:F), 0)</f>
        <v>8</v>
      </c>
      <c r="AH24">
        <f>IFERROR(_xlfn.XLOOKUP(B24, HoldSummary!$A:$A, HoldSummary!G:G), 0)</f>
        <v>0</v>
      </c>
      <c r="AI24">
        <f>IFERROR(_xlfn.XLOOKUP(B24, HoldSummary!$A:$A, HoldSummary!H:H), 0)</f>
        <v>0</v>
      </c>
      <c r="AJ24">
        <f>IFERROR(_xlfn.XLOOKUP(B24, HoldSummary!$A:$A, HoldSummary!I:I), 0)</f>
        <v>0</v>
      </c>
      <c r="AK24">
        <f t="shared" si="5"/>
        <v>8</v>
      </c>
      <c r="AL24">
        <f t="shared" si="6"/>
        <v>76.833333333335759</v>
      </c>
      <c r="AM24">
        <f t="shared" si="7"/>
        <v>51.833333333335759</v>
      </c>
      <c r="AN24" s="12">
        <f t="shared" si="8"/>
        <v>14.791666666664241</v>
      </c>
      <c r="AO24">
        <f t="shared" si="9"/>
        <v>0</v>
      </c>
    </row>
    <row r="25" spans="1:41" x14ac:dyDescent="0.35">
      <c r="A25" t="s">
        <v>23</v>
      </c>
      <c r="B25">
        <v>111576</v>
      </c>
      <c r="C25" t="s">
        <v>54</v>
      </c>
      <c r="D25" t="s">
        <v>44</v>
      </c>
      <c r="E25" t="s">
        <v>55</v>
      </c>
      <c r="F25" t="s">
        <v>46</v>
      </c>
      <c r="G25">
        <v>11</v>
      </c>
      <c r="H25" t="s">
        <v>102</v>
      </c>
      <c r="I25" t="s">
        <v>30</v>
      </c>
      <c r="J25" t="s">
        <v>31</v>
      </c>
      <c r="K25" t="s">
        <v>57</v>
      </c>
      <c r="L25" t="s">
        <v>58</v>
      </c>
      <c r="M25" t="s">
        <v>33</v>
      </c>
      <c r="N25" s="2">
        <v>45727.166666666664</v>
      </c>
      <c r="O25" s="2">
        <v>45850.166666666664</v>
      </c>
      <c r="P25" s="2">
        <v>45793.166666666664</v>
      </c>
      <c r="Q25" s="2">
        <v>45755</v>
      </c>
      <c r="R25" s="2">
        <v>45757.650339988424</v>
      </c>
      <c r="T25" s="2">
        <v>45748.166666666664</v>
      </c>
      <c r="U25" s="2">
        <v>45748.166666666664</v>
      </c>
      <c r="V25" s="2">
        <v>45750.166666666664</v>
      </c>
      <c r="W25" s="2">
        <v>45751.166666666664</v>
      </c>
      <c r="X25" s="3">
        <f t="shared" si="0"/>
        <v>0</v>
      </c>
      <c r="Y25">
        <f t="shared" si="1"/>
        <v>1</v>
      </c>
      <c r="Z25">
        <f t="shared" si="2"/>
        <v>1</v>
      </c>
      <c r="AA25">
        <f t="shared" si="3"/>
        <v>27.833333333335759</v>
      </c>
      <c r="AB25">
        <f t="shared" si="4"/>
        <v>26.833333333335759</v>
      </c>
      <c r="AC25">
        <f>IFERROR(_xlfn.XLOOKUP(B25, HoldSummary!$A:$A, HoldSummary!B:B), 0)</f>
        <v>0</v>
      </c>
      <c r="AD25">
        <f>IFERROR(_xlfn.XLOOKUP(B25, HoldSummary!$A:$A, HoldSummary!C:C), 0)</f>
        <v>0</v>
      </c>
      <c r="AE25">
        <f>IFERROR(_xlfn.XLOOKUP(B25, HoldSummary!$A:$A, HoldSummary!D:D), 0)</f>
        <v>0</v>
      </c>
      <c r="AF25">
        <f>IFERROR(_xlfn.XLOOKUP(B25, HoldSummary!$A:$A, HoldSummary!E:E), 0)</f>
        <v>0</v>
      </c>
      <c r="AG25">
        <f>IFERROR(_xlfn.XLOOKUP(B25, HoldSummary!$A:$A, HoldSummary!F:F), 0)</f>
        <v>0</v>
      </c>
      <c r="AH25">
        <f>IFERROR(_xlfn.XLOOKUP(B25, HoldSummary!$A:$A, HoldSummary!G:G), 0)</f>
        <v>0</v>
      </c>
      <c r="AI25">
        <f>IFERROR(_xlfn.XLOOKUP(B25, HoldSummary!$A:$A, HoldSummary!H:H), 0)</f>
        <v>0</v>
      </c>
      <c r="AJ25">
        <f>IFERROR(_xlfn.XLOOKUP(B25, HoldSummary!$A:$A, HoldSummary!I:I), 0)</f>
        <v>0</v>
      </c>
      <c r="AK25">
        <f t="shared" si="5"/>
        <v>0</v>
      </c>
      <c r="AL25">
        <f t="shared" si="6"/>
        <v>27.833333333335759</v>
      </c>
      <c r="AM25">
        <f t="shared" si="7"/>
        <v>26.833333333335759</v>
      </c>
      <c r="AN25" s="12">
        <f t="shared" si="8"/>
        <v>-95.166666666664241</v>
      </c>
      <c r="AO25">
        <f t="shared" si="9"/>
        <v>1</v>
      </c>
    </row>
    <row r="26" spans="1:41" x14ac:dyDescent="0.35">
      <c r="A26" t="s">
        <v>23</v>
      </c>
      <c r="B26">
        <v>110045</v>
      </c>
      <c r="C26" t="s">
        <v>36</v>
      </c>
      <c r="D26" t="s">
        <v>44</v>
      </c>
      <c r="E26" t="s">
        <v>55</v>
      </c>
      <c r="F26" t="s">
        <v>46</v>
      </c>
      <c r="G26">
        <v>11</v>
      </c>
      <c r="H26" t="s">
        <v>103</v>
      </c>
      <c r="I26" t="s">
        <v>30</v>
      </c>
      <c r="J26" t="s">
        <v>31</v>
      </c>
      <c r="K26" t="s">
        <v>57</v>
      </c>
      <c r="L26" t="s">
        <v>39</v>
      </c>
      <c r="M26" t="s">
        <v>33</v>
      </c>
      <c r="N26" s="2">
        <v>45636.208333333336</v>
      </c>
      <c r="O26" s="2">
        <v>45776.166666666664</v>
      </c>
      <c r="P26" s="2">
        <v>45776.166666666664</v>
      </c>
      <c r="Q26" s="2">
        <v>45779</v>
      </c>
      <c r="R26" s="2">
        <v>45783.526510567128</v>
      </c>
      <c r="S26" t="s">
        <v>104</v>
      </c>
      <c r="T26" s="2">
        <v>45770.166666666664</v>
      </c>
      <c r="U26" s="2">
        <v>45770.166666666664</v>
      </c>
      <c r="V26" s="2">
        <v>45771.166666666664</v>
      </c>
      <c r="W26" s="2">
        <v>45776.166666666664</v>
      </c>
      <c r="X26" s="3">
        <f t="shared" si="0"/>
        <v>0</v>
      </c>
      <c r="Y26">
        <f t="shared" si="1"/>
        <v>5</v>
      </c>
      <c r="Z26">
        <f t="shared" si="2"/>
        <v>5</v>
      </c>
      <c r="AA26">
        <f t="shared" si="3"/>
        <v>142.79166666666424</v>
      </c>
      <c r="AB26">
        <f t="shared" si="4"/>
        <v>137.79166666666424</v>
      </c>
      <c r="AC26">
        <f>IFERROR(_xlfn.XLOOKUP(B26, HoldSummary!$A:$A, HoldSummary!B:B), 0)</f>
        <v>0</v>
      </c>
      <c r="AD26">
        <f>IFERROR(_xlfn.XLOOKUP(B26, HoldSummary!$A:$A, HoldSummary!C:C), 0)</f>
        <v>0</v>
      </c>
      <c r="AE26">
        <f>IFERROR(_xlfn.XLOOKUP(B26, HoldSummary!$A:$A, HoldSummary!D:D), 0)</f>
        <v>0</v>
      </c>
      <c r="AF26">
        <f>IFERROR(_xlfn.XLOOKUP(B26, HoldSummary!$A:$A, HoldSummary!E:E), 0)</f>
        <v>0</v>
      </c>
      <c r="AG26">
        <f>IFERROR(_xlfn.XLOOKUP(B26, HoldSummary!$A:$A, HoldSummary!F:F), 0)</f>
        <v>0</v>
      </c>
      <c r="AH26">
        <f>IFERROR(_xlfn.XLOOKUP(B26, HoldSummary!$A:$A, HoldSummary!G:G), 0)</f>
        <v>0</v>
      </c>
      <c r="AI26">
        <f>IFERROR(_xlfn.XLOOKUP(B26, HoldSummary!$A:$A, HoldSummary!H:H), 0)</f>
        <v>0</v>
      </c>
      <c r="AJ26">
        <f>IFERROR(_xlfn.XLOOKUP(B26, HoldSummary!$A:$A, HoldSummary!I:I), 0)</f>
        <v>0</v>
      </c>
      <c r="AK26">
        <f t="shared" si="5"/>
        <v>0</v>
      </c>
      <c r="AL26">
        <f t="shared" si="6"/>
        <v>142.79166666666424</v>
      </c>
      <c r="AM26">
        <f t="shared" si="7"/>
        <v>137.79166666666424</v>
      </c>
      <c r="AN26" s="12">
        <f t="shared" si="8"/>
        <v>2.8333333333357587</v>
      </c>
      <c r="AO26">
        <f t="shared" si="9"/>
        <v>0</v>
      </c>
    </row>
    <row r="27" spans="1:41" x14ac:dyDescent="0.35">
      <c r="A27" t="s">
        <v>23</v>
      </c>
      <c r="B27">
        <v>111758</v>
      </c>
      <c r="C27" t="s">
        <v>98</v>
      </c>
      <c r="D27" t="s">
        <v>44</v>
      </c>
      <c r="E27" t="s">
        <v>55</v>
      </c>
      <c r="F27" t="s">
        <v>46</v>
      </c>
      <c r="G27">
        <v>11</v>
      </c>
      <c r="H27" t="s">
        <v>105</v>
      </c>
      <c r="I27" t="s">
        <v>30</v>
      </c>
      <c r="J27" t="s">
        <v>31</v>
      </c>
      <c r="K27" t="s">
        <v>57</v>
      </c>
      <c r="L27" t="s">
        <v>58</v>
      </c>
      <c r="N27" s="2">
        <v>45734.166666666664</v>
      </c>
      <c r="O27" s="2">
        <v>46203.166666666664</v>
      </c>
      <c r="P27" s="2">
        <v>45854.166666666664</v>
      </c>
      <c r="Q27" s="2">
        <v>45838</v>
      </c>
      <c r="R27" s="2">
        <v>45839.819126886578</v>
      </c>
      <c r="S27" t="s">
        <v>97</v>
      </c>
      <c r="T27" s="2">
        <v>45817.166666666664</v>
      </c>
      <c r="U27" s="2">
        <v>45817.166666666664</v>
      </c>
      <c r="V27" s="2">
        <v>45832.166666666664</v>
      </c>
      <c r="W27" s="2">
        <v>45832.166666666664</v>
      </c>
      <c r="X27" s="3">
        <f t="shared" si="0"/>
        <v>0</v>
      </c>
      <c r="Y27">
        <f t="shared" si="1"/>
        <v>0</v>
      </c>
      <c r="Z27">
        <f t="shared" si="2"/>
        <v>0</v>
      </c>
      <c r="AA27">
        <f t="shared" si="3"/>
        <v>103.83333333333576</v>
      </c>
      <c r="AB27">
        <f t="shared" si="4"/>
        <v>103.83333333333576</v>
      </c>
      <c r="AC27">
        <f>IFERROR(_xlfn.XLOOKUP(B27, HoldSummary!$A:$A, HoldSummary!B:B), 0)</f>
        <v>45</v>
      </c>
      <c r="AD27">
        <f>IFERROR(_xlfn.XLOOKUP(B27, HoldSummary!$A:$A, HoldSummary!C:C), 0)</f>
        <v>0</v>
      </c>
      <c r="AE27">
        <f>IFERROR(_xlfn.XLOOKUP(B27, HoldSummary!$A:$A, HoldSummary!D:D), 0)</f>
        <v>0</v>
      </c>
      <c r="AF27">
        <f>IFERROR(_xlfn.XLOOKUP(B27, HoldSummary!$A:$A, HoldSummary!E:E), 0)</f>
        <v>0</v>
      </c>
      <c r="AG27">
        <f>IFERROR(_xlfn.XLOOKUP(B27, HoldSummary!$A:$A, HoldSummary!F:F), 0)</f>
        <v>0</v>
      </c>
      <c r="AH27">
        <f>IFERROR(_xlfn.XLOOKUP(B27, HoldSummary!$A:$A, HoldSummary!G:G), 0)</f>
        <v>0</v>
      </c>
      <c r="AI27">
        <f>IFERROR(_xlfn.XLOOKUP(B27, HoldSummary!$A:$A, HoldSummary!H:H), 0)</f>
        <v>0</v>
      </c>
      <c r="AJ27">
        <f>IFERROR(_xlfn.XLOOKUP(B27, HoldSummary!$A:$A, HoldSummary!I:I), 0)</f>
        <v>0</v>
      </c>
      <c r="AK27">
        <f t="shared" si="5"/>
        <v>45</v>
      </c>
      <c r="AL27">
        <f t="shared" si="6"/>
        <v>58.833333333335759</v>
      </c>
      <c r="AM27">
        <f t="shared" si="7"/>
        <v>58.833333333335759</v>
      </c>
      <c r="AN27" s="12">
        <f t="shared" si="8"/>
        <v>-365.16666666666424</v>
      </c>
      <c r="AO27">
        <f t="shared" si="9"/>
        <v>1</v>
      </c>
    </row>
    <row r="28" spans="1:41" x14ac:dyDescent="0.35">
      <c r="A28" t="s">
        <v>23</v>
      </c>
      <c r="B28">
        <v>111444</v>
      </c>
      <c r="C28" t="s">
        <v>36</v>
      </c>
      <c r="D28" t="s">
        <v>44</v>
      </c>
      <c r="E28" t="s">
        <v>55</v>
      </c>
      <c r="F28" t="s">
        <v>46</v>
      </c>
      <c r="G28">
        <v>12</v>
      </c>
      <c r="H28" t="s">
        <v>106</v>
      </c>
      <c r="I28" t="s">
        <v>30</v>
      </c>
      <c r="J28" t="s">
        <v>31</v>
      </c>
      <c r="K28" t="s">
        <v>57</v>
      </c>
      <c r="L28" t="s">
        <v>39</v>
      </c>
      <c r="M28" t="s">
        <v>33</v>
      </c>
      <c r="N28" s="2">
        <v>45715.208333333336</v>
      </c>
      <c r="O28" s="2">
        <v>45770.166666666664</v>
      </c>
      <c r="P28" s="2">
        <v>45807.166666666664</v>
      </c>
      <c r="Q28" s="2">
        <v>45810</v>
      </c>
      <c r="R28" s="2">
        <v>45810.645028460647</v>
      </c>
      <c r="S28" t="s">
        <v>97</v>
      </c>
      <c r="T28" s="2">
        <v>45784.166666666664</v>
      </c>
      <c r="U28" s="2">
        <v>45784.166666666664</v>
      </c>
      <c r="V28" s="2">
        <v>45784.166666666664</v>
      </c>
      <c r="W28" s="2">
        <v>45807.166666666664</v>
      </c>
      <c r="X28" s="3">
        <f t="shared" si="0"/>
        <v>0</v>
      </c>
      <c r="Y28">
        <f t="shared" si="1"/>
        <v>23</v>
      </c>
      <c r="Z28">
        <f t="shared" si="2"/>
        <v>23</v>
      </c>
      <c r="AA28">
        <f t="shared" si="3"/>
        <v>94.791666666664241</v>
      </c>
      <c r="AB28">
        <f t="shared" si="4"/>
        <v>71.791666666664241</v>
      </c>
      <c r="AC28">
        <f>IFERROR(_xlfn.XLOOKUP(B28, HoldSummary!$A:$A, HoldSummary!B:B), 0)</f>
        <v>0</v>
      </c>
      <c r="AD28">
        <f>IFERROR(_xlfn.XLOOKUP(B28, HoldSummary!$A:$A, HoldSummary!C:C), 0)</f>
        <v>0</v>
      </c>
      <c r="AE28">
        <f>IFERROR(_xlfn.XLOOKUP(B28, HoldSummary!$A:$A, HoldSummary!D:D), 0)</f>
        <v>0</v>
      </c>
      <c r="AF28">
        <f>IFERROR(_xlfn.XLOOKUP(B28, HoldSummary!$A:$A, HoldSummary!E:E), 0)</f>
        <v>0</v>
      </c>
      <c r="AG28">
        <f>IFERROR(_xlfn.XLOOKUP(B28, HoldSummary!$A:$A, HoldSummary!F:F), 0)</f>
        <v>0</v>
      </c>
      <c r="AH28">
        <f>IFERROR(_xlfn.XLOOKUP(B28, HoldSummary!$A:$A, HoldSummary!G:G), 0)</f>
        <v>0</v>
      </c>
      <c r="AI28">
        <f>IFERROR(_xlfn.XLOOKUP(B28, HoldSummary!$A:$A, HoldSummary!H:H), 0)</f>
        <v>0</v>
      </c>
      <c r="AJ28">
        <f>IFERROR(_xlfn.XLOOKUP(B28, HoldSummary!$A:$A, HoldSummary!I:I), 0)</f>
        <v>0</v>
      </c>
      <c r="AK28">
        <f t="shared" si="5"/>
        <v>0</v>
      </c>
      <c r="AL28">
        <f t="shared" si="6"/>
        <v>94.791666666664241</v>
      </c>
      <c r="AM28">
        <f t="shared" si="7"/>
        <v>71.791666666664241</v>
      </c>
      <c r="AN28" s="12">
        <f t="shared" si="8"/>
        <v>39.833333333335759</v>
      </c>
      <c r="AO28">
        <f t="shared" si="9"/>
        <v>0</v>
      </c>
    </row>
    <row r="29" spans="1:41" x14ac:dyDescent="0.35">
      <c r="A29" t="s">
        <v>23</v>
      </c>
      <c r="B29">
        <v>111691</v>
      </c>
      <c r="C29" t="s">
        <v>54</v>
      </c>
      <c r="D29" t="s">
        <v>44</v>
      </c>
      <c r="E29" t="s">
        <v>55</v>
      </c>
      <c r="F29" t="s">
        <v>46</v>
      </c>
      <c r="G29">
        <v>12</v>
      </c>
      <c r="H29" t="s">
        <v>107</v>
      </c>
      <c r="I29" t="s">
        <v>30</v>
      </c>
      <c r="J29" t="s">
        <v>31</v>
      </c>
      <c r="K29" t="s">
        <v>57</v>
      </c>
      <c r="L29" t="s">
        <v>58</v>
      </c>
      <c r="M29" t="s">
        <v>33</v>
      </c>
      <c r="N29" s="2">
        <v>45729.166666666664</v>
      </c>
      <c r="O29" s="2">
        <v>45898.166666666664</v>
      </c>
      <c r="P29" s="2">
        <v>45898.166666666664</v>
      </c>
      <c r="Q29" s="2">
        <v>45743</v>
      </c>
      <c r="R29" s="2">
        <v>45744.802246724539</v>
      </c>
      <c r="T29" s="2">
        <v>45740.166666666664</v>
      </c>
      <c r="U29" s="2">
        <v>45740.166666666664</v>
      </c>
      <c r="V29" s="2">
        <v>45741.166666666664</v>
      </c>
      <c r="W29" s="2">
        <v>45741.166666666664</v>
      </c>
      <c r="X29" s="3">
        <f t="shared" si="0"/>
        <v>0</v>
      </c>
      <c r="Y29">
        <f t="shared" si="1"/>
        <v>0</v>
      </c>
      <c r="Z29">
        <f t="shared" si="2"/>
        <v>0</v>
      </c>
      <c r="AA29">
        <f t="shared" si="3"/>
        <v>13.833333333335759</v>
      </c>
      <c r="AB29">
        <f t="shared" si="4"/>
        <v>13.833333333335759</v>
      </c>
      <c r="AC29">
        <f>IFERROR(_xlfn.XLOOKUP(B29, HoldSummary!$A:$A, HoldSummary!B:B), 0)</f>
        <v>0</v>
      </c>
      <c r="AD29">
        <f>IFERROR(_xlfn.XLOOKUP(B29, HoldSummary!$A:$A, HoldSummary!C:C), 0)</f>
        <v>0</v>
      </c>
      <c r="AE29">
        <f>IFERROR(_xlfn.XLOOKUP(B29, HoldSummary!$A:$A, HoldSummary!D:D), 0)</f>
        <v>0</v>
      </c>
      <c r="AF29">
        <f>IFERROR(_xlfn.XLOOKUP(B29, HoldSummary!$A:$A, HoldSummary!E:E), 0)</f>
        <v>0</v>
      </c>
      <c r="AG29">
        <f>IFERROR(_xlfn.XLOOKUP(B29, HoldSummary!$A:$A, HoldSummary!F:F), 0)</f>
        <v>0</v>
      </c>
      <c r="AH29">
        <f>IFERROR(_xlfn.XLOOKUP(B29, HoldSummary!$A:$A, HoldSummary!G:G), 0)</f>
        <v>0</v>
      </c>
      <c r="AI29">
        <f>IFERROR(_xlfn.XLOOKUP(B29, HoldSummary!$A:$A, HoldSummary!H:H), 0)</f>
        <v>0</v>
      </c>
      <c r="AJ29">
        <f>IFERROR(_xlfn.XLOOKUP(B29, HoldSummary!$A:$A, HoldSummary!I:I), 0)</f>
        <v>0</v>
      </c>
      <c r="AK29">
        <f t="shared" si="5"/>
        <v>0</v>
      </c>
      <c r="AL29">
        <f t="shared" si="6"/>
        <v>13.833333333335759</v>
      </c>
      <c r="AM29">
        <f t="shared" si="7"/>
        <v>13.833333333335759</v>
      </c>
      <c r="AN29" s="12">
        <f t="shared" si="8"/>
        <v>-155.16666666666424</v>
      </c>
      <c r="AO29">
        <f t="shared" si="9"/>
        <v>1</v>
      </c>
    </row>
    <row r="30" spans="1:41" x14ac:dyDescent="0.35">
      <c r="A30" t="s">
        <v>23</v>
      </c>
      <c r="B30">
        <v>111395</v>
      </c>
      <c r="C30" t="s">
        <v>98</v>
      </c>
      <c r="D30" t="s">
        <v>44</v>
      </c>
      <c r="E30" t="s">
        <v>55</v>
      </c>
      <c r="F30" t="s">
        <v>46</v>
      </c>
      <c r="G30">
        <v>12</v>
      </c>
      <c r="H30" t="s">
        <v>108</v>
      </c>
      <c r="I30" t="s">
        <v>30</v>
      </c>
      <c r="J30" t="s">
        <v>31</v>
      </c>
      <c r="K30" t="s">
        <v>57</v>
      </c>
      <c r="L30" t="s">
        <v>58</v>
      </c>
      <c r="M30" t="s">
        <v>33</v>
      </c>
      <c r="N30" s="2">
        <v>45714.208333333336</v>
      </c>
      <c r="O30" s="2">
        <v>46203.166666666664</v>
      </c>
      <c r="P30" s="2">
        <v>45849.166666666664</v>
      </c>
      <c r="Q30" s="2">
        <v>45847</v>
      </c>
      <c r="R30" s="2">
        <v>45852.804294780093</v>
      </c>
      <c r="S30" t="s">
        <v>34</v>
      </c>
      <c r="T30" s="2">
        <v>45824.166666666664</v>
      </c>
      <c r="U30" s="2">
        <v>45824.166666666664</v>
      </c>
      <c r="V30" s="2">
        <v>45832.166666666664</v>
      </c>
      <c r="W30" s="2">
        <v>45835.166666666664</v>
      </c>
      <c r="X30" s="3">
        <f t="shared" si="0"/>
        <v>0</v>
      </c>
      <c r="Y30">
        <f t="shared" si="1"/>
        <v>3</v>
      </c>
      <c r="Z30">
        <f t="shared" si="2"/>
        <v>3</v>
      </c>
      <c r="AA30">
        <f t="shared" si="3"/>
        <v>132.79166666666424</v>
      </c>
      <c r="AB30">
        <f t="shared" si="4"/>
        <v>129.79166666666424</v>
      </c>
      <c r="AC30">
        <f>IFERROR(_xlfn.XLOOKUP(B30, HoldSummary!$A:$A, HoldSummary!B:B), 0)</f>
        <v>64</v>
      </c>
      <c r="AD30">
        <f>IFERROR(_xlfn.XLOOKUP(B30, HoldSummary!$A:$A, HoldSummary!C:C), 0)</f>
        <v>2</v>
      </c>
      <c r="AE30">
        <f>IFERROR(_xlfn.XLOOKUP(B30, HoldSummary!$A:$A, HoldSummary!D:D), 0)</f>
        <v>0</v>
      </c>
      <c r="AF30">
        <f>IFERROR(_xlfn.XLOOKUP(B30, HoldSummary!$A:$A, HoldSummary!E:E), 0)</f>
        <v>0</v>
      </c>
      <c r="AG30">
        <f>IFERROR(_xlfn.XLOOKUP(B30, HoldSummary!$A:$A, HoldSummary!F:F), 0)</f>
        <v>3</v>
      </c>
      <c r="AH30">
        <f>IFERROR(_xlfn.XLOOKUP(B30, HoldSummary!$A:$A, HoldSummary!G:G), 0)</f>
        <v>0</v>
      </c>
      <c r="AI30">
        <f>IFERROR(_xlfn.XLOOKUP(B30, HoldSummary!$A:$A, HoldSummary!H:H), 0)</f>
        <v>0</v>
      </c>
      <c r="AJ30">
        <f>IFERROR(_xlfn.XLOOKUP(B30, HoldSummary!$A:$A, HoldSummary!I:I), 0)</f>
        <v>0</v>
      </c>
      <c r="AK30">
        <f t="shared" si="5"/>
        <v>69</v>
      </c>
      <c r="AL30">
        <f t="shared" si="6"/>
        <v>63.791666666664241</v>
      </c>
      <c r="AM30">
        <f t="shared" si="7"/>
        <v>60.791666666664241</v>
      </c>
      <c r="AN30" s="12">
        <f t="shared" si="8"/>
        <v>-356.16666666666424</v>
      </c>
      <c r="AO30">
        <f t="shared" si="9"/>
        <v>1</v>
      </c>
    </row>
    <row r="31" spans="1:41" x14ac:dyDescent="0.35">
      <c r="A31" t="s">
        <v>23</v>
      </c>
      <c r="B31">
        <v>111325</v>
      </c>
      <c r="C31" t="s">
        <v>36</v>
      </c>
      <c r="D31" t="s">
        <v>44</v>
      </c>
      <c r="E31" t="s">
        <v>55</v>
      </c>
      <c r="F31" t="s">
        <v>46</v>
      </c>
      <c r="G31">
        <v>13</v>
      </c>
      <c r="H31" t="s">
        <v>109</v>
      </c>
      <c r="I31" t="s">
        <v>30</v>
      </c>
      <c r="J31" t="s">
        <v>31</v>
      </c>
      <c r="K31" t="s">
        <v>57</v>
      </c>
      <c r="L31" t="s">
        <v>39</v>
      </c>
      <c r="M31" t="s">
        <v>33</v>
      </c>
      <c r="N31" s="2">
        <v>45709.208333333336</v>
      </c>
      <c r="O31" s="2">
        <v>45756.166666666664</v>
      </c>
      <c r="P31" s="2">
        <v>45807.166666666664</v>
      </c>
      <c r="Q31" s="2">
        <v>45807</v>
      </c>
      <c r="R31" s="2">
        <v>45807.791611886576</v>
      </c>
      <c r="S31" t="s">
        <v>104</v>
      </c>
      <c r="T31" s="2">
        <v>45785.166666666664</v>
      </c>
      <c r="U31" s="2">
        <v>45785.166666666664</v>
      </c>
      <c r="V31" s="2">
        <v>45792.166666666664</v>
      </c>
      <c r="W31" s="2">
        <v>45805.166666666664</v>
      </c>
      <c r="X31" s="3">
        <f t="shared" si="0"/>
        <v>0</v>
      </c>
      <c r="Y31">
        <f t="shared" si="1"/>
        <v>13</v>
      </c>
      <c r="Z31">
        <f t="shared" si="2"/>
        <v>13</v>
      </c>
      <c r="AA31">
        <f t="shared" si="3"/>
        <v>97.791666666664241</v>
      </c>
      <c r="AB31">
        <f t="shared" si="4"/>
        <v>84.791666666664241</v>
      </c>
      <c r="AC31">
        <f>IFERROR(_xlfn.XLOOKUP(B31, HoldSummary!$A:$A, HoldSummary!B:B), 0)</f>
        <v>0</v>
      </c>
      <c r="AD31">
        <f>IFERROR(_xlfn.XLOOKUP(B31, HoldSummary!$A:$A, HoldSummary!C:C), 0)</f>
        <v>0</v>
      </c>
      <c r="AE31">
        <f>IFERROR(_xlfn.XLOOKUP(B31, HoldSummary!$A:$A, HoldSummary!D:D), 0)</f>
        <v>0</v>
      </c>
      <c r="AF31">
        <f>IFERROR(_xlfn.XLOOKUP(B31, HoldSummary!$A:$A, HoldSummary!E:E), 0)</f>
        <v>0</v>
      </c>
      <c r="AG31">
        <f>IFERROR(_xlfn.XLOOKUP(B31, HoldSummary!$A:$A, HoldSummary!F:F), 0)</f>
        <v>0</v>
      </c>
      <c r="AH31">
        <f>IFERROR(_xlfn.XLOOKUP(B31, HoldSummary!$A:$A, HoldSummary!G:G), 0)</f>
        <v>0</v>
      </c>
      <c r="AI31">
        <f>IFERROR(_xlfn.XLOOKUP(B31, HoldSummary!$A:$A, HoldSummary!H:H), 0)</f>
        <v>0</v>
      </c>
      <c r="AJ31">
        <f>IFERROR(_xlfn.XLOOKUP(B31, HoldSummary!$A:$A, HoldSummary!I:I), 0)</f>
        <v>0</v>
      </c>
      <c r="AK31">
        <f t="shared" si="5"/>
        <v>0</v>
      </c>
      <c r="AL31">
        <f t="shared" si="6"/>
        <v>97.791666666664241</v>
      </c>
      <c r="AM31">
        <f t="shared" si="7"/>
        <v>84.791666666664241</v>
      </c>
      <c r="AN31" s="12">
        <f t="shared" si="8"/>
        <v>50.833333333335759</v>
      </c>
      <c r="AO31">
        <f t="shared" si="9"/>
        <v>0</v>
      </c>
    </row>
    <row r="32" spans="1:41" x14ac:dyDescent="0.35">
      <c r="A32" t="s">
        <v>23</v>
      </c>
      <c r="B32">
        <v>113432</v>
      </c>
      <c r="C32" t="s">
        <v>98</v>
      </c>
      <c r="D32" t="s">
        <v>44</v>
      </c>
      <c r="E32" t="s">
        <v>55</v>
      </c>
      <c r="F32" t="s">
        <v>46</v>
      </c>
      <c r="G32">
        <v>13</v>
      </c>
      <c r="H32" t="s">
        <v>110</v>
      </c>
      <c r="I32" t="s">
        <v>30</v>
      </c>
      <c r="J32" t="s">
        <v>31</v>
      </c>
      <c r="K32" t="s">
        <v>57</v>
      </c>
      <c r="L32" t="s">
        <v>58</v>
      </c>
      <c r="M32" t="s">
        <v>33</v>
      </c>
      <c r="N32" s="2">
        <v>45813.166666666664</v>
      </c>
      <c r="O32" s="2">
        <v>46203.166666666664</v>
      </c>
      <c r="P32" s="2">
        <v>45856.166666666664</v>
      </c>
      <c r="Q32" s="2">
        <v>45845</v>
      </c>
      <c r="R32" s="2">
        <v>45846.643195381941</v>
      </c>
      <c r="S32" t="s">
        <v>84</v>
      </c>
      <c r="T32" s="2">
        <v>45824.166666666664</v>
      </c>
      <c r="U32" s="2">
        <v>45824.166666666664</v>
      </c>
      <c r="V32" s="2">
        <v>45824.166666666664</v>
      </c>
      <c r="W32" s="2">
        <v>45835.166666666664</v>
      </c>
      <c r="X32" s="3">
        <f t="shared" si="0"/>
        <v>0</v>
      </c>
      <c r="Y32">
        <f t="shared" si="1"/>
        <v>11</v>
      </c>
      <c r="Z32">
        <f t="shared" si="2"/>
        <v>11</v>
      </c>
      <c r="AA32">
        <f t="shared" si="3"/>
        <v>31.833333333335759</v>
      </c>
      <c r="AB32">
        <f t="shared" si="4"/>
        <v>20.833333333335759</v>
      </c>
      <c r="AC32">
        <f>IFERROR(_xlfn.XLOOKUP(B32, HoldSummary!$A:$A, HoldSummary!B:B), 0)</f>
        <v>0</v>
      </c>
      <c r="AD32">
        <f>IFERROR(_xlfn.XLOOKUP(B32, HoldSummary!$A:$A, HoldSummary!C:C), 0)</f>
        <v>0</v>
      </c>
      <c r="AE32">
        <f>IFERROR(_xlfn.XLOOKUP(B32, HoldSummary!$A:$A, HoldSummary!D:D), 0)</f>
        <v>0</v>
      </c>
      <c r="AF32">
        <f>IFERROR(_xlfn.XLOOKUP(B32, HoldSummary!$A:$A, HoldSummary!E:E), 0)</f>
        <v>0</v>
      </c>
      <c r="AG32">
        <f>IFERROR(_xlfn.XLOOKUP(B32, HoldSummary!$A:$A, HoldSummary!F:F), 0)</f>
        <v>0</v>
      </c>
      <c r="AH32">
        <f>IFERROR(_xlfn.XLOOKUP(B32, HoldSummary!$A:$A, HoldSummary!G:G), 0)</f>
        <v>0</v>
      </c>
      <c r="AI32">
        <f>IFERROR(_xlfn.XLOOKUP(B32, HoldSummary!$A:$A, HoldSummary!H:H), 0)</f>
        <v>0</v>
      </c>
      <c r="AJ32">
        <f>IFERROR(_xlfn.XLOOKUP(B32, HoldSummary!$A:$A, HoldSummary!I:I), 0)</f>
        <v>0</v>
      </c>
      <c r="AK32">
        <f t="shared" si="5"/>
        <v>0</v>
      </c>
      <c r="AL32">
        <f t="shared" si="6"/>
        <v>31.833333333335759</v>
      </c>
      <c r="AM32">
        <f t="shared" si="7"/>
        <v>20.833333333335759</v>
      </c>
      <c r="AN32" s="12">
        <f t="shared" si="8"/>
        <v>-358.16666666666424</v>
      </c>
      <c r="AO32">
        <f t="shared" si="9"/>
        <v>1</v>
      </c>
    </row>
    <row r="33" spans="1:41" x14ac:dyDescent="0.35">
      <c r="A33" t="s">
        <v>23</v>
      </c>
      <c r="B33">
        <v>101015</v>
      </c>
      <c r="C33" t="s">
        <v>54</v>
      </c>
      <c r="D33" t="s">
        <v>44</v>
      </c>
      <c r="E33" t="s">
        <v>55</v>
      </c>
      <c r="F33" t="s">
        <v>46</v>
      </c>
      <c r="G33">
        <v>2024</v>
      </c>
      <c r="H33" t="s">
        <v>111</v>
      </c>
      <c r="I33" t="s">
        <v>30</v>
      </c>
      <c r="J33" t="s">
        <v>31</v>
      </c>
      <c r="K33" t="s">
        <v>57</v>
      </c>
      <c r="L33" t="s">
        <v>58</v>
      </c>
      <c r="N33" s="2">
        <v>45177.166666666664</v>
      </c>
      <c r="O33" s="2">
        <v>45412.166666666664</v>
      </c>
      <c r="P33" s="2">
        <v>45412.166666666664</v>
      </c>
      <c r="Q33" s="2">
        <v>45398</v>
      </c>
      <c r="R33" s="2">
        <v>45398.75372040509</v>
      </c>
      <c r="S33" t="s">
        <v>112</v>
      </c>
      <c r="T33" s="2">
        <v>45379.166666666664</v>
      </c>
      <c r="U33" s="2">
        <v>45386.166666666664</v>
      </c>
      <c r="V33" s="2">
        <v>45386.166666666664</v>
      </c>
      <c r="W33" s="2">
        <v>45386.166666666664</v>
      </c>
      <c r="X33" s="3">
        <f t="shared" si="0"/>
        <v>7</v>
      </c>
      <c r="Y33">
        <f t="shared" si="1"/>
        <v>0</v>
      </c>
      <c r="Z33">
        <f t="shared" si="2"/>
        <v>7</v>
      </c>
      <c r="AA33">
        <f t="shared" si="3"/>
        <v>220.83333333333576</v>
      </c>
      <c r="AB33">
        <f t="shared" si="4"/>
        <v>213.83333333333576</v>
      </c>
      <c r="AC33">
        <f>IFERROR(_xlfn.XLOOKUP(B33, HoldSummary!$A:$A, HoldSummary!B:B), 0)</f>
        <v>0</v>
      </c>
      <c r="AD33">
        <f>IFERROR(_xlfn.XLOOKUP(B33, HoldSummary!$A:$A, HoldSummary!C:C), 0)</f>
        <v>0</v>
      </c>
      <c r="AE33">
        <f>IFERROR(_xlfn.XLOOKUP(B33, HoldSummary!$A:$A, HoldSummary!D:D), 0)</f>
        <v>0</v>
      </c>
      <c r="AF33">
        <f>IFERROR(_xlfn.XLOOKUP(B33, HoldSummary!$A:$A, HoldSummary!E:E), 0)</f>
        <v>0</v>
      </c>
      <c r="AG33">
        <f>IFERROR(_xlfn.XLOOKUP(B33, HoldSummary!$A:$A, HoldSummary!F:F), 0)</f>
        <v>0</v>
      </c>
      <c r="AH33">
        <f>IFERROR(_xlfn.XLOOKUP(B33, HoldSummary!$A:$A, HoldSummary!G:G), 0)</f>
        <v>0</v>
      </c>
      <c r="AI33">
        <f>IFERROR(_xlfn.XLOOKUP(B33, HoldSummary!$A:$A, HoldSummary!H:H), 0)</f>
        <v>0</v>
      </c>
      <c r="AJ33">
        <f>IFERROR(_xlfn.XLOOKUP(B33, HoldSummary!$A:$A, HoldSummary!I:I), 0)</f>
        <v>0</v>
      </c>
      <c r="AK33">
        <f t="shared" si="5"/>
        <v>0</v>
      </c>
      <c r="AL33">
        <f t="shared" si="6"/>
        <v>220.83333333333576</v>
      </c>
      <c r="AM33">
        <f t="shared" si="7"/>
        <v>213.83333333333576</v>
      </c>
      <c r="AN33" s="12">
        <f t="shared" si="8"/>
        <v>-14.166666666664241</v>
      </c>
      <c r="AO33">
        <f t="shared" si="9"/>
        <v>1</v>
      </c>
    </row>
    <row r="34" spans="1:41" x14ac:dyDescent="0.35">
      <c r="A34" t="s">
        <v>23</v>
      </c>
      <c r="B34">
        <v>100341</v>
      </c>
      <c r="C34" t="s">
        <v>113</v>
      </c>
      <c r="D34" t="s">
        <v>44</v>
      </c>
      <c r="E34" t="s">
        <v>88</v>
      </c>
      <c r="F34" t="s">
        <v>46</v>
      </c>
      <c r="H34" t="s">
        <v>114</v>
      </c>
      <c r="I34" t="s">
        <v>30</v>
      </c>
      <c r="J34" t="s">
        <v>31</v>
      </c>
      <c r="K34" t="s">
        <v>57</v>
      </c>
      <c r="L34" t="s">
        <v>39</v>
      </c>
      <c r="N34" s="2">
        <v>45141.166666666664</v>
      </c>
      <c r="O34" s="2">
        <v>45250.208333333336</v>
      </c>
      <c r="P34" s="2">
        <v>45317.208333333336</v>
      </c>
      <c r="Q34" s="2">
        <v>45313</v>
      </c>
      <c r="R34" s="2">
        <v>45313.854733935186</v>
      </c>
      <c r="S34" t="s">
        <v>115</v>
      </c>
      <c r="T34" s="2">
        <v>45166.166666666664</v>
      </c>
      <c r="U34" s="2">
        <v>45168.166666666664</v>
      </c>
      <c r="V34" s="2">
        <v>45168.166666666664</v>
      </c>
      <c r="W34" s="2">
        <v>45236.208333333336</v>
      </c>
      <c r="X34" s="3">
        <f t="shared" si="0"/>
        <v>2</v>
      </c>
      <c r="Y34">
        <f t="shared" si="1"/>
        <v>68.041666666671517</v>
      </c>
      <c r="Z34">
        <f t="shared" si="2"/>
        <v>70.041666666671517</v>
      </c>
      <c r="AA34">
        <f t="shared" si="3"/>
        <v>171.83333333333576</v>
      </c>
      <c r="AB34">
        <f t="shared" si="4"/>
        <v>101.79166666666424</v>
      </c>
      <c r="AC34">
        <f>IFERROR(_xlfn.XLOOKUP(B34, HoldSummary!$A:$A, HoldSummary!B:B), 0)</f>
        <v>0</v>
      </c>
      <c r="AD34">
        <f>IFERROR(_xlfn.XLOOKUP(B34, HoldSummary!$A:$A, HoldSummary!C:C), 0)</f>
        <v>0</v>
      </c>
      <c r="AE34">
        <f>IFERROR(_xlfn.XLOOKUP(B34, HoldSummary!$A:$A, HoldSummary!D:D), 0)</f>
        <v>0</v>
      </c>
      <c r="AF34">
        <f>IFERROR(_xlfn.XLOOKUP(B34, HoldSummary!$A:$A, HoldSummary!E:E), 0)</f>
        <v>0</v>
      </c>
      <c r="AG34">
        <f>IFERROR(_xlfn.XLOOKUP(B34, HoldSummary!$A:$A, HoldSummary!F:F), 0)</f>
        <v>0</v>
      </c>
      <c r="AH34">
        <f>IFERROR(_xlfn.XLOOKUP(B34, HoldSummary!$A:$A, HoldSummary!G:G), 0)</f>
        <v>0</v>
      </c>
      <c r="AI34">
        <f>IFERROR(_xlfn.XLOOKUP(B34, HoldSummary!$A:$A, HoldSummary!H:H), 0)</f>
        <v>0</v>
      </c>
      <c r="AJ34">
        <f>IFERROR(_xlfn.XLOOKUP(B34, HoldSummary!$A:$A, HoldSummary!I:I), 0)</f>
        <v>0</v>
      </c>
      <c r="AK34">
        <f t="shared" si="5"/>
        <v>0</v>
      </c>
      <c r="AL34">
        <f t="shared" si="6"/>
        <v>171.83333333333576</v>
      </c>
      <c r="AM34">
        <f t="shared" si="7"/>
        <v>101.79166666666424</v>
      </c>
      <c r="AN34" s="12">
        <f t="shared" si="8"/>
        <v>62.791666666664241</v>
      </c>
      <c r="AO34">
        <f t="shared" si="9"/>
        <v>0</v>
      </c>
    </row>
    <row r="35" spans="1:41" x14ac:dyDescent="0.35">
      <c r="A35" t="s">
        <v>23</v>
      </c>
      <c r="B35">
        <v>102132</v>
      </c>
      <c r="C35" t="s">
        <v>113</v>
      </c>
      <c r="D35" t="s">
        <v>44</v>
      </c>
      <c r="E35" t="s">
        <v>88</v>
      </c>
      <c r="F35" t="s">
        <v>46</v>
      </c>
      <c r="H35" t="s">
        <v>116</v>
      </c>
      <c r="I35" t="s">
        <v>30</v>
      </c>
      <c r="J35" t="s">
        <v>31</v>
      </c>
      <c r="K35" t="s">
        <v>57</v>
      </c>
      <c r="L35" t="s">
        <v>39</v>
      </c>
      <c r="N35" s="2">
        <v>45232.166666666664</v>
      </c>
      <c r="O35" s="2">
        <v>45317.208333333336</v>
      </c>
      <c r="P35" s="2">
        <v>45317.208333333336</v>
      </c>
      <c r="Q35" s="2">
        <v>45313</v>
      </c>
      <c r="R35" s="2">
        <v>45313.85583108796</v>
      </c>
      <c r="T35" s="2">
        <v>45299.208333333336</v>
      </c>
      <c r="U35" s="2">
        <v>45308.208333333336</v>
      </c>
      <c r="V35" s="2">
        <v>45308.208333333336</v>
      </c>
      <c r="W35" s="2">
        <v>45308.208333333336</v>
      </c>
      <c r="X35" s="3">
        <f t="shared" si="0"/>
        <v>9</v>
      </c>
      <c r="Y35">
        <f t="shared" si="1"/>
        <v>0</v>
      </c>
      <c r="Z35">
        <f t="shared" si="2"/>
        <v>9</v>
      </c>
      <c r="AA35">
        <f t="shared" si="3"/>
        <v>80.833333333335759</v>
      </c>
      <c r="AB35">
        <f t="shared" si="4"/>
        <v>71.833333333335759</v>
      </c>
      <c r="AC35">
        <f>IFERROR(_xlfn.XLOOKUP(B35, HoldSummary!$A:$A, HoldSummary!B:B), 0)</f>
        <v>0</v>
      </c>
      <c r="AD35">
        <f>IFERROR(_xlfn.XLOOKUP(B35, HoldSummary!$A:$A, HoldSummary!C:C), 0)</f>
        <v>0</v>
      </c>
      <c r="AE35">
        <f>IFERROR(_xlfn.XLOOKUP(B35, HoldSummary!$A:$A, HoldSummary!D:D), 0)</f>
        <v>0</v>
      </c>
      <c r="AF35">
        <f>IFERROR(_xlfn.XLOOKUP(B35, HoldSummary!$A:$A, HoldSummary!E:E), 0)</f>
        <v>0</v>
      </c>
      <c r="AG35">
        <f>IFERROR(_xlfn.XLOOKUP(B35, HoldSummary!$A:$A, HoldSummary!F:F), 0)</f>
        <v>0</v>
      </c>
      <c r="AH35">
        <f>IFERROR(_xlfn.XLOOKUP(B35, HoldSummary!$A:$A, HoldSummary!G:G), 0)</f>
        <v>0</v>
      </c>
      <c r="AI35">
        <f>IFERROR(_xlfn.XLOOKUP(B35, HoldSummary!$A:$A, HoldSummary!H:H), 0)</f>
        <v>0</v>
      </c>
      <c r="AJ35">
        <f>IFERROR(_xlfn.XLOOKUP(B35, HoldSummary!$A:$A, HoldSummary!I:I), 0)</f>
        <v>0</v>
      </c>
      <c r="AK35">
        <f t="shared" si="5"/>
        <v>0</v>
      </c>
      <c r="AL35">
        <f t="shared" si="6"/>
        <v>80.833333333335759</v>
      </c>
      <c r="AM35">
        <f t="shared" si="7"/>
        <v>71.833333333335759</v>
      </c>
      <c r="AN35" s="12">
        <f t="shared" si="8"/>
        <v>-4.2083333333357587</v>
      </c>
      <c r="AO35">
        <f t="shared" si="9"/>
        <v>1</v>
      </c>
    </row>
    <row r="36" spans="1:41" x14ac:dyDescent="0.35">
      <c r="A36" t="s">
        <v>23</v>
      </c>
      <c r="B36" t="s">
        <v>117</v>
      </c>
      <c r="C36" t="s">
        <v>113</v>
      </c>
      <c r="D36" t="s">
        <v>44</v>
      </c>
      <c r="E36" t="s">
        <v>45</v>
      </c>
      <c r="F36" t="s">
        <v>46</v>
      </c>
      <c r="H36" t="s">
        <v>118</v>
      </c>
      <c r="I36" t="s">
        <v>30</v>
      </c>
      <c r="J36" t="s">
        <v>31</v>
      </c>
      <c r="K36" t="s">
        <v>57</v>
      </c>
      <c r="L36" t="s">
        <v>39</v>
      </c>
      <c r="N36" s="2">
        <v>45251.816064814811</v>
      </c>
      <c r="O36" s="2">
        <v>45359.208333333336</v>
      </c>
      <c r="P36" s="2">
        <v>45352.208333333336</v>
      </c>
      <c r="Q36" s="2">
        <v>45348</v>
      </c>
      <c r="R36" s="2">
        <v>45348.736161446759</v>
      </c>
      <c r="S36" t="s">
        <v>119</v>
      </c>
      <c r="T36" s="2">
        <v>45313.208333333336</v>
      </c>
      <c r="U36" s="2">
        <v>45315.208333333336</v>
      </c>
      <c r="V36" s="2">
        <v>45315.208333333336</v>
      </c>
      <c r="W36" s="2">
        <v>45315.208333333336</v>
      </c>
      <c r="X36" s="3">
        <f t="shared" si="0"/>
        <v>2</v>
      </c>
      <c r="Y36">
        <f t="shared" si="1"/>
        <v>0</v>
      </c>
      <c r="Z36">
        <f t="shared" si="2"/>
        <v>2</v>
      </c>
      <c r="AA36">
        <f t="shared" si="3"/>
        <v>96.183935185188602</v>
      </c>
      <c r="AB36">
        <f t="shared" si="4"/>
        <v>94.183935185188602</v>
      </c>
      <c r="AC36">
        <f>IFERROR(_xlfn.XLOOKUP(B36, HoldSummary!$A:$A, HoldSummary!B:B), 0)</f>
        <v>0</v>
      </c>
      <c r="AD36">
        <f>IFERROR(_xlfn.XLOOKUP(B36, HoldSummary!$A:$A, HoldSummary!C:C), 0)</f>
        <v>0</v>
      </c>
      <c r="AE36">
        <f>IFERROR(_xlfn.XLOOKUP(B36, HoldSummary!$A:$A, HoldSummary!D:D), 0)</f>
        <v>0</v>
      </c>
      <c r="AF36">
        <f>IFERROR(_xlfn.XLOOKUP(B36, HoldSummary!$A:$A, HoldSummary!E:E), 0)</f>
        <v>0</v>
      </c>
      <c r="AG36">
        <f>IFERROR(_xlfn.XLOOKUP(B36, HoldSummary!$A:$A, HoldSummary!F:F), 0)</f>
        <v>0</v>
      </c>
      <c r="AH36">
        <f>IFERROR(_xlfn.XLOOKUP(B36, HoldSummary!$A:$A, HoldSummary!G:G), 0)</f>
        <v>0</v>
      </c>
      <c r="AI36">
        <f>IFERROR(_xlfn.XLOOKUP(B36, HoldSummary!$A:$A, HoldSummary!H:H), 0)</f>
        <v>0</v>
      </c>
      <c r="AJ36">
        <f>IFERROR(_xlfn.XLOOKUP(B36, HoldSummary!$A:$A, HoldSummary!I:I), 0)</f>
        <v>5</v>
      </c>
      <c r="AK36">
        <f t="shared" si="5"/>
        <v>5</v>
      </c>
      <c r="AL36">
        <f t="shared" si="6"/>
        <v>91.183935185188602</v>
      </c>
      <c r="AM36">
        <f t="shared" si="7"/>
        <v>89.183935185188602</v>
      </c>
      <c r="AN36" s="12">
        <f t="shared" si="8"/>
        <v>-11.208333333335759</v>
      </c>
      <c r="AO36">
        <f t="shared" si="9"/>
        <v>1</v>
      </c>
    </row>
    <row r="37" spans="1:41" x14ac:dyDescent="0.35">
      <c r="A37" t="s">
        <v>23</v>
      </c>
      <c r="B37">
        <v>103146</v>
      </c>
      <c r="C37" t="s">
        <v>43</v>
      </c>
      <c r="D37" t="s">
        <v>44</v>
      </c>
      <c r="E37" t="s">
        <v>55</v>
      </c>
      <c r="F37" t="s">
        <v>46</v>
      </c>
      <c r="H37" t="s">
        <v>120</v>
      </c>
      <c r="I37" t="s">
        <v>30</v>
      </c>
      <c r="J37" t="s">
        <v>31</v>
      </c>
      <c r="K37" t="s">
        <v>57</v>
      </c>
      <c r="L37" t="s">
        <v>58</v>
      </c>
      <c r="N37" s="2">
        <v>45282.208333333336</v>
      </c>
      <c r="O37" s="2">
        <v>45303.208333333336</v>
      </c>
      <c r="P37" s="2">
        <v>45303.208333333336</v>
      </c>
      <c r="Q37" s="2">
        <v>45302</v>
      </c>
      <c r="R37" s="2">
        <v>45302.783845590275</v>
      </c>
      <c r="S37" t="s">
        <v>121</v>
      </c>
      <c r="T37" s="2">
        <v>45295.208333333336</v>
      </c>
      <c r="U37" s="2">
        <v>45299.208333333336</v>
      </c>
      <c r="V37" s="2">
        <v>45299.208333333336</v>
      </c>
      <c r="W37" s="2">
        <v>45299.208333333336</v>
      </c>
      <c r="X37" s="3">
        <f t="shared" si="0"/>
        <v>4</v>
      </c>
      <c r="Y37">
        <f t="shared" si="1"/>
        <v>0</v>
      </c>
      <c r="Z37">
        <f t="shared" si="2"/>
        <v>4</v>
      </c>
      <c r="AA37">
        <f t="shared" si="3"/>
        <v>19.791666666664241</v>
      </c>
      <c r="AB37">
        <f t="shared" si="4"/>
        <v>15.791666666664241</v>
      </c>
      <c r="AC37">
        <f>IFERROR(_xlfn.XLOOKUP(B37, HoldSummary!$A:$A, HoldSummary!B:B), 0)</f>
        <v>0</v>
      </c>
      <c r="AD37">
        <f>IFERROR(_xlfn.XLOOKUP(B37, HoldSummary!$A:$A, HoldSummary!C:C), 0)</f>
        <v>0</v>
      </c>
      <c r="AE37">
        <f>IFERROR(_xlfn.XLOOKUP(B37, HoldSummary!$A:$A, HoldSummary!D:D), 0)</f>
        <v>0</v>
      </c>
      <c r="AF37">
        <f>IFERROR(_xlfn.XLOOKUP(B37, HoldSummary!$A:$A, HoldSummary!E:E), 0)</f>
        <v>0</v>
      </c>
      <c r="AG37">
        <f>IFERROR(_xlfn.XLOOKUP(B37, HoldSummary!$A:$A, HoldSummary!F:F), 0)</f>
        <v>0</v>
      </c>
      <c r="AH37">
        <f>IFERROR(_xlfn.XLOOKUP(B37, HoldSummary!$A:$A, HoldSummary!G:G), 0)</f>
        <v>0</v>
      </c>
      <c r="AI37">
        <f>IFERROR(_xlfn.XLOOKUP(B37, HoldSummary!$A:$A, HoldSummary!H:H), 0)</f>
        <v>0</v>
      </c>
      <c r="AJ37">
        <f>IFERROR(_xlfn.XLOOKUP(B37, HoldSummary!$A:$A, HoldSummary!I:I), 0)</f>
        <v>0</v>
      </c>
      <c r="AK37">
        <f t="shared" si="5"/>
        <v>0</v>
      </c>
      <c r="AL37">
        <f t="shared" si="6"/>
        <v>19.791666666664241</v>
      </c>
      <c r="AM37">
        <f t="shared" si="7"/>
        <v>15.791666666664241</v>
      </c>
      <c r="AN37" s="12">
        <f t="shared" si="8"/>
        <v>-1.2083333333357587</v>
      </c>
      <c r="AO37">
        <f t="shared" si="9"/>
        <v>1</v>
      </c>
    </row>
    <row r="38" spans="1:41" x14ac:dyDescent="0.35">
      <c r="A38" t="s">
        <v>23</v>
      </c>
      <c r="B38">
        <v>103694</v>
      </c>
      <c r="C38" t="s">
        <v>113</v>
      </c>
      <c r="D38" t="s">
        <v>44</v>
      </c>
      <c r="E38" t="s">
        <v>55</v>
      </c>
      <c r="F38" t="s">
        <v>46</v>
      </c>
      <c r="H38" t="s">
        <v>122</v>
      </c>
      <c r="I38" t="s">
        <v>30</v>
      </c>
      <c r="J38" t="s">
        <v>31</v>
      </c>
      <c r="K38" t="s">
        <v>57</v>
      </c>
      <c r="L38" t="s">
        <v>39</v>
      </c>
      <c r="N38" s="2">
        <v>45317.208333333336</v>
      </c>
      <c r="O38" s="2">
        <v>45366.166666666664</v>
      </c>
      <c r="P38" s="2">
        <v>45366.166666666664</v>
      </c>
      <c r="Q38" s="2">
        <v>45344</v>
      </c>
      <c r="R38" s="2">
        <v>45344.761192673614</v>
      </c>
      <c r="T38" s="2">
        <v>45335.208333333336</v>
      </c>
      <c r="U38" s="2">
        <v>45337.208333333336</v>
      </c>
      <c r="V38" s="2">
        <v>45337.208333333336</v>
      </c>
      <c r="W38" s="2">
        <v>45337.208333333336</v>
      </c>
      <c r="X38" s="3">
        <f t="shared" si="0"/>
        <v>2</v>
      </c>
      <c r="Y38">
        <f t="shared" si="1"/>
        <v>0</v>
      </c>
      <c r="Z38">
        <f t="shared" si="2"/>
        <v>2</v>
      </c>
      <c r="AA38">
        <f t="shared" si="3"/>
        <v>26.791666666664241</v>
      </c>
      <c r="AB38">
        <f t="shared" si="4"/>
        <v>24.791666666664241</v>
      </c>
      <c r="AC38">
        <f>IFERROR(_xlfn.XLOOKUP(B38, HoldSummary!$A:$A, HoldSummary!B:B), 0)</f>
        <v>0</v>
      </c>
      <c r="AD38">
        <f>IFERROR(_xlfn.XLOOKUP(B38, HoldSummary!$A:$A, HoldSummary!C:C), 0)</f>
        <v>0</v>
      </c>
      <c r="AE38">
        <f>IFERROR(_xlfn.XLOOKUP(B38, HoldSummary!$A:$A, HoldSummary!D:D), 0)</f>
        <v>0</v>
      </c>
      <c r="AF38">
        <f>IFERROR(_xlfn.XLOOKUP(B38, HoldSummary!$A:$A, HoldSummary!E:E), 0)</f>
        <v>0</v>
      </c>
      <c r="AG38">
        <f>IFERROR(_xlfn.XLOOKUP(B38, HoldSummary!$A:$A, HoldSummary!F:F), 0)</f>
        <v>0</v>
      </c>
      <c r="AH38">
        <f>IFERROR(_xlfn.XLOOKUP(B38, HoldSummary!$A:$A, HoldSummary!G:G), 0)</f>
        <v>0</v>
      </c>
      <c r="AI38">
        <f>IFERROR(_xlfn.XLOOKUP(B38, HoldSummary!$A:$A, HoldSummary!H:H), 0)</f>
        <v>0</v>
      </c>
      <c r="AJ38">
        <f>IFERROR(_xlfn.XLOOKUP(B38, HoldSummary!$A:$A, HoldSummary!I:I), 0)</f>
        <v>0</v>
      </c>
      <c r="AK38">
        <f t="shared" si="5"/>
        <v>0</v>
      </c>
      <c r="AL38">
        <f t="shared" si="6"/>
        <v>26.791666666664241</v>
      </c>
      <c r="AM38">
        <f t="shared" si="7"/>
        <v>24.791666666664241</v>
      </c>
      <c r="AN38" s="12">
        <f t="shared" si="8"/>
        <v>-22.166666666664241</v>
      </c>
      <c r="AO38">
        <f t="shared" si="9"/>
        <v>1</v>
      </c>
    </row>
    <row r="39" spans="1:41" x14ac:dyDescent="0.35">
      <c r="A39" t="s">
        <v>23</v>
      </c>
      <c r="B39" t="s">
        <v>123</v>
      </c>
      <c r="C39" t="s">
        <v>54</v>
      </c>
      <c r="D39" t="s">
        <v>44</v>
      </c>
      <c r="E39" t="s">
        <v>45</v>
      </c>
      <c r="F39" t="s">
        <v>46</v>
      </c>
      <c r="H39" t="s">
        <v>124</v>
      </c>
      <c r="I39" t="s">
        <v>30</v>
      </c>
      <c r="J39" t="s">
        <v>31</v>
      </c>
      <c r="K39" t="s">
        <v>38</v>
      </c>
      <c r="N39" s="2">
        <v>45324.112372685187</v>
      </c>
      <c r="O39" s="2">
        <v>45359.208333333336</v>
      </c>
      <c r="P39" s="2">
        <v>45359.208333333336</v>
      </c>
      <c r="Q39" s="2">
        <v>45330</v>
      </c>
      <c r="R39" s="2">
        <v>45330.898685115739</v>
      </c>
      <c r="S39" t="s">
        <v>125</v>
      </c>
      <c r="T39" s="2">
        <v>45324.208333333336</v>
      </c>
      <c r="U39" s="2">
        <v>45324.208333333336</v>
      </c>
      <c r="V39" s="2">
        <v>45324.208333333336</v>
      </c>
      <c r="W39" s="2">
        <v>45329.208333333336</v>
      </c>
      <c r="X39" s="3">
        <f t="shared" si="0"/>
        <v>0</v>
      </c>
      <c r="Y39">
        <f t="shared" si="1"/>
        <v>5</v>
      </c>
      <c r="Z39">
        <f t="shared" si="2"/>
        <v>5</v>
      </c>
      <c r="AA39">
        <f t="shared" si="3"/>
        <v>5.887627314812562</v>
      </c>
      <c r="AB39">
        <f t="shared" si="4"/>
        <v>0.88762731481256196</v>
      </c>
      <c r="AC39">
        <f>IFERROR(_xlfn.XLOOKUP(B39, HoldSummary!$A:$A, HoldSummary!B:B), 0)</f>
        <v>0</v>
      </c>
      <c r="AD39">
        <f>IFERROR(_xlfn.XLOOKUP(B39, HoldSummary!$A:$A, HoldSummary!C:C), 0)</f>
        <v>0</v>
      </c>
      <c r="AE39">
        <f>IFERROR(_xlfn.XLOOKUP(B39, HoldSummary!$A:$A, HoldSummary!D:D), 0)</f>
        <v>0</v>
      </c>
      <c r="AF39">
        <f>IFERROR(_xlfn.XLOOKUP(B39, HoldSummary!$A:$A, HoldSummary!E:E), 0)</f>
        <v>0</v>
      </c>
      <c r="AG39">
        <f>IFERROR(_xlfn.XLOOKUP(B39, HoldSummary!$A:$A, HoldSummary!F:F), 0)</f>
        <v>0</v>
      </c>
      <c r="AH39">
        <f>IFERROR(_xlfn.XLOOKUP(B39, HoldSummary!$A:$A, HoldSummary!G:G), 0)</f>
        <v>0</v>
      </c>
      <c r="AI39">
        <f>IFERROR(_xlfn.XLOOKUP(B39, HoldSummary!$A:$A, HoldSummary!H:H), 0)</f>
        <v>0</v>
      </c>
      <c r="AJ39">
        <f>IFERROR(_xlfn.XLOOKUP(B39, HoldSummary!$A:$A, HoldSummary!I:I), 0)</f>
        <v>0</v>
      </c>
      <c r="AK39">
        <f t="shared" si="5"/>
        <v>0</v>
      </c>
      <c r="AL39">
        <f t="shared" si="6"/>
        <v>5.887627314812562</v>
      </c>
      <c r="AM39">
        <f t="shared" si="7"/>
        <v>0.88762731481256196</v>
      </c>
      <c r="AN39" s="12">
        <f t="shared" si="8"/>
        <v>-29.208333333335759</v>
      </c>
      <c r="AO39">
        <f t="shared" si="9"/>
        <v>1</v>
      </c>
    </row>
    <row r="40" spans="1:41" x14ac:dyDescent="0.35">
      <c r="A40" t="s">
        <v>23</v>
      </c>
      <c r="B40">
        <v>104648</v>
      </c>
      <c r="C40" t="s">
        <v>113</v>
      </c>
      <c r="D40" t="s">
        <v>44</v>
      </c>
      <c r="E40" t="s">
        <v>55</v>
      </c>
      <c r="F40" t="s">
        <v>46</v>
      </c>
      <c r="H40" t="s">
        <v>126</v>
      </c>
      <c r="I40" t="s">
        <v>30</v>
      </c>
      <c r="J40" t="s">
        <v>31</v>
      </c>
      <c r="K40" t="s">
        <v>57</v>
      </c>
      <c r="L40" t="s">
        <v>39</v>
      </c>
      <c r="N40" s="2">
        <v>45362.166666666664</v>
      </c>
      <c r="O40" s="2">
        <v>45443.166666666664</v>
      </c>
      <c r="P40" s="2">
        <v>45408.166666666664</v>
      </c>
      <c r="Q40" s="2">
        <v>45406</v>
      </c>
      <c r="R40" s="2">
        <v>45406.853429756942</v>
      </c>
      <c r="S40" t="s">
        <v>127</v>
      </c>
      <c r="T40" s="2">
        <v>45373.166666666664</v>
      </c>
      <c r="U40" s="2">
        <v>45391.166666666664</v>
      </c>
      <c r="V40" s="2">
        <v>45391.166666666664</v>
      </c>
      <c r="W40" s="2">
        <v>45391.166666666664</v>
      </c>
      <c r="X40" s="3">
        <f t="shared" si="0"/>
        <v>18</v>
      </c>
      <c r="Y40">
        <f t="shared" si="1"/>
        <v>0</v>
      </c>
      <c r="Z40">
        <f t="shared" si="2"/>
        <v>18</v>
      </c>
      <c r="AA40">
        <f t="shared" si="3"/>
        <v>43.833333333335759</v>
      </c>
      <c r="AB40">
        <f t="shared" si="4"/>
        <v>25.833333333335759</v>
      </c>
      <c r="AC40">
        <f>IFERROR(_xlfn.XLOOKUP(B40, HoldSummary!$A:$A, HoldSummary!B:B), 0)</f>
        <v>0</v>
      </c>
      <c r="AD40">
        <f>IFERROR(_xlfn.XLOOKUP(B40, HoldSummary!$A:$A, HoldSummary!C:C), 0)</f>
        <v>0</v>
      </c>
      <c r="AE40">
        <f>IFERROR(_xlfn.XLOOKUP(B40, HoldSummary!$A:$A, HoldSummary!D:D), 0)</f>
        <v>0</v>
      </c>
      <c r="AF40">
        <f>IFERROR(_xlfn.XLOOKUP(B40, HoldSummary!$A:$A, HoldSummary!E:E), 0)</f>
        <v>0</v>
      </c>
      <c r="AG40">
        <f>IFERROR(_xlfn.XLOOKUP(B40, HoldSummary!$A:$A, HoldSummary!F:F), 0)</f>
        <v>0</v>
      </c>
      <c r="AH40">
        <f>IFERROR(_xlfn.XLOOKUP(B40, HoldSummary!$A:$A, HoldSummary!G:G), 0)</f>
        <v>0</v>
      </c>
      <c r="AI40">
        <f>IFERROR(_xlfn.XLOOKUP(B40, HoldSummary!$A:$A, HoldSummary!H:H), 0)</f>
        <v>0</v>
      </c>
      <c r="AJ40">
        <f>IFERROR(_xlfn.XLOOKUP(B40, HoldSummary!$A:$A, HoldSummary!I:I), 0)</f>
        <v>0</v>
      </c>
      <c r="AK40">
        <f t="shared" si="5"/>
        <v>0</v>
      </c>
      <c r="AL40">
        <f t="shared" si="6"/>
        <v>43.833333333335759</v>
      </c>
      <c r="AM40">
        <f t="shared" si="7"/>
        <v>25.833333333335759</v>
      </c>
      <c r="AN40" s="12">
        <f t="shared" si="8"/>
        <v>-37.166666666664241</v>
      </c>
      <c r="AO40">
        <f t="shared" si="9"/>
        <v>1</v>
      </c>
    </row>
    <row r="41" spans="1:41" x14ac:dyDescent="0.35">
      <c r="A41" t="s">
        <v>23</v>
      </c>
      <c r="B41">
        <v>105228</v>
      </c>
      <c r="C41" t="s">
        <v>113</v>
      </c>
      <c r="D41" t="s">
        <v>44</v>
      </c>
      <c r="E41" t="s">
        <v>55</v>
      </c>
      <c r="F41" t="s">
        <v>46</v>
      </c>
      <c r="H41" t="s">
        <v>128</v>
      </c>
      <c r="I41" t="s">
        <v>30</v>
      </c>
      <c r="J41" t="s">
        <v>31</v>
      </c>
      <c r="K41" t="s">
        <v>57</v>
      </c>
      <c r="L41" t="s">
        <v>39</v>
      </c>
      <c r="N41" s="2">
        <v>45392.166666666664</v>
      </c>
      <c r="O41" s="2">
        <v>45443.166666666664</v>
      </c>
      <c r="P41" s="2">
        <v>45443.166666666664</v>
      </c>
      <c r="Q41" s="2">
        <v>45436</v>
      </c>
      <c r="R41" s="2">
        <v>45436.648384143518</v>
      </c>
      <c r="T41" s="2">
        <v>45414.166666666664</v>
      </c>
      <c r="U41" s="2">
        <v>45415.166666666664</v>
      </c>
      <c r="V41" s="2">
        <v>45415.166666666664</v>
      </c>
      <c r="W41" s="2">
        <v>45415.166666666664</v>
      </c>
      <c r="X41" s="3">
        <f t="shared" si="0"/>
        <v>1</v>
      </c>
      <c r="Y41">
        <f t="shared" si="1"/>
        <v>0</v>
      </c>
      <c r="Z41">
        <f t="shared" si="2"/>
        <v>1</v>
      </c>
      <c r="AA41">
        <f t="shared" si="3"/>
        <v>43.833333333335759</v>
      </c>
      <c r="AB41">
        <f t="shared" si="4"/>
        <v>42.833333333335759</v>
      </c>
      <c r="AC41">
        <f>IFERROR(_xlfn.XLOOKUP(B41, HoldSummary!$A:$A, HoldSummary!B:B), 0)</f>
        <v>0</v>
      </c>
      <c r="AD41">
        <f>IFERROR(_xlfn.XLOOKUP(B41, HoldSummary!$A:$A, HoldSummary!C:C), 0)</f>
        <v>0</v>
      </c>
      <c r="AE41">
        <f>IFERROR(_xlfn.XLOOKUP(B41, HoldSummary!$A:$A, HoldSummary!D:D), 0)</f>
        <v>0</v>
      </c>
      <c r="AF41">
        <f>IFERROR(_xlfn.XLOOKUP(B41, HoldSummary!$A:$A, HoldSummary!E:E), 0)</f>
        <v>0</v>
      </c>
      <c r="AG41">
        <f>IFERROR(_xlfn.XLOOKUP(B41, HoldSummary!$A:$A, HoldSummary!F:F), 0)</f>
        <v>5</v>
      </c>
      <c r="AH41">
        <f>IFERROR(_xlfn.XLOOKUP(B41, HoldSummary!$A:$A, HoldSummary!G:G), 0)</f>
        <v>0</v>
      </c>
      <c r="AI41">
        <f>IFERROR(_xlfn.XLOOKUP(B41, HoldSummary!$A:$A, HoldSummary!H:H), 0)</f>
        <v>0</v>
      </c>
      <c r="AJ41">
        <f>IFERROR(_xlfn.XLOOKUP(B41, HoldSummary!$A:$A, HoldSummary!I:I), 0)</f>
        <v>0</v>
      </c>
      <c r="AK41">
        <f t="shared" si="5"/>
        <v>5</v>
      </c>
      <c r="AL41">
        <f t="shared" si="6"/>
        <v>38.833333333335759</v>
      </c>
      <c r="AM41">
        <f t="shared" si="7"/>
        <v>37.833333333335759</v>
      </c>
      <c r="AN41" s="12">
        <f t="shared" si="8"/>
        <v>-7.1666666666642413</v>
      </c>
      <c r="AO41">
        <f t="shared" si="9"/>
        <v>1</v>
      </c>
    </row>
    <row r="42" spans="1:41" x14ac:dyDescent="0.35">
      <c r="A42" t="s">
        <v>23</v>
      </c>
      <c r="B42" t="s">
        <v>129</v>
      </c>
      <c r="C42" t="s">
        <v>130</v>
      </c>
      <c r="D42" t="s">
        <v>44</v>
      </c>
      <c r="E42" t="s">
        <v>45</v>
      </c>
      <c r="F42" t="s">
        <v>46</v>
      </c>
      <c r="H42" t="s">
        <v>131</v>
      </c>
      <c r="I42" t="s">
        <v>30</v>
      </c>
      <c r="J42" t="s">
        <v>31</v>
      </c>
      <c r="K42" t="s">
        <v>57</v>
      </c>
      <c r="L42" t="s">
        <v>39</v>
      </c>
      <c r="N42" s="2">
        <v>45400.88857638889</v>
      </c>
      <c r="O42" s="2">
        <v>45581.166666666664</v>
      </c>
      <c r="P42" s="2">
        <v>45595.166666666664</v>
      </c>
      <c r="Q42" s="2">
        <v>45595</v>
      </c>
      <c r="R42" s="2">
        <v>45596.521794293978</v>
      </c>
      <c r="S42" t="s">
        <v>132</v>
      </c>
      <c r="T42" s="2">
        <v>45428.166666666664</v>
      </c>
      <c r="U42" s="2">
        <v>45548.166666666664</v>
      </c>
      <c r="V42" s="2">
        <v>45548.166666666664</v>
      </c>
      <c r="W42" s="2">
        <v>45562.166666666664</v>
      </c>
      <c r="X42" s="3">
        <f t="shared" si="0"/>
        <v>120</v>
      </c>
      <c r="Y42">
        <f t="shared" si="1"/>
        <v>14</v>
      </c>
      <c r="Z42">
        <f t="shared" si="2"/>
        <v>134</v>
      </c>
      <c r="AA42">
        <f t="shared" si="3"/>
        <v>194.11142361110979</v>
      </c>
      <c r="AB42">
        <f t="shared" si="4"/>
        <v>60.111423611109785</v>
      </c>
      <c r="AC42">
        <f>IFERROR(_xlfn.XLOOKUP(B42, HoldSummary!$A:$A, HoldSummary!B:B), 0)</f>
        <v>0</v>
      </c>
      <c r="AD42">
        <f>IFERROR(_xlfn.XLOOKUP(B42, HoldSummary!$A:$A, HoldSummary!C:C), 0)</f>
        <v>0</v>
      </c>
      <c r="AE42">
        <f>IFERROR(_xlfn.XLOOKUP(B42, HoldSummary!$A:$A, HoldSummary!D:D), 0)</f>
        <v>0</v>
      </c>
      <c r="AF42">
        <f>IFERROR(_xlfn.XLOOKUP(B42, HoldSummary!$A:$A, HoldSummary!E:E), 0)</f>
        <v>1</v>
      </c>
      <c r="AG42">
        <f>IFERROR(_xlfn.XLOOKUP(B42, HoldSummary!$A:$A, HoldSummary!F:F), 0)</f>
        <v>0</v>
      </c>
      <c r="AH42">
        <f>IFERROR(_xlfn.XLOOKUP(B42, HoldSummary!$A:$A, HoldSummary!G:G), 0)</f>
        <v>18</v>
      </c>
      <c r="AI42">
        <f>IFERROR(_xlfn.XLOOKUP(B42, HoldSummary!$A:$A, HoldSummary!H:H), 0)</f>
        <v>0</v>
      </c>
      <c r="AJ42">
        <f>IFERROR(_xlfn.XLOOKUP(B42, HoldSummary!$A:$A, HoldSummary!I:I), 0)</f>
        <v>0</v>
      </c>
      <c r="AK42">
        <f t="shared" si="5"/>
        <v>19</v>
      </c>
      <c r="AL42">
        <f t="shared" si="6"/>
        <v>175.11142361110979</v>
      </c>
      <c r="AM42">
        <f t="shared" si="7"/>
        <v>41.111423611109785</v>
      </c>
      <c r="AN42" s="12">
        <f t="shared" si="8"/>
        <v>13.833333333335759</v>
      </c>
      <c r="AO42">
        <f t="shared" si="9"/>
        <v>0</v>
      </c>
    </row>
    <row r="43" spans="1:41" x14ac:dyDescent="0.35">
      <c r="A43" t="s">
        <v>23</v>
      </c>
      <c r="B43">
        <v>105720</v>
      </c>
      <c r="C43" t="s">
        <v>76</v>
      </c>
      <c r="D43" t="s">
        <v>44</v>
      </c>
      <c r="E43" t="s">
        <v>55</v>
      </c>
      <c r="F43" t="s">
        <v>46</v>
      </c>
      <c r="H43" t="s">
        <v>133</v>
      </c>
      <c r="I43" t="s">
        <v>30</v>
      </c>
      <c r="J43" t="s">
        <v>31</v>
      </c>
      <c r="K43" t="s">
        <v>57</v>
      </c>
      <c r="L43" t="s">
        <v>39</v>
      </c>
      <c r="M43" t="s">
        <v>33</v>
      </c>
      <c r="N43" s="2">
        <v>45415.166666666664</v>
      </c>
      <c r="O43" s="2">
        <v>45477.166666666664</v>
      </c>
      <c r="P43" s="2">
        <v>45454.166666666664</v>
      </c>
      <c r="Q43" s="2">
        <v>45436</v>
      </c>
      <c r="R43" s="2">
        <v>45441.536883796296</v>
      </c>
      <c r="T43" s="2">
        <v>45428.166666666664</v>
      </c>
      <c r="U43" s="2">
        <v>45432.166666666664</v>
      </c>
      <c r="V43" s="2">
        <v>45432.166666666664</v>
      </c>
      <c r="W43" s="2">
        <v>45433.166666666664</v>
      </c>
      <c r="X43" s="3">
        <f t="shared" si="0"/>
        <v>4</v>
      </c>
      <c r="Y43">
        <f t="shared" si="1"/>
        <v>1</v>
      </c>
      <c r="Z43">
        <f t="shared" si="2"/>
        <v>5</v>
      </c>
      <c r="AA43">
        <f t="shared" si="3"/>
        <v>20.833333333335759</v>
      </c>
      <c r="AB43">
        <f t="shared" si="4"/>
        <v>15.833333333335759</v>
      </c>
      <c r="AC43">
        <f>IFERROR(_xlfn.XLOOKUP(B43, HoldSummary!$A:$A, HoldSummary!B:B), 0)</f>
        <v>0</v>
      </c>
      <c r="AD43">
        <f>IFERROR(_xlfn.XLOOKUP(B43, HoldSummary!$A:$A, HoldSummary!C:C), 0)</f>
        <v>0</v>
      </c>
      <c r="AE43">
        <f>IFERROR(_xlfn.XLOOKUP(B43, HoldSummary!$A:$A, HoldSummary!D:D), 0)</f>
        <v>0</v>
      </c>
      <c r="AF43">
        <f>IFERROR(_xlfn.XLOOKUP(B43, HoldSummary!$A:$A, HoldSummary!E:E), 0)</f>
        <v>0</v>
      </c>
      <c r="AG43">
        <f>IFERROR(_xlfn.XLOOKUP(B43, HoldSummary!$A:$A, HoldSummary!F:F), 0)</f>
        <v>0</v>
      </c>
      <c r="AH43">
        <f>IFERROR(_xlfn.XLOOKUP(B43, HoldSummary!$A:$A, HoldSummary!G:G), 0)</f>
        <v>0</v>
      </c>
      <c r="AI43">
        <f>IFERROR(_xlfn.XLOOKUP(B43, HoldSummary!$A:$A, HoldSummary!H:H), 0)</f>
        <v>0</v>
      </c>
      <c r="AJ43">
        <f>IFERROR(_xlfn.XLOOKUP(B43, HoldSummary!$A:$A, HoldSummary!I:I), 0)</f>
        <v>0</v>
      </c>
      <c r="AK43">
        <f t="shared" si="5"/>
        <v>0</v>
      </c>
      <c r="AL43">
        <f t="shared" si="6"/>
        <v>20.833333333335759</v>
      </c>
      <c r="AM43">
        <f t="shared" si="7"/>
        <v>15.833333333335759</v>
      </c>
      <c r="AN43" s="12">
        <f t="shared" si="8"/>
        <v>-41.166666666664241</v>
      </c>
      <c r="AO43">
        <f t="shared" si="9"/>
        <v>1</v>
      </c>
    </row>
    <row r="44" spans="1:41" x14ac:dyDescent="0.35">
      <c r="A44" t="s">
        <v>23</v>
      </c>
      <c r="B44" t="s">
        <v>134</v>
      </c>
      <c r="C44" t="s">
        <v>135</v>
      </c>
      <c r="D44" t="s">
        <v>44</v>
      </c>
      <c r="E44" t="s">
        <v>45</v>
      </c>
      <c r="F44" t="s">
        <v>46</v>
      </c>
      <c r="H44" t="s">
        <v>136</v>
      </c>
      <c r="I44" t="s">
        <v>30</v>
      </c>
      <c r="J44" t="s">
        <v>31</v>
      </c>
      <c r="K44" t="s">
        <v>32</v>
      </c>
      <c r="L44" t="s">
        <v>32</v>
      </c>
      <c r="M44" t="s">
        <v>33</v>
      </c>
      <c r="N44" s="2">
        <v>45483.599236111113</v>
      </c>
      <c r="O44" s="2">
        <v>45490.166666666664</v>
      </c>
      <c r="P44" s="2">
        <v>45490.166666666664</v>
      </c>
      <c r="Q44" s="2">
        <v>45488</v>
      </c>
      <c r="R44" s="2">
        <v>45489.56858378472</v>
      </c>
      <c r="T44" s="2">
        <v>45486.166666666664</v>
      </c>
      <c r="U44" s="2">
        <v>45488.166666666664</v>
      </c>
      <c r="V44" s="2">
        <v>45488.166666666664</v>
      </c>
      <c r="W44" s="2">
        <v>45488.166666666664</v>
      </c>
      <c r="X44" s="3">
        <f t="shared" si="0"/>
        <v>2</v>
      </c>
      <c r="Y44">
        <f t="shared" si="1"/>
        <v>0</v>
      </c>
      <c r="Z44">
        <f t="shared" si="2"/>
        <v>2</v>
      </c>
      <c r="AA44">
        <f t="shared" si="3"/>
        <v>4.4007638888870133</v>
      </c>
      <c r="AB44">
        <f t="shared" si="4"/>
        <v>2.4007638888870133</v>
      </c>
      <c r="AC44">
        <f>IFERROR(_xlfn.XLOOKUP(B44, HoldSummary!$A:$A, HoldSummary!B:B), 0)</f>
        <v>0</v>
      </c>
      <c r="AD44">
        <f>IFERROR(_xlfn.XLOOKUP(B44, HoldSummary!$A:$A, HoldSummary!C:C), 0)</f>
        <v>0</v>
      </c>
      <c r="AE44">
        <f>IFERROR(_xlfn.XLOOKUP(B44, HoldSummary!$A:$A, HoldSummary!D:D), 0)</f>
        <v>0</v>
      </c>
      <c r="AF44">
        <f>IFERROR(_xlfn.XLOOKUP(B44, HoldSummary!$A:$A, HoldSummary!E:E), 0)</f>
        <v>0</v>
      </c>
      <c r="AG44">
        <f>IFERROR(_xlfn.XLOOKUP(B44, HoldSummary!$A:$A, HoldSummary!F:F), 0)</f>
        <v>2</v>
      </c>
      <c r="AH44">
        <f>IFERROR(_xlfn.XLOOKUP(B44, HoldSummary!$A:$A, HoldSummary!G:G), 0)</f>
        <v>0</v>
      </c>
      <c r="AI44">
        <f>IFERROR(_xlfn.XLOOKUP(B44, HoldSummary!$A:$A, HoldSummary!H:H), 0)</f>
        <v>0</v>
      </c>
      <c r="AJ44">
        <f>IFERROR(_xlfn.XLOOKUP(B44, HoldSummary!$A:$A, HoldSummary!I:I), 0)</f>
        <v>0</v>
      </c>
      <c r="AK44">
        <f t="shared" si="5"/>
        <v>2</v>
      </c>
      <c r="AL44">
        <f t="shared" si="6"/>
        <v>2.4007638888870133</v>
      </c>
      <c r="AM44">
        <f t="shared" si="7"/>
        <v>0.40076388888701331</v>
      </c>
      <c r="AN44" s="12">
        <f t="shared" si="8"/>
        <v>-2.1666666666642413</v>
      </c>
      <c r="AO44">
        <f t="shared" si="9"/>
        <v>1</v>
      </c>
    </row>
    <row r="45" spans="1:41" x14ac:dyDescent="0.35">
      <c r="A45" t="s">
        <v>23</v>
      </c>
      <c r="B45">
        <v>106033</v>
      </c>
      <c r="C45" t="s">
        <v>76</v>
      </c>
      <c r="D45" t="s">
        <v>44</v>
      </c>
      <c r="E45" t="s">
        <v>55</v>
      </c>
      <c r="F45" t="s">
        <v>46</v>
      </c>
      <c r="H45" t="s">
        <v>137</v>
      </c>
      <c r="I45" t="s">
        <v>30</v>
      </c>
      <c r="J45" t="s">
        <v>31</v>
      </c>
      <c r="K45" t="s">
        <v>57</v>
      </c>
      <c r="L45" t="s">
        <v>39</v>
      </c>
      <c r="M45" t="s">
        <v>33</v>
      </c>
      <c r="N45" s="2">
        <v>45433.166666666664</v>
      </c>
      <c r="O45" s="2">
        <v>45594.166666666664</v>
      </c>
      <c r="P45" s="2">
        <v>45594.166666666664</v>
      </c>
      <c r="Q45" s="2">
        <v>45573</v>
      </c>
      <c r="R45" s="2">
        <v>45574.577539317128</v>
      </c>
      <c r="S45" t="s">
        <v>138</v>
      </c>
      <c r="T45" s="2">
        <v>45539.166666666664</v>
      </c>
      <c r="U45" s="2">
        <v>45562.166666666664</v>
      </c>
      <c r="V45" s="2">
        <v>45562.166666666664</v>
      </c>
      <c r="W45" s="2">
        <v>45565.166666666664</v>
      </c>
      <c r="X45" s="3">
        <f t="shared" si="0"/>
        <v>23</v>
      </c>
      <c r="Y45">
        <f t="shared" si="1"/>
        <v>3</v>
      </c>
      <c r="Z45">
        <f t="shared" si="2"/>
        <v>26</v>
      </c>
      <c r="AA45">
        <f t="shared" si="3"/>
        <v>139.83333333333576</v>
      </c>
      <c r="AB45">
        <f t="shared" si="4"/>
        <v>113.83333333333576</v>
      </c>
      <c r="AC45">
        <f>IFERROR(_xlfn.XLOOKUP(B45, HoldSummary!$A:$A, HoldSummary!B:B), 0)</f>
        <v>27</v>
      </c>
      <c r="AD45">
        <f>IFERROR(_xlfn.XLOOKUP(B45, HoldSummary!$A:$A, HoldSummary!C:C), 0)</f>
        <v>0</v>
      </c>
      <c r="AE45">
        <f>IFERROR(_xlfn.XLOOKUP(B45, HoldSummary!$A:$A, HoldSummary!D:D), 0)</f>
        <v>0</v>
      </c>
      <c r="AF45">
        <f>IFERROR(_xlfn.XLOOKUP(B45, HoldSummary!$A:$A, HoldSummary!E:E), 0)</f>
        <v>0</v>
      </c>
      <c r="AG45">
        <f>IFERROR(_xlfn.XLOOKUP(B45, HoldSummary!$A:$A, HoldSummary!F:F), 0)</f>
        <v>18</v>
      </c>
      <c r="AH45">
        <f>IFERROR(_xlfn.XLOOKUP(B45, HoldSummary!$A:$A, HoldSummary!G:G), 0)</f>
        <v>0</v>
      </c>
      <c r="AI45">
        <f>IFERROR(_xlfn.XLOOKUP(B45, HoldSummary!$A:$A, HoldSummary!H:H), 0)</f>
        <v>0</v>
      </c>
      <c r="AJ45">
        <f>IFERROR(_xlfn.XLOOKUP(B45, HoldSummary!$A:$A, HoldSummary!I:I), 0)</f>
        <v>0</v>
      </c>
      <c r="AK45">
        <f t="shared" si="5"/>
        <v>45</v>
      </c>
      <c r="AL45">
        <f t="shared" si="6"/>
        <v>94.833333333335759</v>
      </c>
      <c r="AM45">
        <f t="shared" si="7"/>
        <v>68.833333333335759</v>
      </c>
      <c r="AN45" s="12">
        <f t="shared" si="8"/>
        <v>-21.166666666664241</v>
      </c>
      <c r="AO45">
        <f t="shared" si="9"/>
        <v>1</v>
      </c>
    </row>
    <row r="46" spans="1:41" x14ac:dyDescent="0.35">
      <c r="A46" t="s">
        <v>23</v>
      </c>
      <c r="B46">
        <v>105143</v>
      </c>
      <c r="C46" t="s">
        <v>76</v>
      </c>
      <c r="D46" t="s">
        <v>44</v>
      </c>
      <c r="E46" t="s">
        <v>88</v>
      </c>
      <c r="F46" t="s">
        <v>46</v>
      </c>
      <c r="H46" t="s">
        <v>139</v>
      </c>
      <c r="I46" t="s">
        <v>30</v>
      </c>
      <c r="J46" t="s">
        <v>31</v>
      </c>
      <c r="K46" t="s">
        <v>57</v>
      </c>
      <c r="L46" t="s">
        <v>39</v>
      </c>
      <c r="M46" t="s">
        <v>140</v>
      </c>
      <c r="N46" s="2">
        <v>45387.166666666664</v>
      </c>
      <c r="O46" s="2">
        <v>45574.166666666664</v>
      </c>
      <c r="P46" s="2">
        <v>45574.166666666664</v>
      </c>
      <c r="Q46" s="2">
        <v>45558</v>
      </c>
      <c r="R46" s="2">
        <v>45558.643454212965</v>
      </c>
      <c r="S46" t="s">
        <v>141</v>
      </c>
      <c r="T46" s="2"/>
      <c r="U46" s="2"/>
      <c r="V46" s="2"/>
      <c r="W46" s="2"/>
      <c r="X46" s="3" t="str">
        <f t="shared" si="0"/>
        <v/>
      </c>
      <c r="Y46" t="str">
        <f t="shared" si="1"/>
        <v/>
      </c>
      <c r="Z46">
        <f t="shared" si="2"/>
        <v>0</v>
      </c>
      <c r="AA46">
        <f t="shared" si="3"/>
        <v>170.83333333333576</v>
      </c>
      <c r="AB46">
        <f t="shared" si="4"/>
        <v>170.83333333333576</v>
      </c>
      <c r="AC46">
        <f>IFERROR(_xlfn.XLOOKUP(B46, HoldSummary!$A:$A, HoldSummary!B:B), 0)</f>
        <v>0</v>
      </c>
      <c r="AD46">
        <f>IFERROR(_xlfn.XLOOKUP(B46, HoldSummary!$A:$A, HoldSummary!C:C), 0)</f>
        <v>4</v>
      </c>
      <c r="AE46">
        <f>IFERROR(_xlfn.XLOOKUP(B46, HoldSummary!$A:$A, HoldSummary!D:D), 0)</f>
        <v>0</v>
      </c>
      <c r="AF46">
        <f>IFERROR(_xlfn.XLOOKUP(B46, HoldSummary!$A:$A, HoldSummary!E:E), 0)</f>
        <v>81</v>
      </c>
      <c r="AG46">
        <f>IFERROR(_xlfn.XLOOKUP(B46, HoldSummary!$A:$A, HoldSummary!F:F), 0)</f>
        <v>0</v>
      </c>
      <c r="AH46">
        <f>IFERROR(_xlfn.XLOOKUP(B46, HoldSummary!$A:$A, HoldSummary!G:G), 0)</f>
        <v>0</v>
      </c>
      <c r="AI46">
        <f>IFERROR(_xlfn.XLOOKUP(B46, HoldSummary!$A:$A, HoldSummary!H:H), 0)</f>
        <v>0</v>
      </c>
      <c r="AJ46">
        <f>IFERROR(_xlfn.XLOOKUP(B46, HoldSummary!$A:$A, HoldSummary!I:I), 0)</f>
        <v>0</v>
      </c>
      <c r="AK46">
        <f t="shared" si="5"/>
        <v>85</v>
      </c>
      <c r="AL46">
        <f t="shared" si="6"/>
        <v>85.833333333335759</v>
      </c>
      <c r="AM46">
        <f t="shared" si="7"/>
        <v>85.833333333335759</v>
      </c>
      <c r="AN46" s="12">
        <f t="shared" si="8"/>
        <v>-16.166666666664241</v>
      </c>
      <c r="AO46">
        <f t="shared" si="9"/>
        <v>1</v>
      </c>
    </row>
    <row r="47" spans="1:41" x14ac:dyDescent="0.35">
      <c r="A47" t="s">
        <v>23</v>
      </c>
      <c r="B47" t="s">
        <v>142</v>
      </c>
      <c r="C47" t="s">
        <v>54</v>
      </c>
      <c r="D47" t="s">
        <v>44</v>
      </c>
      <c r="E47" t="s">
        <v>44</v>
      </c>
      <c r="F47" t="s">
        <v>46</v>
      </c>
      <c r="H47" t="s">
        <v>143</v>
      </c>
      <c r="I47" t="s">
        <v>30</v>
      </c>
      <c r="J47" t="s">
        <v>31</v>
      </c>
      <c r="K47" t="s">
        <v>38</v>
      </c>
      <c r="M47" t="s">
        <v>33</v>
      </c>
      <c r="N47" s="2">
        <v>45525.166666666664</v>
      </c>
      <c r="O47" s="2">
        <v>45623.208333333336</v>
      </c>
      <c r="P47" s="2">
        <v>45623.208333333336</v>
      </c>
      <c r="Q47" s="2">
        <v>45541</v>
      </c>
      <c r="R47" s="2">
        <v>45541.848745798612</v>
      </c>
      <c r="T47" s="2">
        <v>45525.166666666664</v>
      </c>
      <c r="U47" s="2">
        <v>45540.166666666664</v>
      </c>
      <c r="V47" s="2">
        <v>45540.166666666664</v>
      </c>
      <c r="W47" s="2">
        <v>45540.166666666664</v>
      </c>
      <c r="X47" s="3">
        <f t="shared" si="0"/>
        <v>15</v>
      </c>
      <c r="Y47">
        <f t="shared" si="1"/>
        <v>0</v>
      </c>
      <c r="Z47">
        <f t="shared" si="2"/>
        <v>15</v>
      </c>
      <c r="AA47">
        <f t="shared" si="3"/>
        <v>15.833333333335759</v>
      </c>
      <c r="AB47">
        <f t="shared" si="4"/>
        <v>0.83333333333575865</v>
      </c>
      <c r="AC47">
        <f>IFERROR(_xlfn.XLOOKUP(B47, HoldSummary!$A:$A, HoldSummary!B:B), 0)</f>
        <v>0</v>
      </c>
      <c r="AD47">
        <f>IFERROR(_xlfn.XLOOKUP(B47, HoldSummary!$A:$A, HoldSummary!C:C), 0)</f>
        <v>2</v>
      </c>
      <c r="AE47">
        <f>IFERROR(_xlfn.XLOOKUP(B47, HoldSummary!$A:$A, HoldSummary!D:D), 0)</f>
        <v>0</v>
      </c>
      <c r="AF47">
        <f>IFERROR(_xlfn.XLOOKUP(B47, HoldSummary!$A:$A, HoldSummary!E:E), 0)</f>
        <v>0</v>
      </c>
      <c r="AG47">
        <f>IFERROR(_xlfn.XLOOKUP(B47, HoldSummary!$A:$A, HoldSummary!F:F), 0)</f>
        <v>12</v>
      </c>
      <c r="AH47">
        <f>IFERROR(_xlfn.XLOOKUP(B47, HoldSummary!$A:$A, HoldSummary!G:G), 0)</f>
        <v>0</v>
      </c>
      <c r="AI47">
        <f>IFERROR(_xlfn.XLOOKUP(B47, HoldSummary!$A:$A, HoldSummary!H:H), 0)</f>
        <v>0</v>
      </c>
      <c r="AJ47">
        <f>IFERROR(_xlfn.XLOOKUP(B47, HoldSummary!$A:$A, HoldSummary!I:I), 0)</f>
        <v>0</v>
      </c>
      <c r="AK47">
        <f t="shared" si="5"/>
        <v>14</v>
      </c>
      <c r="AL47">
        <f t="shared" si="6"/>
        <v>1.8333333333357587</v>
      </c>
      <c r="AM47">
        <f t="shared" si="7"/>
        <v>-13.166666666664241</v>
      </c>
      <c r="AN47" s="12">
        <f t="shared" si="8"/>
        <v>-82.208333333335759</v>
      </c>
      <c r="AO47">
        <f t="shared" si="9"/>
        <v>1</v>
      </c>
    </row>
    <row r="48" spans="1:41" x14ac:dyDescent="0.35">
      <c r="A48" t="s">
        <v>23</v>
      </c>
      <c r="B48">
        <v>108334</v>
      </c>
      <c r="C48" t="s">
        <v>76</v>
      </c>
      <c r="D48" t="s">
        <v>44</v>
      </c>
      <c r="E48" t="s">
        <v>55</v>
      </c>
      <c r="F48" t="s">
        <v>46</v>
      </c>
      <c r="H48" t="s">
        <v>144</v>
      </c>
      <c r="I48" t="s">
        <v>30</v>
      </c>
      <c r="J48" t="s">
        <v>31</v>
      </c>
      <c r="K48" t="s">
        <v>57</v>
      </c>
      <c r="L48" t="s">
        <v>39</v>
      </c>
      <c r="M48" t="s">
        <v>81</v>
      </c>
      <c r="N48" s="2">
        <v>45548.166666666664</v>
      </c>
      <c r="O48" s="2">
        <v>45623.208333333336</v>
      </c>
      <c r="P48" s="2">
        <v>45643.208333333336</v>
      </c>
      <c r="Q48" s="2">
        <v>45638</v>
      </c>
      <c r="R48" s="2">
        <v>45638.799131377316</v>
      </c>
      <c r="S48" t="s">
        <v>145</v>
      </c>
      <c r="T48" s="2">
        <v>45582.166666666664</v>
      </c>
      <c r="U48" s="2">
        <v>45593.166666666664</v>
      </c>
      <c r="V48" s="2">
        <v>45593.166666666664</v>
      </c>
      <c r="W48" s="2">
        <v>45631.208333333336</v>
      </c>
      <c r="X48" s="3">
        <f t="shared" si="0"/>
        <v>11</v>
      </c>
      <c r="Y48">
        <f t="shared" si="1"/>
        <v>38.041666666671517</v>
      </c>
      <c r="Z48">
        <f t="shared" si="2"/>
        <v>49.041666666671517</v>
      </c>
      <c r="AA48">
        <f t="shared" si="3"/>
        <v>89.833333333335759</v>
      </c>
      <c r="AB48">
        <f t="shared" si="4"/>
        <v>40.791666666664241</v>
      </c>
      <c r="AC48">
        <f>IFERROR(_xlfn.XLOOKUP(B48, HoldSummary!$A:$A, HoldSummary!B:B), 0)</f>
        <v>16</v>
      </c>
      <c r="AD48">
        <f>IFERROR(_xlfn.XLOOKUP(B48, HoldSummary!$A:$A, HoldSummary!C:C), 0)</f>
        <v>0</v>
      </c>
      <c r="AE48">
        <f>IFERROR(_xlfn.XLOOKUP(B48, HoldSummary!$A:$A, HoldSummary!D:D), 0)</f>
        <v>0</v>
      </c>
      <c r="AF48">
        <f>IFERROR(_xlfn.XLOOKUP(B48, HoldSummary!$A:$A, HoldSummary!E:E), 0)</f>
        <v>0</v>
      </c>
      <c r="AG48">
        <f>IFERROR(_xlfn.XLOOKUP(B48, HoldSummary!$A:$A, HoldSummary!F:F), 0)</f>
        <v>0</v>
      </c>
      <c r="AH48">
        <f>IFERROR(_xlfn.XLOOKUP(B48, HoldSummary!$A:$A, HoldSummary!G:G), 0)</f>
        <v>0</v>
      </c>
      <c r="AI48">
        <f>IFERROR(_xlfn.XLOOKUP(B48, HoldSummary!$A:$A, HoldSummary!H:H), 0)</f>
        <v>0</v>
      </c>
      <c r="AJ48">
        <f>IFERROR(_xlfn.XLOOKUP(B48, HoldSummary!$A:$A, HoldSummary!I:I), 0)</f>
        <v>0</v>
      </c>
      <c r="AK48">
        <f t="shared" si="5"/>
        <v>16</v>
      </c>
      <c r="AL48">
        <f t="shared" si="6"/>
        <v>73.833333333335759</v>
      </c>
      <c r="AM48">
        <f t="shared" si="7"/>
        <v>24.791666666664241</v>
      </c>
      <c r="AN48" s="12">
        <f t="shared" si="8"/>
        <v>14.791666666664241</v>
      </c>
      <c r="AO48">
        <f t="shared" si="9"/>
        <v>0</v>
      </c>
    </row>
    <row r="49" spans="1:41" x14ac:dyDescent="0.35">
      <c r="A49" t="s">
        <v>23</v>
      </c>
      <c r="B49">
        <v>106581</v>
      </c>
      <c r="C49" t="s">
        <v>76</v>
      </c>
      <c r="D49" t="s">
        <v>44</v>
      </c>
      <c r="E49" t="s">
        <v>55</v>
      </c>
      <c r="F49" t="s">
        <v>46</v>
      </c>
      <c r="H49" t="s">
        <v>146</v>
      </c>
      <c r="I49" t="s">
        <v>30</v>
      </c>
      <c r="J49" t="s">
        <v>31</v>
      </c>
      <c r="K49" t="s">
        <v>57</v>
      </c>
      <c r="L49" t="s">
        <v>39</v>
      </c>
      <c r="M49" t="s">
        <v>33</v>
      </c>
      <c r="N49" s="2">
        <v>45462.166666666664</v>
      </c>
      <c r="O49" s="2">
        <v>45672.208333333336</v>
      </c>
      <c r="P49" s="2">
        <v>45672.208333333336</v>
      </c>
      <c r="Q49" s="2">
        <v>45644</v>
      </c>
      <c r="R49" s="2">
        <v>45649.882273564814</v>
      </c>
      <c r="T49" s="2">
        <v>45595.166666666664</v>
      </c>
      <c r="U49" s="2">
        <v>45600.208333333336</v>
      </c>
      <c r="V49" s="2">
        <v>45600.208333333336</v>
      </c>
      <c r="W49" s="2">
        <v>45635.208333333336</v>
      </c>
      <c r="X49" s="3">
        <f t="shared" si="0"/>
        <v>5.0416666666715173</v>
      </c>
      <c r="Y49">
        <f t="shared" si="1"/>
        <v>35</v>
      </c>
      <c r="Z49">
        <f t="shared" si="2"/>
        <v>40.041666666671517</v>
      </c>
      <c r="AA49">
        <f t="shared" si="3"/>
        <v>181.83333333333576</v>
      </c>
      <c r="AB49">
        <f t="shared" si="4"/>
        <v>141.79166666666424</v>
      </c>
      <c r="AC49">
        <f>IFERROR(_xlfn.XLOOKUP(B49, HoldSummary!$A:$A, HoldSummary!B:B), 0)</f>
        <v>79</v>
      </c>
      <c r="AD49">
        <f>IFERROR(_xlfn.XLOOKUP(B49, HoldSummary!$A:$A, HoldSummary!C:C), 0)</f>
        <v>2</v>
      </c>
      <c r="AE49">
        <f>IFERROR(_xlfn.XLOOKUP(B49, HoldSummary!$A:$A, HoldSummary!D:D), 0)</f>
        <v>0</v>
      </c>
      <c r="AF49">
        <f>IFERROR(_xlfn.XLOOKUP(B49, HoldSummary!$A:$A, HoldSummary!E:E), 0)</f>
        <v>0</v>
      </c>
      <c r="AG49">
        <f>IFERROR(_xlfn.XLOOKUP(B49, HoldSummary!$A:$A, HoldSummary!F:F), 0)</f>
        <v>2</v>
      </c>
      <c r="AH49">
        <f>IFERROR(_xlfn.XLOOKUP(B49, HoldSummary!$A:$A, HoldSummary!G:G), 0)</f>
        <v>0</v>
      </c>
      <c r="AI49">
        <f>IFERROR(_xlfn.XLOOKUP(B49, HoldSummary!$A:$A, HoldSummary!H:H), 0)</f>
        <v>0</v>
      </c>
      <c r="AJ49">
        <f>IFERROR(_xlfn.XLOOKUP(B49, HoldSummary!$A:$A, HoldSummary!I:I), 0)</f>
        <v>0</v>
      </c>
      <c r="AK49">
        <f t="shared" si="5"/>
        <v>83</v>
      </c>
      <c r="AL49">
        <f t="shared" si="6"/>
        <v>98.833333333335759</v>
      </c>
      <c r="AM49">
        <f t="shared" si="7"/>
        <v>58.791666666664241</v>
      </c>
      <c r="AN49" s="12">
        <f t="shared" si="8"/>
        <v>-28.208333333335759</v>
      </c>
      <c r="AO49">
        <f t="shared" si="9"/>
        <v>1</v>
      </c>
    </row>
    <row r="50" spans="1:41" x14ac:dyDescent="0.35">
      <c r="A50" t="s">
        <v>23</v>
      </c>
      <c r="B50" t="s">
        <v>147</v>
      </c>
      <c r="C50" t="s">
        <v>54</v>
      </c>
      <c r="D50" t="s">
        <v>44</v>
      </c>
      <c r="E50" t="s">
        <v>45</v>
      </c>
      <c r="F50" t="s">
        <v>46</v>
      </c>
      <c r="H50" t="s">
        <v>148</v>
      </c>
      <c r="I50" t="s">
        <v>30</v>
      </c>
      <c r="J50" t="s">
        <v>31</v>
      </c>
      <c r="K50" t="s">
        <v>38</v>
      </c>
      <c r="L50" t="s">
        <v>53</v>
      </c>
      <c r="M50" t="s">
        <v>81</v>
      </c>
      <c r="N50" s="2">
        <v>45610.579479166663</v>
      </c>
      <c r="O50" s="2">
        <v>45625.208333333336</v>
      </c>
      <c r="P50" s="2">
        <v>45645.208333333336</v>
      </c>
      <c r="Q50" s="2">
        <v>45642</v>
      </c>
      <c r="R50" s="2">
        <v>45643.796377546299</v>
      </c>
      <c r="T50" s="2">
        <v>45617.208333333336</v>
      </c>
      <c r="U50" s="2">
        <v>45617.208333333336</v>
      </c>
      <c r="V50" s="2">
        <v>45617.208333333336</v>
      </c>
      <c r="W50" s="2">
        <v>45638.208333333336</v>
      </c>
      <c r="X50" s="3">
        <f t="shared" si="0"/>
        <v>0</v>
      </c>
      <c r="Y50">
        <f t="shared" si="1"/>
        <v>21</v>
      </c>
      <c r="Z50">
        <f t="shared" si="2"/>
        <v>21</v>
      </c>
      <c r="AA50">
        <f t="shared" si="3"/>
        <v>31.420520833336923</v>
      </c>
      <c r="AB50">
        <f t="shared" si="4"/>
        <v>10.420520833336923</v>
      </c>
      <c r="AC50">
        <f>IFERROR(_xlfn.XLOOKUP(B50, HoldSummary!$A:$A, HoldSummary!B:B), 0)</f>
        <v>0</v>
      </c>
      <c r="AD50">
        <f>IFERROR(_xlfn.XLOOKUP(B50, HoldSummary!$A:$A, HoldSummary!C:C), 0)</f>
        <v>0</v>
      </c>
      <c r="AE50">
        <f>IFERROR(_xlfn.XLOOKUP(B50, HoldSummary!$A:$A, HoldSummary!D:D), 0)</f>
        <v>0</v>
      </c>
      <c r="AF50">
        <f>IFERROR(_xlfn.XLOOKUP(B50, HoldSummary!$A:$A, HoldSummary!E:E), 0)</f>
        <v>0</v>
      </c>
      <c r="AG50">
        <f>IFERROR(_xlfn.XLOOKUP(B50, HoldSummary!$A:$A, HoldSummary!F:F), 0)</f>
        <v>0</v>
      </c>
      <c r="AH50">
        <f>IFERROR(_xlfn.XLOOKUP(B50, HoldSummary!$A:$A, HoldSummary!G:G), 0)</f>
        <v>0</v>
      </c>
      <c r="AI50">
        <f>IFERROR(_xlfn.XLOOKUP(B50, HoldSummary!$A:$A, HoldSummary!H:H), 0)</f>
        <v>15</v>
      </c>
      <c r="AJ50">
        <f>IFERROR(_xlfn.XLOOKUP(B50, HoldSummary!$A:$A, HoldSummary!I:I), 0)</f>
        <v>0</v>
      </c>
      <c r="AK50">
        <f t="shared" si="5"/>
        <v>15</v>
      </c>
      <c r="AL50">
        <f t="shared" si="6"/>
        <v>16.420520833336923</v>
      </c>
      <c r="AM50">
        <f t="shared" si="7"/>
        <v>-4.5794791666630772</v>
      </c>
      <c r="AN50" s="12">
        <f t="shared" si="8"/>
        <v>16.791666666664241</v>
      </c>
      <c r="AO50">
        <f t="shared" si="9"/>
        <v>0</v>
      </c>
    </row>
    <row r="51" spans="1:41" x14ac:dyDescent="0.35">
      <c r="A51" t="s">
        <v>23</v>
      </c>
      <c r="B51">
        <v>109083</v>
      </c>
      <c r="C51" t="s">
        <v>54</v>
      </c>
      <c r="D51" t="s">
        <v>44</v>
      </c>
      <c r="E51" t="s">
        <v>55</v>
      </c>
      <c r="F51" t="s">
        <v>46</v>
      </c>
      <c r="H51" t="s">
        <v>149</v>
      </c>
      <c r="I51" t="s">
        <v>30</v>
      </c>
      <c r="J51" t="s">
        <v>31</v>
      </c>
      <c r="K51" t="s">
        <v>57</v>
      </c>
      <c r="L51" t="s">
        <v>39</v>
      </c>
      <c r="M51" t="s">
        <v>33</v>
      </c>
      <c r="N51" s="2">
        <v>45583.166666666664</v>
      </c>
      <c r="O51" s="2">
        <v>45736.166666666664</v>
      </c>
      <c r="P51" s="2">
        <v>45736.166666666664</v>
      </c>
      <c r="Q51" s="2">
        <v>45741</v>
      </c>
      <c r="R51" s="2">
        <v>45741.753818391204</v>
      </c>
      <c r="S51" t="s">
        <v>150</v>
      </c>
      <c r="T51" s="2">
        <v>45687.208333333336</v>
      </c>
      <c r="U51" s="2">
        <v>45688.208333333336</v>
      </c>
      <c r="V51" s="2">
        <v>45688.208333333336</v>
      </c>
      <c r="W51" s="2">
        <v>45692.208333333336</v>
      </c>
      <c r="X51" s="3">
        <f t="shared" si="0"/>
        <v>1</v>
      </c>
      <c r="Y51">
        <f t="shared" si="1"/>
        <v>4</v>
      </c>
      <c r="Z51">
        <f t="shared" si="2"/>
        <v>5</v>
      </c>
      <c r="AA51">
        <f t="shared" si="3"/>
        <v>157.83333333333576</v>
      </c>
      <c r="AB51">
        <f t="shared" si="4"/>
        <v>152.83333333333576</v>
      </c>
      <c r="AC51">
        <f>IFERROR(_xlfn.XLOOKUP(B51, HoldSummary!$A:$A, HoldSummary!B:B), 0)</f>
        <v>2</v>
      </c>
      <c r="AD51">
        <f>IFERROR(_xlfn.XLOOKUP(B51, HoldSummary!$A:$A, HoldSummary!C:C), 0)</f>
        <v>2</v>
      </c>
      <c r="AE51">
        <f>IFERROR(_xlfn.XLOOKUP(B51, HoldSummary!$A:$A, HoldSummary!D:D), 0)</f>
        <v>0</v>
      </c>
      <c r="AF51">
        <f>IFERROR(_xlfn.XLOOKUP(B51, HoldSummary!$A:$A, HoldSummary!E:E), 0)</f>
        <v>0</v>
      </c>
      <c r="AG51">
        <f>IFERROR(_xlfn.XLOOKUP(B51, HoldSummary!$A:$A, HoldSummary!F:F), 0)</f>
        <v>0</v>
      </c>
      <c r="AH51">
        <f>IFERROR(_xlfn.XLOOKUP(B51, HoldSummary!$A:$A, HoldSummary!G:G), 0)</f>
        <v>0</v>
      </c>
      <c r="AI51">
        <f>IFERROR(_xlfn.XLOOKUP(B51, HoldSummary!$A:$A, HoldSummary!H:H), 0)</f>
        <v>0</v>
      </c>
      <c r="AJ51">
        <f>IFERROR(_xlfn.XLOOKUP(B51, HoldSummary!$A:$A, HoldSummary!I:I), 0)</f>
        <v>0</v>
      </c>
      <c r="AK51">
        <f t="shared" si="5"/>
        <v>4</v>
      </c>
      <c r="AL51">
        <f t="shared" si="6"/>
        <v>153.83333333333576</v>
      </c>
      <c r="AM51">
        <f t="shared" si="7"/>
        <v>148.83333333333576</v>
      </c>
      <c r="AN51" s="12">
        <f t="shared" si="8"/>
        <v>4.8333333333357587</v>
      </c>
      <c r="AO51">
        <f t="shared" si="9"/>
        <v>0</v>
      </c>
    </row>
    <row r="52" spans="1:41" x14ac:dyDescent="0.35">
      <c r="A52" t="s">
        <v>23</v>
      </c>
      <c r="B52">
        <v>111053</v>
      </c>
      <c r="C52" t="s">
        <v>54</v>
      </c>
      <c r="D52" t="s">
        <v>44</v>
      </c>
      <c r="E52" t="s">
        <v>55</v>
      </c>
      <c r="F52" t="s">
        <v>46</v>
      </c>
      <c r="H52" t="s">
        <v>151</v>
      </c>
      <c r="I52" t="s">
        <v>30</v>
      </c>
      <c r="J52" t="s">
        <v>31</v>
      </c>
      <c r="K52" t="s">
        <v>57</v>
      </c>
      <c r="L52" t="s">
        <v>58</v>
      </c>
      <c r="M52" t="s">
        <v>33</v>
      </c>
      <c r="N52" s="2">
        <v>45695.208333333336</v>
      </c>
      <c r="O52" s="2">
        <v>45716.208333333336</v>
      </c>
      <c r="P52" s="2">
        <v>45716.208333333336</v>
      </c>
      <c r="Q52" s="2">
        <v>45709</v>
      </c>
      <c r="R52" s="2">
        <v>45709.829519502317</v>
      </c>
      <c r="T52" s="2">
        <v>45699.208333333336</v>
      </c>
      <c r="U52" s="2">
        <v>45699.208333333336</v>
      </c>
      <c r="V52" s="2">
        <v>45699.208333333336</v>
      </c>
      <c r="W52" s="2">
        <v>45705.208333333336</v>
      </c>
      <c r="X52" s="3">
        <f t="shared" si="0"/>
        <v>0</v>
      </c>
      <c r="Y52">
        <f t="shared" si="1"/>
        <v>6</v>
      </c>
      <c r="Z52">
        <f t="shared" si="2"/>
        <v>6</v>
      </c>
      <c r="AA52">
        <f t="shared" si="3"/>
        <v>13.791666666664241</v>
      </c>
      <c r="AB52">
        <f t="shared" si="4"/>
        <v>7.7916666666642413</v>
      </c>
      <c r="AC52">
        <f>IFERROR(_xlfn.XLOOKUP(B52, HoldSummary!$A:$A, HoldSummary!B:B), 0)</f>
        <v>0</v>
      </c>
      <c r="AD52">
        <f>IFERROR(_xlfn.XLOOKUP(B52, HoldSummary!$A:$A, HoldSummary!C:C), 0)</f>
        <v>0</v>
      </c>
      <c r="AE52">
        <f>IFERROR(_xlfn.XLOOKUP(B52, HoldSummary!$A:$A, HoldSummary!D:D), 0)</f>
        <v>0</v>
      </c>
      <c r="AF52">
        <f>IFERROR(_xlfn.XLOOKUP(B52, HoldSummary!$A:$A, HoldSummary!E:E), 0)</f>
        <v>0</v>
      </c>
      <c r="AG52">
        <f>IFERROR(_xlfn.XLOOKUP(B52, HoldSummary!$A:$A, HoldSummary!F:F), 0)</f>
        <v>0</v>
      </c>
      <c r="AH52">
        <f>IFERROR(_xlfn.XLOOKUP(B52, HoldSummary!$A:$A, HoldSummary!G:G), 0)</f>
        <v>0</v>
      </c>
      <c r="AI52">
        <f>IFERROR(_xlfn.XLOOKUP(B52, HoldSummary!$A:$A, HoldSummary!H:H), 0)</f>
        <v>0</v>
      </c>
      <c r="AJ52">
        <f>IFERROR(_xlfn.XLOOKUP(B52, HoldSummary!$A:$A, HoldSummary!I:I), 0)</f>
        <v>0</v>
      </c>
      <c r="AK52">
        <f t="shared" si="5"/>
        <v>0</v>
      </c>
      <c r="AL52">
        <f t="shared" si="6"/>
        <v>13.791666666664241</v>
      </c>
      <c r="AM52">
        <f t="shared" si="7"/>
        <v>7.7916666666642413</v>
      </c>
      <c r="AN52" s="12">
        <f t="shared" si="8"/>
        <v>-7.2083333333357587</v>
      </c>
      <c r="AO52">
        <f t="shared" si="9"/>
        <v>1</v>
      </c>
    </row>
    <row r="53" spans="1:41" x14ac:dyDescent="0.35">
      <c r="A53" t="s">
        <v>23</v>
      </c>
      <c r="B53" t="s">
        <v>152</v>
      </c>
      <c r="C53" t="s">
        <v>54</v>
      </c>
      <c r="D53" t="s">
        <v>44</v>
      </c>
      <c r="E53" t="s">
        <v>44</v>
      </c>
      <c r="F53" t="s">
        <v>46</v>
      </c>
      <c r="H53" t="s">
        <v>153</v>
      </c>
      <c r="I53" t="s">
        <v>30</v>
      </c>
      <c r="J53" t="s">
        <v>31</v>
      </c>
      <c r="K53" t="s">
        <v>38</v>
      </c>
      <c r="L53" t="s">
        <v>58</v>
      </c>
      <c r="M53" t="s">
        <v>33</v>
      </c>
      <c r="N53" s="2">
        <v>45701.208333333336</v>
      </c>
      <c r="O53" s="2">
        <v>45720.208333333336</v>
      </c>
      <c r="P53" s="2">
        <v>45720.208333333336</v>
      </c>
      <c r="Q53" s="2">
        <v>45706</v>
      </c>
      <c r="R53" s="2">
        <v>45707.683589074077</v>
      </c>
      <c r="S53" t="s">
        <v>154</v>
      </c>
      <c r="T53" s="2">
        <v>45702.208333333336</v>
      </c>
      <c r="U53" s="2">
        <v>45702.208333333336</v>
      </c>
      <c r="V53" s="2">
        <v>45702.208333333336</v>
      </c>
      <c r="W53" s="2">
        <v>45702.208333333336</v>
      </c>
      <c r="X53" s="3">
        <f t="shared" si="0"/>
        <v>0</v>
      </c>
      <c r="Y53">
        <f t="shared" si="1"/>
        <v>0</v>
      </c>
      <c r="Z53">
        <f t="shared" si="2"/>
        <v>0</v>
      </c>
      <c r="AA53">
        <f t="shared" si="3"/>
        <v>4.7916666666642413</v>
      </c>
      <c r="AB53">
        <f t="shared" si="4"/>
        <v>4.7916666666642413</v>
      </c>
      <c r="AC53">
        <f>IFERROR(_xlfn.XLOOKUP(B53, HoldSummary!$A:$A, HoldSummary!B:B), 0)</f>
        <v>0</v>
      </c>
      <c r="AD53">
        <f>IFERROR(_xlfn.XLOOKUP(B53, HoldSummary!$A:$A, HoldSummary!C:C), 0)</f>
        <v>0</v>
      </c>
      <c r="AE53">
        <f>IFERROR(_xlfn.XLOOKUP(B53, HoldSummary!$A:$A, HoldSummary!D:D), 0)</f>
        <v>0</v>
      </c>
      <c r="AF53">
        <f>IFERROR(_xlfn.XLOOKUP(B53, HoldSummary!$A:$A, HoldSummary!E:E), 0)</f>
        <v>0</v>
      </c>
      <c r="AG53">
        <f>IFERROR(_xlfn.XLOOKUP(B53, HoldSummary!$A:$A, HoldSummary!F:F), 0)</f>
        <v>0</v>
      </c>
      <c r="AH53">
        <f>IFERROR(_xlfn.XLOOKUP(B53, HoldSummary!$A:$A, HoldSummary!G:G), 0)</f>
        <v>0</v>
      </c>
      <c r="AI53">
        <f>IFERROR(_xlfn.XLOOKUP(B53, HoldSummary!$A:$A, HoldSummary!H:H), 0)</f>
        <v>0</v>
      </c>
      <c r="AJ53">
        <f>IFERROR(_xlfn.XLOOKUP(B53, HoldSummary!$A:$A, HoldSummary!I:I), 0)</f>
        <v>0</v>
      </c>
      <c r="AK53">
        <f t="shared" si="5"/>
        <v>0</v>
      </c>
      <c r="AL53">
        <f t="shared" si="6"/>
        <v>4.7916666666642413</v>
      </c>
      <c r="AM53">
        <f t="shared" si="7"/>
        <v>4.7916666666642413</v>
      </c>
      <c r="AN53" s="12">
        <f t="shared" si="8"/>
        <v>-14.208333333335759</v>
      </c>
      <c r="AO53">
        <f t="shared" si="9"/>
        <v>1</v>
      </c>
    </row>
    <row r="54" spans="1:41" x14ac:dyDescent="0.35">
      <c r="A54" t="s">
        <v>23</v>
      </c>
      <c r="B54">
        <v>111335</v>
      </c>
      <c r="C54" t="s">
        <v>36</v>
      </c>
      <c r="D54" t="s">
        <v>44</v>
      </c>
      <c r="E54" t="s">
        <v>55</v>
      </c>
      <c r="F54" t="s">
        <v>46</v>
      </c>
      <c r="H54" t="s">
        <v>155</v>
      </c>
      <c r="I54" t="s">
        <v>30</v>
      </c>
      <c r="J54" t="s">
        <v>31</v>
      </c>
      <c r="K54" t="s">
        <v>57</v>
      </c>
      <c r="L54" t="s">
        <v>39</v>
      </c>
      <c r="M54" t="s">
        <v>33</v>
      </c>
      <c r="N54" s="2">
        <v>45712.208333333336</v>
      </c>
      <c r="O54" s="2">
        <v>45751.166666666664</v>
      </c>
      <c r="P54" s="2">
        <v>45819.166666666664</v>
      </c>
      <c r="Q54" s="2">
        <v>45817</v>
      </c>
      <c r="R54" s="2">
        <v>45817.743062280089</v>
      </c>
      <c r="S54" t="s">
        <v>97</v>
      </c>
      <c r="T54" s="2">
        <v>45743.166666666664</v>
      </c>
      <c r="U54" s="2">
        <v>45743.166666666664</v>
      </c>
      <c r="V54" s="2">
        <v>45784.166666666664</v>
      </c>
      <c r="W54" s="2">
        <v>45807.166666666664</v>
      </c>
      <c r="X54" s="3">
        <f t="shared" si="0"/>
        <v>0</v>
      </c>
      <c r="Y54">
        <f t="shared" si="1"/>
        <v>23</v>
      </c>
      <c r="Z54">
        <f t="shared" si="2"/>
        <v>23</v>
      </c>
      <c r="AA54">
        <f t="shared" si="3"/>
        <v>104.79166666666424</v>
      </c>
      <c r="AB54">
        <f t="shared" si="4"/>
        <v>81.791666666664241</v>
      </c>
      <c r="AC54">
        <f>IFERROR(_xlfn.XLOOKUP(B54, HoldSummary!$A:$A, HoldSummary!B:B), 0)</f>
        <v>0</v>
      </c>
      <c r="AD54">
        <f>IFERROR(_xlfn.XLOOKUP(B54, HoldSummary!$A:$A, HoldSummary!C:C), 0)</f>
        <v>0</v>
      </c>
      <c r="AE54">
        <f>IFERROR(_xlfn.XLOOKUP(B54, HoldSummary!$A:$A, HoldSummary!D:D), 0)</f>
        <v>0</v>
      </c>
      <c r="AF54">
        <f>IFERROR(_xlfn.XLOOKUP(B54, HoldSummary!$A:$A, HoldSummary!E:E), 0)</f>
        <v>0</v>
      </c>
      <c r="AG54">
        <f>IFERROR(_xlfn.XLOOKUP(B54, HoldSummary!$A:$A, HoldSummary!F:F), 0)</f>
        <v>0</v>
      </c>
      <c r="AH54">
        <f>IFERROR(_xlfn.XLOOKUP(B54, HoldSummary!$A:$A, HoldSummary!G:G), 0)</f>
        <v>0</v>
      </c>
      <c r="AI54">
        <f>IFERROR(_xlfn.XLOOKUP(B54, HoldSummary!$A:$A, HoldSummary!H:H), 0)</f>
        <v>0</v>
      </c>
      <c r="AJ54">
        <f>IFERROR(_xlfn.XLOOKUP(B54, HoldSummary!$A:$A, HoldSummary!I:I), 0)</f>
        <v>0</v>
      </c>
      <c r="AK54">
        <f t="shared" si="5"/>
        <v>0</v>
      </c>
      <c r="AL54">
        <f t="shared" si="6"/>
        <v>104.79166666666424</v>
      </c>
      <c r="AM54">
        <f t="shared" si="7"/>
        <v>81.791666666664241</v>
      </c>
      <c r="AN54" s="12">
        <f t="shared" si="8"/>
        <v>65.833333333335759</v>
      </c>
      <c r="AO54">
        <f t="shared" si="9"/>
        <v>0</v>
      </c>
    </row>
    <row r="55" spans="1:41" x14ac:dyDescent="0.35">
      <c r="A55" t="s">
        <v>23</v>
      </c>
      <c r="B55">
        <v>110679</v>
      </c>
      <c r="C55" t="s">
        <v>76</v>
      </c>
      <c r="D55" t="s">
        <v>44</v>
      </c>
      <c r="E55" t="s">
        <v>55</v>
      </c>
      <c r="F55" t="s">
        <v>46</v>
      </c>
      <c r="H55" t="s">
        <v>156</v>
      </c>
      <c r="I55" t="s">
        <v>30</v>
      </c>
      <c r="J55" t="s">
        <v>31</v>
      </c>
      <c r="K55" t="s">
        <v>57</v>
      </c>
      <c r="L55" t="s">
        <v>39</v>
      </c>
      <c r="M55" t="s">
        <v>33</v>
      </c>
      <c r="N55" s="2">
        <v>45677.208333333336</v>
      </c>
      <c r="O55" s="2">
        <v>45747.166666666664</v>
      </c>
      <c r="P55" s="2">
        <v>45747.166666666664</v>
      </c>
      <c r="Q55" s="2">
        <v>45735</v>
      </c>
      <c r="R55" s="2">
        <v>45735.81783925926</v>
      </c>
      <c r="S55" t="s">
        <v>157</v>
      </c>
      <c r="T55" s="2">
        <v>45726.166666666664</v>
      </c>
      <c r="U55" s="2">
        <v>45726.166666666664</v>
      </c>
      <c r="V55" s="2">
        <v>45726.166666666664</v>
      </c>
      <c r="W55" s="2">
        <v>45730.166666666664</v>
      </c>
      <c r="X55" s="3">
        <f t="shared" si="0"/>
        <v>0</v>
      </c>
      <c r="Y55">
        <f t="shared" si="1"/>
        <v>4</v>
      </c>
      <c r="Z55">
        <f t="shared" si="2"/>
        <v>4</v>
      </c>
      <c r="AA55">
        <f t="shared" si="3"/>
        <v>57.791666666664241</v>
      </c>
      <c r="AB55">
        <f t="shared" si="4"/>
        <v>53.791666666664241</v>
      </c>
      <c r="AC55">
        <f>IFERROR(_xlfn.XLOOKUP(B55, HoldSummary!$A:$A, HoldSummary!B:B), 0)</f>
        <v>27</v>
      </c>
      <c r="AD55">
        <f>IFERROR(_xlfn.XLOOKUP(B55, HoldSummary!$A:$A, HoldSummary!C:C), 0)</f>
        <v>0</v>
      </c>
      <c r="AE55">
        <f>IFERROR(_xlfn.XLOOKUP(B55, HoldSummary!$A:$A, HoldSummary!D:D), 0)</f>
        <v>0</v>
      </c>
      <c r="AF55">
        <f>IFERROR(_xlfn.XLOOKUP(B55, HoldSummary!$A:$A, HoldSummary!E:E), 0)</f>
        <v>0</v>
      </c>
      <c r="AG55">
        <f>IFERROR(_xlfn.XLOOKUP(B55, HoldSummary!$A:$A, HoldSummary!F:F), 0)</f>
        <v>0</v>
      </c>
      <c r="AH55">
        <f>IFERROR(_xlfn.XLOOKUP(B55, HoldSummary!$A:$A, HoldSummary!G:G), 0)</f>
        <v>0</v>
      </c>
      <c r="AI55">
        <f>IFERROR(_xlfn.XLOOKUP(B55, HoldSummary!$A:$A, HoldSummary!H:H), 0)</f>
        <v>0</v>
      </c>
      <c r="AJ55">
        <f>IFERROR(_xlfn.XLOOKUP(B55, HoldSummary!$A:$A, HoldSummary!I:I), 0)</f>
        <v>0</v>
      </c>
      <c r="AK55">
        <f t="shared" si="5"/>
        <v>27</v>
      </c>
      <c r="AL55">
        <f t="shared" si="6"/>
        <v>30.791666666664241</v>
      </c>
      <c r="AM55">
        <f t="shared" si="7"/>
        <v>26.791666666664241</v>
      </c>
      <c r="AN55" s="12">
        <f t="shared" si="8"/>
        <v>-12.166666666664241</v>
      </c>
      <c r="AO55">
        <f t="shared" si="9"/>
        <v>1</v>
      </c>
    </row>
    <row r="56" spans="1:41" x14ac:dyDescent="0.35">
      <c r="A56" t="s">
        <v>23</v>
      </c>
      <c r="B56">
        <v>111022</v>
      </c>
      <c r="C56" t="s">
        <v>76</v>
      </c>
      <c r="D56" t="s">
        <v>44</v>
      </c>
      <c r="E56" t="s">
        <v>55</v>
      </c>
      <c r="F56" t="s">
        <v>46</v>
      </c>
      <c r="H56" t="s">
        <v>158</v>
      </c>
      <c r="I56" t="s">
        <v>30</v>
      </c>
      <c r="J56" t="s">
        <v>31</v>
      </c>
      <c r="K56" t="s">
        <v>57</v>
      </c>
      <c r="L56" t="s">
        <v>39</v>
      </c>
      <c r="M56" t="s">
        <v>33</v>
      </c>
      <c r="N56" s="2">
        <v>45694.208333333336</v>
      </c>
      <c r="O56" s="2">
        <v>45744.166666666664</v>
      </c>
      <c r="P56" s="2">
        <v>45744.166666666664</v>
      </c>
      <c r="Q56" s="2">
        <v>45736</v>
      </c>
      <c r="R56" s="2">
        <v>45736.562463587965</v>
      </c>
      <c r="T56" s="2">
        <v>45726.166666666664</v>
      </c>
      <c r="U56" s="2">
        <v>45726.166666666664</v>
      </c>
      <c r="V56" s="2">
        <v>45726.166666666664</v>
      </c>
      <c r="W56" s="2">
        <v>45730.166666666664</v>
      </c>
      <c r="X56" s="3">
        <f t="shared" si="0"/>
        <v>0</v>
      </c>
      <c r="Y56">
        <f t="shared" si="1"/>
        <v>4</v>
      </c>
      <c r="Z56">
        <f t="shared" si="2"/>
        <v>4</v>
      </c>
      <c r="AA56">
        <f t="shared" si="3"/>
        <v>41.791666666664241</v>
      </c>
      <c r="AB56">
        <f t="shared" si="4"/>
        <v>37.791666666664241</v>
      </c>
      <c r="AC56">
        <f>IFERROR(_xlfn.XLOOKUP(B56, HoldSummary!$A:$A, HoldSummary!B:B), 0)</f>
        <v>14</v>
      </c>
      <c r="AD56">
        <f>IFERROR(_xlfn.XLOOKUP(B56, HoldSummary!$A:$A, HoldSummary!C:C), 0)</f>
        <v>0</v>
      </c>
      <c r="AE56">
        <f>IFERROR(_xlfn.XLOOKUP(B56, HoldSummary!$A:$A, HoldSummary!D:D), 0)</f>
        <v>0</v>
      </c>
      <c r="AF56">
        <f>IFERROR(_xlfn.XLOOKUP(B56, HoldSummary!$A:$A, HoldSummary!E:E), 0)</f>
        <v>0</v>
      </c>
      <c r="AG56">
        <f>IFERROR(_xlfn.XLOOKUP(B56, HoldSummary!$A:$A, HoldSummary!F:F), 0)</f>
        <v>0</v>
      </c>
      <c r="AH56">
        <f>IFERROR(_xlfn.XLOOKUP(B56, HoldSummary!$A:$A, HoldSummary!G:G), 0)</f>
        <v>0</v>
      </c>
      <c r="AI56">
        <f>IFERROR(_xlfn.XLOOKUP(B56, HoldSummary!$A:$A, HoldSummary!H:H), 0)</f>
        <v>0</v>
      </c>
      <c r="AJ56">
        <f>IFERROR(_xlfn.XLOOKUP(B56, HoldSummary!$A:$A, HoldSummary!I:I), 0)</f>
        <v>0</v>
      </c>
      <c r="AK56">
        <f t="shared" si="5"/>
        <v>14</v>
      </c>
      <c r="AL56">
        <f t="shared" si="6"/>
        <v>27.791666666664241</v>
      </c>
      <c r="AM56">
        <f t="shared" si="7"/>
        <v>23.791666666664241</v>
      </c>
      <c r="AN56" s="12">
        <f t="shared" si="8"/>
        <v>-8.1666666666642413</v>
      </c>
      <c r="AO56">
        <f t="shared" si="9"/>
        <v>1</v>
      </c>
    </row>
    <row r="57" spans="1:41" x14ac:dyDescent="0.35">
      <c r="A57" t="s">
        <v>23</v>
      </c>
      <c r="B57">
        <v>111060</v>
      </c>
      <c r="C57" t="s">
        <v>36</v>
      </c>
      <c r="D57" t="s">
        <v>44</v>
      </c>
      <c r="E57" t="s">
        <v>55</v>
      </c>
      <c r="F57" t="s">
        <v>46</v>
      </c>
      <c r="H57" t="s">
        <v>159</v>
      </c>
      <c r="I57" t="s">
        <v>30</v>
      </c>
      <c r="J57" t="s">
        <v>31</v>
      </c>
      <c r="K57" t="s">
        <v>57</v>
      </c>
      <c r="L57" t="s">
        <v>39</v>
      </c>
      <c r="M57" t="s">
        <v>33</v>
      </c>
      <c r="N57" s="2">
        <v>45696.208333333336</v>
      </c>
      <c r="O57" s="2">
        <v>45751.166666666664</v>
      </c>
      <c r="P57" s="2">
        <v>45751.166666666664</v>
      </c>
      <c r="Q57" s="2">
        <v>45743</v>
      </c>
      <c r="R57" s="2">
        <v>45743.714303657405</v>
      </c>
      <c r="S57" t="s">
        <v>93</v>
      </c>
      <c r="T57" s="2">
        <v>45740.166666666664</v>
      </c>
      <c r="U57" s="2">
        <v>45740.166666666664</v>
      </c>
      <c r="V57" s="2">
        <v>45741.166666666664</v>
      </c>
      <c r="W57" s="2">
        <v>45742.166666666664</v>
      </c>
      <c r="X57" s="3">
        <f t="shared" si="0"/>
        <v>0</v>
      </c>
      <c r="Y57">
        <f t="shared" si="1"/>
        <v>1</v>
      </c>
      <c r="Z57">
        <f t="shared" si="2"/>
        <v>1</v>
      </c>
      <c r="AA57">
        <f t="shared" si="3"/>
        <v>46.791666666664241</v>
      </c>
      <c r="AB57">
        <f t="shared" si="4"/>
        <v>45.791666666664241</v>
      </c>
      <c r="AC57">
        <f>IFERROR(_xlfn.XLOOKUP(B57, HoldSummary!$A:$A, HoldSummary!B:B), 0)</f>
        <v>0</v>
      </c>
      <c r="AD57">
        <f>IFERROR(_xlfn.XLOOKUP(B57, HoldSummary!$A:$A, HoldSummary!C:C), 0)</f>
        <v>0</v>
      </c>
      <c r="AE57">
        <f>IFERROR(_xlfn.XLOOKUP(B57, HoldSummary!$A:$A, HoldSummary!D:D), 0)</f>
        <v>0</v>
      </c>
      <c r="AF57">
        <f>IFERROR(_xlfn.XLOOKUP(B57, HoldSummary!$A:$A, HoldSummary!E:E), 0)</f>
        <v>0</v>
      </c>
      <c r="AG57">
        <f>IFERROR(_xlfn.XLOOKUP(B57, HoldSummary!$A:$A, HoldSummary!F:F), 0)</f>
        <v>0</v>
      </c>
      <c r="AH57">
        <f>IFERROR(_xlfn.XLOOKUP(B57, HoldSummary!$A:$A, HoldSummary!G:G), 0)</f>
        <v>0</v>
      </c>
      <c r="AI57">
        <f>IFERROR(_xlfn.XLOOKUP(B57, HoldSummary!$A:$A, HoldSummary!H:H), 0)</f>
        <v>0</v>
      </c>
      <c r="AJ57">
        <f>IFERROR(_xlfn.XLOOKUP(B57, HoldSummary!$A:$A, HoldSummary!I:I), 0)</f>
        <v>0</v>
      </c>
      <c r="AK57">
        <f t="shared" si="5"/>
        <v>0</v>
      </c>
      <c r="AL57">
        <f t="shared" si="6"/>
        <v>46.791666666664241</v>
      </c>
      <c r="AM57">
        <f t="shared" si="7"/>
        <v>45.791666666664241</v>
      </c>
      <c r="AN57" s="12">
        <f t="shared" si="8"/>
        <v>-8.1666666666642413</v>
      </c>
      <c r="AO57">
        <f t="shared" si="9"/>
        <v>1</v>
      </c>
    </row>
    <row r="58" spans="1:41" x14ac:dyDescent="0.35">
      <c r="A58" t="s">
        <v>23</v>
      </c>
      <c r="B58" t="s">
        <v>160</v>
      </c>
      <c r="C58" t="s">
        <v>36</v>
      </c>
      <c r="D58" t="s">
        <v>44</v>
      </c>
      <c r="E58" t="s">
        <v>45</v>
      </c>
      <c r="F58" t="s">
        <v>46</v>
      </c>
      <c r="H58" t="s">
        <v>161</v>
      </c>
      <c r="I58" t="s">
        <v>30</v>
      </c>
      <c r="J58" t="s">
        <v>31</v>
      </c>
      <c r="K58" t="s">
        <v>48</v>
      </c>
      <c r="L58" t="s">
        <v>49</v>
      </c>
      <c r="M58" t="s">
        <v>33</v>
      </c>
      <c r="N58" s="2">
        <v>45731.510949074072</v>
      </c>
      <c r="O58" s="2">
        <v>45737.166666666664</v>
      </c>
      <c r="P58" s="2">
        <v>45737.166666666664</v>
      </c>
      <c r="Q58" s="2">
        <v>45735</v>
      </c>
      <c r="R58" s="2">
        <v>45735.823442939814</v>
      </c>
      <c r="S58" t="s">
        <v>162</v>
      </c>
      <c r="T58" s="2"/>
      <c r="U58" s="2"/>
      <c r="V58" s="2"/>
      <c r="W58" s="2"/>
      <c r="X58" s="3" t="str">
        <f t="shared" si="0"/>
        <v/>
      </c>
      <c r="Y58" t="str">
        <f t="shared" si="1"/>
        <v/>
      </c>
      <c r="Z58">
        <f t="shared" si="2"/>
        <v>0</v>
      </c>
      <c r="AA58">
        <f t="shared" si="3"/>
        <v>3.4890509259275859</v>
      </c>
      <c r="AB58">
        <f t="shared" si="4"/>
        <v>3.4890509259275859</v>
      </c>
      <c r="AC58">
        <f>IFERROR(_xlfn.XLOOKUP(B58, HoldSummary!$A:$A, HoldSummary!B:B), 0)</f>
        <v>0</v>
      </c>
      <c r="AD58">
        <f>IFERROR(_xlfn.XLOOKUP(B58, HoldSummary!$A:$A, HoldSummary!C:C), 0)</f>
        <v>0</v>
      </c>
      <c r="AE58">
        <f>IFERROR(_xlfn.XLOOKUP(B58, HoldSummary!$A:$A, HoldSummary!D:D), 0)</f>
        <v>0</v>
      </c>
      <c r="AF58">
        <f>IFERROR(_xlfn.XLOOKUP(B58, HoldSummary!$A:$A, HoldSummary!E:E), 0)</f>
        <v>0</v>
      </c>
      <c r="AG58">
        <f>IFERROR(_xlfn.XLOOKUP(B58, HoldSummary!$A:$A, HoldSummary!F:F), 0)</f>
        <v>0</v>
      </c>
      <c r="AH58">
        <f>IFERROR(_xlfn.XLOOKUP(B58, HoldSummary!$A:$A, HoldSummary!G:G), 0)</f>
        <v>0</v>
      </c>
      <c r="AI58">
        <f>IFERROR(_xlfn.XLOOKUP(B58, HoldSummary!$A:$A, HoldSummary!H:H), 0)</f>
        <v>0</v>
      </c>
      <c r="AJ58">
        <f>IFERROR(_xlfn.XLOOKUP(B58, HoldSummary!$A:$A, HoldSummary!I:I), 0)</f>
        <v>0</v>
      </c>
      <c r="AK58">
        <f t="shared" si="5"/>
        <v>0</v>
      </c>
      <c r="AL58">
        <f t="shared" si="6"/>
        <v>3.4890509259275859</v>
      </c>
      <c r="AM58">
        <f t="shared" si="7"/>
        <v>3.4890509259275859</v>
      </c>
      <c r="AN58" s="12">
        <f t="shared" si="8"/>
        <v>-2.1666666666642413</v>
      </c>
      <c r="AO58">
        <f t="shared" si="9"/>
        <v>1</v>
      </c>
    </row>
    <row r="59" spans="1:41" x14ac:dyDescent="0.35">
      <c r="A59" t="s">
        <v>23</v>
      </c>
      <c r="B59">
        <v>111471</v>
      </c>
      <c r="C59" t="s">
        <v>54</v>
      </c>
      <c r="D59" t="s">
        <v>44</v>
      </c>
      <c r="E59" t="s">
        <v>55</v>
      </c>
      <c r="F59" t="s">
        <v>46</v>
      </c>
      <c r="H59" t="s">
        <v>163</v>
      </c>
      <c r="I59" t="s">
        <v>30</v>
      </c>
      <c r="J59" t="s">
        <v>31</v>
      </c>
      <c r="K59" t="s">
        <v>57</v>
      </c>
      <c r="L59" t="s">
        <v>39</v>
      </c>
      <c r="M59" t="s">
        <v>33</v>
      </c>
      <c r="N59" s="2">
        <v>45716.208333333336</v>
      </c>
      <c r="O59" s="2">
        <v>45763.166666666664</v>
      </c>
      <c r="P59" s="2">
        <v>45763.166666666664</v>
      </c>
      <c r="Q59" s="2">
        <v>45747</v>
      </c>
      <c r="R59" s="2">
        <v>45747.80031903935</v>
      </c>
      <c r="T59" s="2">
        <v>45736.166666666664</v>
      </c>
      <c r="U59" s="2">
        <v>45736.166666666664</v>
      </c>
      <c r="V59" s="2">
        <v>45736.166666666664</v>
      </c>
      <c r="W59" s="2">
        <v>45737.166666666664</v>
      </c>
      <c r="X59" s="3">
        <f t="shared" si="0"/>
        <v>0</v>
      </c>
      <c r="Y59">
        <f t="shared" si="1"/>
        <v>1</v>
      </c>
      <c r="Z59">
        <f t="shared" si="2"/>
        <v>1</v>
      </c>
      <c r="AA59">
        <f t="shared" si="3"/>
        <v>30.791666666664241</v>
      </c>
      <c r="AB59">
        <f t="shared" si="4"/>
        <v>29.791666666664241</v>
      </c>
      <c r="AC59">
        <f>IFERROR(_xlfn.XLOOKUP(B59, HoldSummary!$A:$A, HoldSummary!B:B), 0)</f>
        <v>9</v>
      </c>
      <c r="AD59">
        <f>IFERROR(_xlfn.XLOOKUP(B59, HoldSummary!$A:$A, HoldSummary!C:C), 0)</f>
        <v>0</v>
      </c>
      <c r="AE59">
        <f>IFERROR(_xlfn.XLOOKUP(B59, HoldSummary!$A:$A, HoldSummary!D:D), 0)</f>
        <v>0</v>
      </c>
      <c r="AF59">
        <f>IFERROR(_xlfn.XLOOKUP(B59, HoldSummary!$A:$A, HoldSummary!E:E), 0)</f>
        <v>0</v>
      </c>
      <c r="AG59">
        <f>IFERROR(_xlfn.XLOOKUP(B59, HoldSummary!$A:$A, HoldSummary!F:F), 0)</f>
        <v>0</v>
      </c>
      <c r="AH59">
        <f>IFERROR(_xlfn.XLOOKUP(B59, HoldSummary!$A:$A, HoldSummary!G:G), 0)</f>
        <v>0</v>
      </c>
      <c r="AI59">
        <f>IFERROR(_xlfn.XLOOKUP(B59, HoldSummary!$A:$A, HoldSummary!H:H), 0)</f>
        <v>0</v>
      </c>
      <c r="AJ59">
        <f>IFERROR(_xlfn.XLOOKUP(B59, HoldSummary!$A:$A, HoldSummary!I:I), 0)</f>
        <v>0</v>
      </c>
      <c r="AK59">
        <f t="shared" si="5"/>
        <v>9</v>
      </c>
      <c r="AL59">
        <f t="shared" si="6"/>
        <v>21.791666666664241</v>
      </c>
      <c r="AM59">
        <f t="shared" si="7"/>
        <v>20.791666666664241</v>
      </c>
      <c r="AN59" s="12">
        <f t="shared" si="8"/>
        <v>-16.166666666664241</v>
      </c>
      <c r="AO59">
        <f t="shared" si="9"/>
        <v>1</v>
      </c>
    </row>
    <row r="60" spans="1:41" x14ac:dyDescent="0.35">
      <c r="A60" t="s">
        <v>23</v>
      </c>
      <c r="B60">
        <v>112241</v>
      </c>
      <c r="C60" t="s">
        <v>54</v>
      </c>
      <c r="D60" t="s">
        <v>44</v>
      </c>
      <c r="E60" t="s">
        <v>55</v>
      </c>
      <c r="F60" t="s">
        <v>46</v>
      </c>
      <c r="H60" t="s">
        <v>164</v>
      </c>
      <c r="I60" t="s">
        <v>30</v>
      </c>
      <c r="J60" t="s">
        <v>31</v>
      </c>
      <c r="K60" t="s">
        <v>57</v>
      </c>
      <c r="L60" t="s">
        <v>39</v>
      </c>
      <c r="N60" s="2">
        <v>45751.166666666664</v>
      </c>
      <c r="O60" s="2">
        <v>45877.166666666664</v>
      </c>
      <c r="P60" s="2">
        <v>45877.166666666664</v>
      </c>
      <c r="Q60" s="2">
        <v>45807</v>
      </c>
      <c r="R60" s="2">
        <v>45817.768294791669</v>
      </c>
      <c r="T60" s="2">
        <v>45782.166666666664</v>
      </c>
      <c r="U60" s="2">
        <v>45782.166666666664</v>
      </c>
      <c r="V60" s="2">
        <v>45786.166666666664</v>
      </c>
      <c r="W60" s="2">
        <v>45799.166666666664</v>
      </c>
      <c r="X60" s="3">
        <f t="shared" si="0"/>
        <v>0</v>
      </c>
      <c r="Y60">
        <f t="shared" si="1"/>
        <v>13</v>
      </c>
      <c r="Z60">
        <f t="shared" si="2"/>
        <v>13</v>
      </c>
      <c r="AA60">
        <f t="shared" si="3"/>
        <v>55.833333333335759</v>
      </c>
      <c r="AB60">
        <f t="shared" si="4"/>
        <v>42.833333333335759</v>
      </c>
      <c r="AC60">
        <f>IFERROR(_xlfn.XLOOKUP(B60, HoldSummary!$A:$A, HoldSummary!B:B), 0)</f>
        <v>0</v>
      </c>
      <c r="AD60">
        <f>IFERROR(_xlfn.XLOOKUP(B60, HoldSummary!$A:$A, HoldSummary!C:C), 0)</f>
        <v>0</v>
      </c>
      <c r="AE60">
        <f>IFERROR(_xlfn.XLOOKUP(B60, HoldSummary!$A:$A, HoldSummary!D:D), 0)</f>
        <v>0</v>
      </c>
      <c r="AF60">
        <f>IFERROR(_xlfn.XLOOKUP(B60, HoldSummary!$A:$A, HoldSummary!E:E), 0)</f>
        <v>0</v>
      </c>
      <c r="AG60">
        <f>IFERROR(_xlfn.XLOOKUP(B60, HoldSummary!$A:$A, HoldSummary!F:F), 0)</f>
        <v>0</v>
      </c>
      <c r="AH60">
        <f>IFERROR(_xlfn.XLOOKUP(B60, HoldSummary!$A:$A, HoldSummary!G:G), 0)</f>
        <v>0</v>
      </c>
      <c r="AI60">
        <f>IFERROR(_xlfn.XLOOKUP(B60, HoldSummary!$A:$A, HoldSummary!H:H), 0)</f>
        <v>0</v>
      </c>
      <c r="AJ60">
        <f>IFERROR(_xlfn.XLOOKUP(B60, HoldSummary!$A:$A, HoldSummary!I:I), 0)</f>
        <v>0</v>
      </c>
      <c r="AK60">
        <f t="shared" si="5"/>
        <v>0</v>
      </c>
      <c r="AL60">
        <f t="shared" si="6"/>
        <v>55.833333333335759</v>
      </c>
      <c r="AM60">
        <f t="shared" si="7"/>
        <v>42.833333333335759</v>
      </c>
      <c r="AN60" s="12">
        <f t="shared" si="8"/>
        <v>-70.166666666664241</v>
      </c>
      <c r="AO60">
        <f t="shared" si="9"/>
        <v>1</v>
      </c>
    </row>
    <row r="61" spans="1:41" x14ac:dyDescent="0.35">
      <c r="A61" t="s">
        <v>23</v>
      </c>
      <c r="B61">
        <v>111746</v>
      </c>
      <c r="C61" t="s">
        <v>76</v>
      </c>
      <c r="D61" t="s">
        <v>44</v>
      </c>
      <c r="E61" t="s">
        <v>55</v>
      </c>
      <c r="F61" t="s">
        <v>46</v>
      </c>
      <c r="H61" t="s">
        <v>165</v>
      </c>
      <c r="I61" t="s">
        <v>30</v>
      </c>
      <c r="J61" t="s">
        <v>31</v>
      </c>
      <c r="K61" t="s">
        <v>57</v>
      </c>
      <c r="L61" t="s">
        <v>39</v>
      </c>
      <c r="M61" t="s">
        <v>33</v>
      </c>
      <c r="N61" s="2">
        <v>45730.166666666664</v>
      </c>
      <c r="O61" s="2">
        <v>45863.166666666664</v>
      </c>
      <c r="P61" s="2">
        <v>45863.166666666664</v>
      </c>
      <c r="Q61" s="2">
        <v>45852</v>
      </c>
      <c r="R61" s="2">
        <v>45852.801702557874</v>
      </c>
      <c r="S61" t="s">
        <v>84</v>
      </c>
      <c r="T61" s="2">
        <v>45814.166666666664</v>
      </c>
      <c r="U61" s="2">
        <v>45814.166666666664</v>
      </c>
      <c r="V61" s="2">
        <v>45817.166666666664</v>
      </c>
      <c r="W61" s="2">
        <v>45838.166666666664</v>
      </c>
      <c r="X61" s="3">
        <f t="shared" si="0"/>
        <v>0</v>
      </c>
      <c r="Y61">
        <f t="shared" si="1"/>
        <v>21</v>
      </c>
      <c r="Z61">
        <f t="shared" si="2"/>
        <v>21</v>
      </c>
      <c r="AA61">
        <f t="shared" si="3"/>
        <v>121.83333333333576</v>
      </c>
      <c r="AB61">
        <f t="shared" si="4"/>
        <v>100.83333333333576</v>
      </c>
      <c r="AC61">
        <f>IFERROR(_xlfn.XLOOKUP(B61, HoldSummary!$A:$A, HoldSummary!B:B), 0)</f>
        <v>4</v>
      </c>
      <c r="AD61">
        <f>IFERROR(_xlfn.XLOOKUP(B61, HoldSummary!$A:$A, HoldSummary!C:C), 0)</f>
        <v>0</v>
      </c>
      <c r="AE61">
        <f>IFERROR(_xlfn.XLOOKUP(B61, HoldSummary!$A:$A, HoldSummary!D:D), 0)</f>
        <v>0</v>
      </c>
      <c r="AF61">
        <f>IFERROR(_xlfn.XLOOKUP(B61, HoldSummary!$A:$A, HoldSummary!E:E), 0)</f>
        <v>0</v>
      </c>
      <c r="AG61">
        <f>IFERROR(_xlfn.XLOOKUP(B61, HoldSummary!$A:$A, HoldSummary!F:F), 0)</f>
        <v>0</v>
      </c>
      <c r="AH61">
        <f>IFERROR(_xlfn.XLOOKUP(B61, HoldSummary!$A:$A, HoldSummary!G:G), 0)</f>
        <v>0</v>
      </c>
      <c r="AI61">
        <f>IFERROR(_xlfn.XLOOKUP(B61, HoldSummary!$A:$A, HoldSummary!H:H), 0)</f>
        <v>0</v>
      </c>
      <c r="AJ61">
        <f>IFERROR(_xlfn.XLOOKUP(B61, HoldSummary!$A:$A, HoldSummary!I:I), 0)</f>
        <v>0</v>
      </c>
      <c r="AK61">
        <f t="shared" si="5"/>
        <v>4</v>
      </c>
      <c r="AL61">
        <f t="shared" si="6"/>
        <v>117.83333333333576</v>
      </c>
      <c r="AM61">
        <f t="shared" si="7"/>
        <v>96.833333333335759</v>
      </c>
      <c r="AN61" s="12">
        <f t="shared" si="8"/>
        <v>-11.166666666664241</v>
      </c>
      <c r="AO61">
        <f t="shared" si="9"/>
        <v>1</v>
      </c>
    </row>
    <row r="62" spans="1:41" x14ac:dyDescent="0.35">
      <c r="A62" t="s">
        <v>23</v>
      </c>
      <c r="B62">
        <v>112591</v>
      </c>
      <c r="C62" t="s">
        <v>36</v>
      </c>
      <c r="D62" t="s">
        <v>44</v>
      </c>
      <c r="E62" t="s">
        <v>55</v>
      </c>
      <c r="F62" t="s">
        <v>46</v>
      </c>
      <c r="H62" t="s">
        <v>166</v>
      </c>
      <c r="I62" t="s">
        <v>30</v>
      </c>
      <c r="J62" t="s">
        <v>31</v>
      </c>
      <c r="K62" t="s">
        <v>57</v>
      </c>
      <c r="L62" t="s">
        <v>39</v>
      </c>
      <c r="M62" t="s">
        <v>81</v>
      </c>
      <c r="N62" s="2">
        <v>45769.166666666664</v>
      </c>
      <c r="O62" s="2">
        <v>45779.166666666664</v>
      </c>
      <c r="P62" s="2">
        <v>45779.166666666664</v>
      </c>
      <c r="Q62" s="2">
        <v>45776</v>
      </c>
      <c r="R62" s="2">
        <v>45776.634152002312</v>
      </c>
      <c r="T62" s="2"/>
      <c r="U62" s="2"/>
      <c r="V62" s="2"/>
      <c r="W62" s="2"/>
      <c r="X62" s="3" t="str">
        <f t="shared" si="0"/>
        <v/>
      </c>
      <c r="Y62" t="str">
        <f t="shared" si="1"/>
        <v/>
      </c>
      <c r="Z62">
        <f t="shared" si="2"/>
        <v>0</v>
      </c>
      <c r="AA62">
        <f t="shared" si="3"/>
        <v>6.8333333333357587</v>
      </c>
      <c r="AB62">
        <f t="shared" si="4"/>
        <v>6.8333333333357587</v>
      </c>
      <c r="AC62">
        <f>IFERROR(_xlfn.XLOOKUP(B62, HoldSummary!$A:$A, HoldSummary!B:B), 0)</f>
        <v>0</v>
      </c>
      <c r="AD62">
        <f>IFERROR(_xlfn.XLOOKUP(B62, HoldSummary!$A:$A, HoldSummary!C:C), 0)</f>
        <v>0</v>
      </c>
      <c r="AE62">
        <f>IFERROR(_xlfn.XLOOKUP(B62, HoldSummary!$A:$A, HoldSummary!D:D), 0)</f>
        <v>0</v>
      </c>
      <c r="AF62">
        <f>IFERROR(_xlfn.XLOOKUP(B62, HoldSummary!$A:$A, HoldSummary!E:E), 0)</f>
        <v>0</v>
      </c>
      <c r="AG62">
        <f>IFERROR(_xlfn.XLOOKUP(B62, HoldSummary!$A:$A, HoldSummary!F:F), 0)</f>
        <v>0</v>
      </c>
      <c r="AH62">
        <f>IFERROR(_xlfn.XLOOKUP(B62, HoldSummary!$A:$A, HoldSummary!G:G), 0)</f>
        <v>0</v>
      </c>
      <c r="AI62">
        <f>IFERROR(_xlfn.XLOOKUP(B62, HoldSummary!$A:$A, HoldSummary!H:H), 0)</f>
        <v>0</v>
      </c>
      <c r="AJ62">
        <f>IFERROR(_xlfn.XLOOKUP(B62, HoldSummary!$A:$A, HoldSummary!I:I), 0)</f>
        <v>0</v>
      </c>
      <c r="AK62">
        <f t="shared" si="5"/>
        <v>0</v>
      </c>
      <c r="AL62">
        <f t="shared" si="6"/>
        <v>6.8333333333357587</v>
      </c>
      <c r="AM62">
        <f t="shared" si="7"/>
        <v>6.8333333333357587</v>
      </c>
      <c r="AN62" s="12">
        <f t="shared" si="8"/>
        <v>-3.1666666666642413</v>
      </c>
      <c r="AO62">
        <f t="shared" si="9"/>
        <v>1</v>
      </c>
    </row>
    <row r="63" spans="1:41" x14ac:dyDescent="0.35">
      <c r="A63" t="s">
        <v>23</v>
      </c>
      <c r="B63" t="s">
        <v>167</v>
      </c>
      <c r="C63" t="s">
        <v>54</v>
      </c>
      <c r="D63" t="s">
        <v>44</v>
      </c>
      <c r="E63" t="s">
        <v>45</v>
      </c>
      <c r="F63" t="s">
        <v>46</v>
      </c>
      <c r="H63" t="s">
        <v>168</v>
      </c>
      <c r="I63" t="s">
        <v>30</v>
      </c>
      <c r="J63" t="s">
        <v>31</v>
      </c>
      <c r="K63" t="s">
        <v>38</v>
      </c>
      <c r="L63" t="s">
        <v>53</v>
      </c>
      <c r="M63" t="s">
        <v>33</v>
      </c>
      <c r="N63" s="2">
        <v>45750.058321759258</v>
      </c>
      <c r="O63" s="2">
        <v>45814.166666666664</v>
      </c>
      <c r="P63" s="2">
        <v>45814.166666666664</v>
      </c>
      <c r="Q63" s="2">
        <v>45797</v>
      </c>
      <c r="R63" s="2">
        <v>45797.771777199072</v>
      </c>
      <c r="S63" t="s">
        <v>104</v>
      </c>
      <c r="T63" s="2">
        <v>45772.166666666664</v>
      </c>
      <c r="U63" s="2">
        <v>45772.166666666664</v>
      </c>
      <c r="V63" s="2">
        <v>45772.166666666664</v>
      </c>
      <c r="W63" s="2">
        <v>45793.166666666664</v>
      </c>
      <c r="X63" s="3">
        <f t="shared" si="0"/>
        <v>0</v>
      </c>
      <c r="Y63">
        <f t="shared" si="1"/>
        <v>21</v>
      </c>
      <c r="Z63">
        <f t="shared" si="2"/>
        <v>21</v>
      </c>
      <c r="AA63">
        <f t="shared" si="3"/>
        <v>46.941678240742476</v>
      </c>
      <c r="AB63">
        <f t="shared" si="4"/>
        <v>25.941678240742476</v>
      </c>
      <c r="AC63">
        <f>IFERROR(_xlfn.XLOOKUP(B63, HoldSummary!$A:$A, HoldSummary!B:B), 0)</f>
        <v>16</v>
      </c>
      <c r="AD63">
        <f>IFERROR(_xlfn.XLOOKUP(B63, HoldSummary!$A:$A, HoldSummary!C:C), 0)</f>
        <v>0</v>
      </c>
      <c r="AE63">
        <f>IFERROR(_xlfn.XLOOKUP(B63, HoldSummary!$A:$A, HoldSummary!D:D), 0)</f>
        <v>0</v>
      </c>
      <c r="AF63">
        <f>IFERROR(_xlfn.XLOOKUP(B63, HoldSummary!$A:$A, HoldSummary!E:E), 0)</f>
        <v>0</v>
      </c>
      <c r="AG63">
        <f>IFERROR(_xlfn.XLOOKUP(B63, HoldSummary!$A:$A, HoldSummary!F:F), 0)</f>
        <v>0</v>
      </c>
      <c r="AH63">
        <f>IFERROR(_xlfn.XLOOKUP(B63, HoldSummary!$A:$A, HoldSummary!G:G), 0)</f>
        <v>0</v>
      </c>
      <c r="AI63">
        <f>IFERROR(_xlfn.XLOOKUP(B63, HoldSummary!$A:$A, HoldSummary!H:H), 0)</f>
        <v>2</v>
      </c>
      <c r="AJ63">
        <f>IFERROR(_xlfn.XLOOKUP(B63, HoldSummary!$A:$A, HoldSummary!I:I), 0)</f>
        <v>0</v>
      </c>
      <c r="AK63">
        <f t="shared" si="5"/>
        <v>18</v>
      </c>
      <c r="AL63">
        <f t="shared" si="6"/>
        <v>28.941678240742476</v>
      </c>
      <c r="AM63">
        <f t="shared" si="7"/>
        <v>7.9416782407424762</v>
      </c>
      <c r="AN63" s="12">
        <f t="shared" si="8"/>
        <v>-17.166666666664241</v>
      </c>
      <c r="AO63">
        <f t="shared" si="9"/>
        <v>1</v>
      </c>
    </row>
    <row r="64" spans="1:41" x14ac:dyDescent="0.35">
      <c r="A64" t="s">
        <v>23</v>
      </c>
      <c r="B64">
        <v>113115</v>
      </c>
      <c r="C64" t="s">
        <v>36</v>
      </c>
      <c r="D64" t="s">
        <v>44</v>
      </c>
      <c r="E64" t="s">
        <v>55</v>
      </c>
      <c r="F64" t="s">
        <v>46</v>
      </c>
      <c r="H64" t="s">
        <v>169</v>
      </c>
      <c r="I64" t="s">
        <v>30</v>
      </c>
      <c r="J64" t="s">
        <v>31</v>
      </c>
      <c r="K64" t="s">
        <v>57</v>
      </c>
      <c r="L64" t="s">
        <v>39</v>
      </c>
      <c r="M64" t="s">
        <v>33</v>
      </c>
      <c r="N64" s="2">
        <v>45793.166666666664</v>
      </c>
      <c r="O64" s="2">
        <v>45828.166666666664</v>
      </c>
      <c r="P64" s="2">
        <v>45833.166666666664</v>
      </c>
      <c r="Q64" s="2">
        <v>45834</v>
      </c>
      <c r="R64" s="2">
        <v>45834.597782696757</v>
      </c>
      <c r="S64" t="s">
        <v>97</v>
      </c>
      <c r="T64" s="2">
        <v>45812.166666666664</v>
      </c>
      <c r="U64" s="2">
        <v>45812.166666666664</v>
      </c>
      <c r="V64" s="2">
        <v>45824.166666666664</v>
      </c>
      <c r="W64" s="2">
        <v>45826.166666666664</v>
      </c>
      <c r="X64" s="3">
        <f t="shared" si="0"/>
        <v>0</v>
      </c>
      <c r="Y64">
        <f t="shared" si="1"/>
        <v>2</v>
      </c>
      <c r="Z64">
        <f t="shared" si="2"/>
        <v>2</v>
      </c>
      <c r="AA64">
        <f t="shared" si="3"/>
        <v>40.833333333335759</v>
      </c>
      <c r="AB64">
        <f t="shared" si="4"/>
        <v>38.833333333335759</v>
      </c>
      <c r="AC64">
        <f>IFERROR(_xlfn.XLOOKUP(B64, HoldSummary!$A:$A, HoldSummary!B:B), 0)</f>
        <v>0</v>
      </c>
      <c r="AD64">
        <f>IFERROR(_xlfn.XLOOKUP(B64, HoldSummary!$A:$A, HoldSummary!C:C), 0)</f>
        <v>0</v>
      </c>
      <c r="AE64">
        <f>IFERROR(_xlfn.XLOOKUP(B64, HoldSummary!$A:$A, HoldSummary!D:D), 0)</f>
        <v>0</v>
      </c>
      <c r="AF64">
        <f>IFERROR(_xlfn.XLOOKUP(B64, HoldSummary!$A:$A, HoldSummary!E:E), 0)</f>
        <v>0</v>
      </c>
      <c r="AG64">
        <f>IFERROR(_xlfn.XLOOKUP(B64, HoldSummary!$A:$A, HoldSummary!F:F), 0)</f>
        <v>0</v>
      </c>
      <c r="AH64">
        <f>IFERROR(_xlfn.XLOOKUP(B64, HoldSummary!$A:$A, HoldSummary!G:G), 0)</f>
        <v>0</v>
      </c>
      <c r="AI64">
        <f>IFERROR(_xlfn.XLOOKUP(B64, HoldSummary!$A:$A, HoldSummary!H:H), 0)</f>
        <v>0</v>
      </c>
      <c r="AJ64">
        <f>IFERROR(_xlfn.XLOOKUP(B64, HoldSummary!$A:$A, HoldSummary!I:I), 0)</f>
        <v>0</v>
      </c>
      <c r="AK64">
        <f t="shared" si="5"/>
        <v>0</v>
      </c>
      <c r="AL64">
        <f t="shared" si="6"/>
        <v>40.833333333335759</v>
      </c>
      <c r="AM64">
        <f t="shared" si="7"/>
        <v>38.833333333335759</v>
      </c>
      <c r="AN64" s="12">
        <f t="shared" si="8"/>
        <v>5.8333333333357587</v>
      </c>
      <c r="AO64">
        <f t="shared" si="9"/>
        <v>0</v>
      </c>
    </row>
    <row r="65" spans="1:41" x14ac:dyDescent="0.35">
      <c r="A65" t="s">
        <v>23</v>
      </c>
      <c r="B65">
        <v>113451</v>
      </c>
      <c r="C65" t="s">
        <v>36</v>
      </c>
      <c r="D65" t="s">
        <v>44</v>
      </c>
      <c r="E65" t="s">
        <v>55</v>
      </c>
      <c r="F65" t="s">
        <v>46</v>
      </c>
      <c r="H65" t="s">
        <v>170</v>
      </c>
      <c r="I65" t="s">
        <v>30</v>
      </c>
      <c r="J65" t="s">
        <v>31</v>
      </c>
      <c r="K65" t="s">
        <v>57</v>
      </c>
      <c r="L65" t="s">
        <v>39</v>
      </c>
      <c r="M65" t="s">
        <v>33</v>
      </c>
      <c r="N65" s="2">
        <v>45813.166666666664</v>
      </c>
      <c r="O65" s="2">
        <v>45835.166666666664</v>
      </c>
      <c r="P65" s="2">
        <v>45835.166666666664</v>
      </c>
      <c r="Q65" s="2">
        <v>45834</v>
      </c>
      <c r="R65" s="2">
        <v>45834.778424155091</v>
      </c>
      <c r="S65" t="s">
        <v>97</v>
      </c>
      <c r="T65" s="2">
        <v>45824.166666666664</v>
      </c>
      <c r="U65" s="2">
        <v>45824.166666666664</v>
      </c>
      <c r="V65" s="2">
        <v>45824.166666666664</v>
      </c>
      <c r="W65" s="2">
        <v>45832.166666666664</v>
      </c>
      <c r="X65" s="3">
        <f t="shared" si="0"/>
        <v>0</v>
      </c>
      <c r="Y65">
        <f t="shared" si="1"/>
        <v>8</v>
      </c>
      <c r="Z65">
        <f t="shared" si="2"/>
        <v>8</v>
      </c>
      <c r="AA65">
        <f t="shared" si="3"/>
        <v>20.833333333335759</v>
      </c>
      <c r="AB65">
        <f t="shared" si="4"/>
        <v>12.833333333335759</v>
      </c>
      <c r="AC65">
        <f>IFERROR(_xlfn.XLOOKUP(B65, HoldSummary!$A:$A, HoldSummary!B:B), 0)</f>
        <v>0</v>
      </c>
      <c r="AD65">
        <f>IFERROR(_xlfn.XLOOKUP(B65, HoldSummary!$A:$A, HoldSummary!C:C), 0)</f>
        <v>0</v>
      </c>
      <c r="AE65">
        <f>IFERROR(_xlfn.XLOOKUP(B65, HoldSummary!$A:$A, HoldSummary!D:D), 0)</f>
        <v>0</v>
      </c>
      <c r="AF65">
        <f>IFERROR(_xlfn.XLOOKUP(B65, HoldSummary!$A:$A, HoldSummary!E:E), 0)</f>
        <v>0</v>
      </c>
      <c r="AG65">
        <f>IFERROR(_xlfn.XLOOKUP(B65, HoldSummary!$A:$A, HoldSummary!F:F), 0)</f>
        <v>0</v>
      </c>
      <c r="AH65">
        <f>IFERROR(_xlfn.XLOOKUP(B65, HoldSummary!$A:$A, HoldSummary!G:G), 0)</f>
        <v>0</v>
      </c>
      <c r="AI65">
        <f>IFERROR(_xlfn.XLOOKUP(B65, HoldSummary!$A:$A, HoldSummary!H:H), 0)</f>
        <v>0</v>
      </c>
      <c r="AJ65">
        <f>IFERROR(_xlfn.XLOOKUP(B65, HoldSummary!$A:$A, HoldSummary!I:I), 0)</f>
        <v>0</v>
      </c>
      <c r="AK65">
        <f t="shared" si="5"/>
        <v>0</v>
      </c>
      <c r="AL65">
        <f t="shared" si="6"/>
        <v>20.833333333335759</v>
      </c>
      <c r="AM65">
        <f t="shared" si="7"/>
        <v>12.833333333335759</v>
      </c>
      <c r="AN65" s="12">
        <f t="shared" si="8"/>
        <v>-1.1666666666642413</v>
      </c>
      <c r="AO65">
        <f t="shared" si="9"/>
        <v>1</v>
      </c>
    </row>
    <row r="66" spans="1:41" x14ac:dyDescent="0.35">
      <c r="A66" t="s">
        <v>23</v>
      </c>
      <c r="B66">
        <v>113762</v>
      </c>
      <c r="C66" t="s">
        <v>36</v>
      </c>
      <c r="D66" t="s">
        <v>44</v>
      </c>
      <c r="E66" t="s">
        <v>55</v>
      </c>
      <c r="F66" t="s">
        <v>46</v>
      </c>
      <c r="H66" t="s">
        <v>171</v>
      </c>
      <c r="I66" t="s">
        <v>30</v>
      </c>
      <c r="J66" t="s">
        <v>31</v>
      </c>
      <c r="K66" t="s">
        <v>57</v>
      </c>
      <c r="L66" t="s">
        <v>39</v>
      </c>
      <c r="M66" t="s">
        <v>33</v>
      </c>
      <c r="N66" s="2">
        <v>45831.166666666664</v>
      </c>
      <c r="O66" s="2">
        <v>45849.166666666664</v>
      </c>
      <c r="P66" s="2">
        <v>45849.166666666664</v>
      </c>
      <c r="Q66" s="2">
        <v>45835</v>
      </c>
      <c r="R66" s="2">
        <v>45835.610187048609</v>
      </c>
      <c r="S66" t="s">
        <v>97</v>
      </c>
      <c r="T66" s="2"/>
      <c r="U66" s="2"/>
      <c r="V66" s="2"/>
      <c r="W66" s="2"/>
      <c r="X66" s="3" t="str">
        <f t="shared" si="0"/>
        <v/>
      </c>
      <c r="Y66" t="str">
        <f t="shared" si="1"/>
        <v/>
      </c>
      <c r="Z66">
        <f t="shared" si="2"/>
        <v>0</v>
      </c>
      <c r="AA66">
        <f t="shared" si="3"/>
        <v>3.8333333333357587</v>
      </c>
      <c r="AB66">
        <f t="shared" si="4"/>
        <v>3.8333333333357587</v>
      </c>
      <c r="AC66">
        <f>IFERROR(_xlfn.XLOOKUP(B66, HoldSummary!$A:$A, HoldSummary!B:B), 0)</f>
        <v>0</v>
      </c>
      <c r="AD66">
        <f>IFERROR(_xlfn.XLOOKUP(B66, HoldSummary!$A:$A, HoldSummary!C:C), 0)</f>
        <v>0</v>
      </c>
      <c r="AE66">
        <f>IFERROR(_xlfn.XLOOKUP(B66, HoldSummary!$A:$A, HoldSummary!D:D), 0)</f>
        <v>0</v>
      </c>
      <c r="AF66">
        <f>IFERROR(_xlfn.XLOOKUP(B66, HoldSummary!$A:$A, HoldSummary!E:E), 0)</f>
        <v>0</v>
      </c>
      <c r="AG66">
        <f>IFERROR(_xlfn.XLOOKUP(B66, HoldSummary!$A:$A, HoldSummary!F:F), 0)</f>
        <v>0</v>
      </c>
      <c r="AH66">
        <f>IFERROR(_xlfn.XLOOKUP(B66, HoldSummary!$A:$A, HoldSummary!G:G), 0)</f>
        <v>0</v>
      </c>
      <c r="AI66">
        <f>IFERROR(_xlfn.XLOOKUP(B66, HoldSummary!$A:$A, HoldSummary!H:H), 0)</f>
        <v>0</v>
      </c>
      <c r="AJ66">
        <f>IFERROR(_xlfn.XLOOKUP(B66, HoldSummary!$A:$A, HoldSummary!I:I), 0)</f>
        <v>0</v>
      </c>
      <c r="AK66">
        <f t="shared" si="5"/>
        <v>0</v>
      </c>
      <c r="AL66">
        <f t="shared" si="6"/>
        <v>3.8333333333357587</v>
      </c>
      <c r="AM66">
        <f t="shared" si="7"/>
        <v>3.8333333333357587</v>
      </c>
      <c r="AN66" s="12">
        <f t="shared" si="8"/>
        <v>-14.166666666664241</v>
      </c>
      <c r="AO66">
        <f t="shared" si="9"/>
        <v>1</v>
      </c>
    </row>
    <row r="67" spans="1:41" x14ac:dyDescent="0.35">
      <c r="A67" t="s">
        <v>23</v>
      </c>
      <c r="B67">
        <v>112658</v>
      </c>
      <c r="C67" t="s">
        <v>76</v>
      </c>
      <c r="D67" t="s">
        <v>44</v>
      </c>
      <c r="E67" t="s">
        <v>55</v>
      </c>
      <c r="F67" t="s">
        <v>46</v>
      </c>
      <c r="H67" t="s">
        <v>2275</v>
      </c>
      <c r="I67" t="s">
        <v>30</v>
      </c>
      <c r="J67" t="s">
        <v>31</v>
      </c>
      <c r="K67" t="s">
        <v>57</v>
      </c>
      <c r="L67" t="s">
        <v>39</v>
      </c>
      <c r="M67" t="s">
        <v>33</v>
      </c>
      <c r="N67" s="2">
        <v>45771.166666666664</v>
      </c>
      <c r="O67" s="2">
        <v>45903.166666666664</v>
      </c>
      <c r="P67" s="2">
        <v>45903.166666666664</v>
      </c>
      <c r="Q67" s="2">
        <v>45863</v>
      </c>
      <c r="R67" s="2">
        <v>45866.55716802083</v>
      </c>
      <c r="S67" t="s">
        <v>2276</v>
      </c>
      <c r="T67" s="2">
        <v>45854.166666666664</v>
      </c>
      <c r="U67" s="2">
        <v>45859.166666666664</v>
      </c>
      <c r="V67" s="2">
        <v>45859.166666666664</v>
      </c>
      <c r="W67" s="2">
        <v>45861.166666666664</v>
      </c>
      <c r="X67" s="3">
        <f t="shared" ref="X67:X130" si="10">IF(OR(ISBLANK(T67), ISBLANK(U67)), "", U67 - T67)</f>
        <v>5</v>
      </c>
      <c r="Y67">
        <f t="shared" ref="Y67:Y130" si="11">IF(OR(ISBLANK(V67), ISBLANK(W67)), "", W67 - V67)</f>
        <v>2</v>
      </c>
      <c r="Z67">
        <f t="shared" ref="Z67:Z130" si="12">N(X67) + N(Y67)</f>
        <v>7</v>
      </c>
      <c r="AA67">
        <f t="shared" ref="AA67:AA130" si="13">IF(OR(ISBLANK(N67), ISBLANK(Q67)), "", Q67 - N67)</f>
        <v>91.833333333335759</v>
      </c>
      <c r="AB67">
        <f t="shared" ref="AB67:AB130" si="14">IF(AA67="", "", AA67 - Z67)</f>
        <v>84.833333333335759</v>
      </c>
      <c r="AC67">
        <f>IFERROR(_xlfn.XLOOKUP(B67, HoldSummary!$A:$A, HoldSummary!B:B), 0)</f>
        <v>30</v>
      </c>
      <c r="AD67">
        <f>IFERROR(_xlfn.XLOOKUP(B67, HoldSummary!$A:$A, HoldSummary!C:C), 0)</f>
        <v>0</v>
      </c>
      <c r="AE67">
        <f>IFERROR(_xlfn.XLOOKUP(B67, HoldSummary!$A:$A, HoldSummary!D:D), 0)</f>
        <v>0</v>
      </c>
      <c r="AF67">
        <f>IFERROR(_xlfn.XLOOKUP(B67, HoldSummary!$A:$A, HoldSummary!E:E), 0)</f>
        <v>0</v>
      </c>
      <c r="AG67">
        <f>IFERROR(_xlfn.XLOOKUP(B67, HoldSummary!$A:$A, HoldSummary!F:F), 0)</f>
        <v>0</v>
      </c>
      <c r="AH67">
        <f>IFERROR(_xlfn.XLOOKUP(B67, HoldSummary!$A:$A, HoldSummary!G:G), 0)</f>
        <v>0</v>
      </c>
      <c r="AI67">
        <f>IFERROR(_xlfn.XLOOKUP(B67, HoldSummary!$A:$A, HoldSummary!H:H), 0)</f>
        <v>0</v>
      </c>
      <c r="AJ67">
        <f>IFERROR(_xlfn.XLOOKUP(B67, HoldSummary!$A:$A, HoldSummary!I:I), 0)</f>
        <v>0</v>
      </c>
      <c r="AK67">
        <f t="shared" ref="AK67:AK130" si="15">SUM(AC67:AJ67)</f>
        <v>30</v>
      </c>
      <c r="AL67">
        <f t="shared" ref="AL67:AL130" si="16">IF(AA67="", "", AA67 - AK67)</f>
        <v>61.833333333335759</v>
      </c>
      <c r="AM67">
        <f t="shared" ref="AM67:AM130" si="17">IF(OR(AK67="", AB67=""), "", AB67 - AK67)</f>
        <v>54.833333333335759</v>
      </c>
      <c r="AN67" s="12">
        <f t="shared" ref="AN67:AN130" si="18">Q67-O67</f>
        <v>-40.166666666664241</v>
      </c>
      <c r="AO67">
        <f t="shared" ref="AO67:AO130" si="19">IF(OR(ISBLANK(O67), ISBLANK(Q67)), 1, IF(AN67&lt;=0,1,0))</f>
        <v>1</v>
      </c>
    </row>
    <row r="68" spans="1:41" x14ac:dyDescent="0.35">
      <c r="A68" t="s">
        <v>23</v>
      </c>
      <c r="B68" t="s">
        <v>172</v>
      </c>
      <c r="C68" t="s">
        <v>54</v>
      </c>
      <c r="D68" t="s">
        <v>44</v>
      </c>
      <c r="E68" t="s">
        <v>45</v>
      </c>
      <c r="F68" t="s">
        <v>46</v>
      </c>
      <c r="H68" t="s">
        <v>173</v>
      </c>
      <c r="I68" t="s">
        <v>30</v>
      </c>
      <c r="J68" t="s">
        <v>31</v>
      </c>
      <c r="K68" t="s">
        <v>174</v>
      </c>
      <c r="L68" t="s">
        <v>174</v>
      </c>
      <c r="M68" t="s">
        <v>33</v>
      </c>
      <c r="N68" s="2">
        <v>45827.580914351849</v>
      </c>
      <c r="O68" s="2">
        <v>45835.166666666664</v>
      </c>
      <c r="P68" s="2">
        <v>45835.166666666664</v>
      </c>
      <c r="Q68" s="2">
        <v>45835</v>
      </c>
      <c r="R68" s="2">
        <v>45835.723522650464</v>
      </c>
      <c r="S68" t="s">
        <v>175</v>
      </c>
      <c r="T68" s="2"/>
      <c r="U68" s="2"/>
      <c r="V68" s="2"/>
      <c r="W68" s="2"/>
      <c r="X68" s="3" t="str">
        <f t="shared" si="10"/>
        <v/>
      </c>
      <c r="Y68" t="str">
        <f t="shared" si="11"/>
        <v/>
      </c>
      <c r="Z68">
        <f t="shared" si="12"/>
        <v>0</v>
      </c>
      <c r="AA68">
        <f t="shared" si="13"/>
        <v>7.41908564815094</v>
      </c>
      <c r="AB68">
        <f t="shared" si="14"/>
        <v>7.41908564815094</v>
      </c>
      <c r="AC68">
        <f>IFERROR(_xlfn.XLOOKUP(B68, HoldSummary!$A:$A, HoldSummary!B:B), 0)</f>
        <v>0</v>
      </c>
      <c r="AD68">
        <f>IFERROR(_xlfn.XLOOKUP(B68, HoldSummary!$A:$A, HoldSummary!C:C), 0)</f>
        <v>0</v>
      </c>
      <c r="AE68">
        <f>IFERROR(_xlfn.XLOOKUP(B68, HoldSummary!$A:$A, HoldSummary!D:D), 0)</f>
        <v>0</v>
      </c>
      <c r="AF68">
        <f>IFERROR(_xlfn.XLOOKUP(B68, HoldSummary!$A:$A, HoldSummary!E:E), 0)</f>
        <v>0</v>
      </c>
      <c r="AG68">
        <f>IFERROR(_xlfn.XLOOKUP(B68, HoldSummary!$A:$A, HoldSummary!F:F), 0)</f>
        <v>0</v>
      </c>
      <c r="AH68">
        <f>IFERROR(_xlfn.XLOOKUP(B68, HoldSummary!$A:$A, HoldSummary!G:G), 0)</f>
        <v>0</v>
      </c>
      <c r="AI68">
        <f>IFERROR(_xlfn.XLOOKUP(B68, HoldSummary!$A:$A, HoldSummary!H:H), 0)</f>
        <v>0</v>
      </c>
      <c r="AJ68">
        <f>IFERROR(_xlfn.XLOOKUP(B68, HoldSummary!$A:$A, HoldSummary!I:I), 0)</f>
        <v>0</v>
      </c>
      <c r="AK68">
        <f t="shared" si="15"/>
        <v>0</v>
      </c>
      <c r="AL68">
        <f t="shared" si="16"/>
        <v>7.41908564815094</v>
      </c>
      <c r="AM68">
        <f t="shared" si="17"/>
        <v>7.41908564815094</v>
      </c>
      <c r="AN68" s="12">
        <f t="shared" si="18"/>
        <v>-0.16666666666424135</v>
      </c>
      <c r="AO68">
        <f t="shared" si="19"/>
        <v>1</v>
      </c>
    </row>
    <row r="69" spans="1:41" x14ac:dyDescent="0.35">
      <c r="A69" t="s">
        <v>23</v>
      </c>
      <c r="B69">
        <v>113333</v>
      </c>
      <c r="C69" t="s">
        <v>98</v>
      </c>
      <c r="D69" t="s">
        <v>44</v>
      </c>
      <c r="E69" t="s">
        <v>55</v>
      </c>
      <c r="F69" t="s">
        <v>46</v>
      </c>
      <c r="H69" t="s">
        <v>176</v>
      </c>
      <c r="I69" t="s">
        <v>30</v>
      </c>
      <c r="J69" t="s">
        <v>31</v>
      </c>
      <c r="K69" t="s">
        <v>57</v>
      </c>
      <c r="L69" t="s">
        <v>58</v>
      </c>
      <c r="M69" t="s">
        <v>33</v>
      </c>
      <c r="N69" s="2">
        <v>45807.166666666664</v>
      </c>
      <c r="O69" s="2">
        <v>45866.166666666664</v>
      </c>
      <c r="P69" s="2">
        <v>45866.166666666664</v>
      </c>
      <c r="Q69" s="2">
        <v>45854</v>
      </c>
      <c r="R69" s="2">
        <v>45859.769899155093</v>
      </c>
      <c r="S69" t="s">
        <v>34</v>
      </c>
      <c r="T69" s="2">
        <v>45848.166666666664</v>
      </c>
      <c r="U69" s="2">
        <v>45848.166666666664</v>
      </c>
      <c r="V69" s="2">
        <v>45848.166666666664</v>
      </c>
      <c r="W69" s="2">
        <v>45848.166666666664</v>
      </c>
      <c r="X69" s="3">
        <f t="shared" si="10"/>
        <v>0</v>
      </c>
      <c r="Y69">
        <f t="shared" si="11"/>
        <v>0</v>
      </c>
      <c r="Z69">
        <f t="shared" si="12"/>
        <v>0</v>
      </c>
      <c r="AA69">
        <f t="shared" si="13"/>
        <v>46.833333333335759</v>
      </c>
      <c r="AB69">
        <f t="shared" si="14"/>
        <v>46.833333333335759</v>
      </c>
      <c r="AC69">
        <f>IFERROR(_xlfn.XLOOKUP(B69, HoldSummary!$A:$A, HoldSummary!B:B), 0)</f>
        <v>0</v>
      </c>
      <c r="AD69">
        <f>IFERROR(_xlfn.XLOOKUP(B69, HoldSummary!$A:$A, HoldSummary!C:C), 0)</f>
        <v>0</v>
      </c>
      <c r="AE69">
        <f>IFERROR(_xlfn.XLOOKUP(B69, HoldSummary!$A:$A, HoldSummary!D:D), 0)</f>
        <v>0</v>
      </c>
      <c r="AF69">
        <f>IFERROR(_xlfn.XLOOKUP(B69, HoldSummary!$A:$A, HoldSummary!E:E), 0)</f>
        <v>0</v>
      </c>
      <c r="AG69">
        <f>IFERROR(_xlfn.XLOOKUP(B69, HoldSummary!$A:$A, HoldSummary!F:F), 0)</f>
        <v>0</v>
      </c>
      <c r="AH69">
        <f>IFERROR(_xlfn.XLOOKUP(B69, HoldSummary!$A:$A, HoldSummary!G:G), 0)</f>
        <v>0</v>
      </c>
      <c r="AI69">
        <f>IFERROR(_xlfn.XLOOKUP(B69, HoldSummary!$A:$A, HoldSummary!H:H), 0)</f>
        <v>0</v>
      </c>
      <c r="AJ69">
        <f>IFERROR(_xlfn.XLOOKUP(B69, HoldSummary!$A:$A, HoldSummary!I:I), 0)</f>
        <v>0</v>
      </c>
      <c r="AK69">
        <f t="shared" si="15"/>
        <v>0</v>
      </c>
      <c r="AL69">
        <f t="shared" si="16"/>
        <v>46.833333333335759</v>
      </c>
      <c r="AM69">
        <f t="shared" si="17"/>
        <v>46.833333333335759</v>
      </c>
      <c r="AN69" s="12">
        <f t="shared" si="18"/>
        <v>-12.166666666664241</v>
      </c>
      <c r="AO69">
        <f t="shared" si="19"/>
        <v>1</v>
      </c>
    </row>
    <row r="70" spans="1:41" x14ac:dyDescent="0.35">
      <c r="A70" t="s">
        <v>23</v>
      </c>
      <c r="B70">
        <v>114305</v>
      </c>
      <c r="C70" t="s">
        <v>36</v>
      </c>
      <c r="D70" t="s">
        <v>44</v>
      </c>
      <c r="E70" t="s">
        <v>55</v>
      </c>
      <c r="F70" t="s">
        <v>46</v>
      </c>
      <c r="H70" t="s">
        <v>2277</v>
      </c>
      <c r="I70" t="s">
        <v>30</v>
      </c>
      <c r="J70" t="s">
        <v>31</v>
      </c>
      <c r="K70" t="s">
        <v>57</v>
      </c>
      <c r="L70" t="s">
        <v>39</v>
      </c>
      <c r="M70" t="s">
        <v>33</v>
      </c>
      <c r="N70" s="2">
        <v>45859.166666666664</v>
      </c>
      <c r="O70" s="2">
        <v>45891.166666666664</v>
      </c>
      <c r="P70" s="2">
        <v>45869.166666666664</v>
      </c>
      <c r="Q70" s="2">
        <v>45869</v>
      </c>
      <c r="R70" s="2">
        <v>45869.731115613424</v>
      </c>
      <c r="S70" t="s">
        <v>1439</v>
      </c>
      <c r="T70" s="2">
        <v>45866.166666666664</v>
      </c>
      <c r="U70" s="2">
        <v>45866.166666666664</v>
      </c>
      <c r="V70" s="2">
        <v>45866.166666666664</v>
      </c>
      <c r="W70" s="2">
        <v>45868.166666666664</v>
      </c>
      <c r="X70" s="3">
        <f t="shared" si="10"/>
        <v>0</v>
      </c>
      <c r="Y70">
        <f t="shared" si="11"/>
        <v>2</v>
      </c>
      <c r="Z70">
        <f t="shared" si="12"/>
        <v>2</v>
      </c>
      <c r="AA70">
        <f t="shared" si="13"/>
        <v>9.8333333333357587</v>
      </c>
      <c r="AB70">
        <f t="shared" si="14"/>
        <v>7.8333333333357587</v>
      </c>
      <c r="AC70">
        <f>IFERROR(_xlfn.XLOOKUP(B70, HoldSummary!$A:$A, HoldSummary!B:B), 0)</f>
        <v>3</v>
      </c>
      <c r="AD70">
        <f>IFERROR(_xlfn.XLOOKUP(B70, HoldSummary!$A:$A, HoldSummary!C:C), 0)</f>
        <v>0</v>
      </c>
      <c r="AE70">
        <f>IFERROR(_xlfn.XLOOKUP(B70, HoldSummary!$A:$A, HoldSummary!D:D), 0)</f>
        <v>0</v>
      </c>
      <c r="AF70">
        <f>IFERROR(_xlfn.XLOOKUP(B70, HoldSummary!$A:$A, HoldSummary!E:E), 0)</f>
        <v>0</v>
      </c>
      <c r="AG70">
        <f>IFERROR(_xlfn.XLOOKUP(B70, HoldSummary!$A:$A, HoldSummary!F:F), 0)</f>
        <v>0</v>
      </c>
      <c r="AH70">
        <f>IFERROR(_xlfn.XLOOKUP(B70, HoldSummary!$A:$A, HoldSummary!G:G), 0)</f>
        <v>0</v>
      </c>
      <c r="AI70">
        <f>IFERROR(_xlfn.XLOOKUP(B70, HoldSummary!$A:$A, HoldSummary!H:H), 0)</f>
        <v>0</v>
      </c>
      <c r="AJ70">
        <f>IFERROR(_xlfn.XLOOKUP(B70, HoldSummary!$A:$A, HoldSummary!I:I), 0)</f>
        <v>0</v>
      </c>
      <c r="AK70">
        <f t="shared" si="15"/>
        <v>3</v>
      </c>
      <c r="AL70">
        <f t="shared" si="16"/>
        <v>6.8333333333357587</v>
      </c>
      <c r="AM70">
        <f t="shared" si="17"/>
        <v>4.8333333333357587</v>
      </c>
      <c r="AN70" s="12">
        <f t="shared" si="18"/>
        <v>-22.166666666664241</v>
      </c>
      <c r="AO70">
        <f t="shared" si="19"/>
        <v>1</v>
      </c>
    </row>
    <row r="71" spans="1:41" x14ac:dyDescent="0.35">
      <c r="A71" t="s">
        <v>23</v>
      </c>
      <c r="B71">
        <v>114136</v>
      </c>
      <c r="C71" t="s">
        <v>36</v>
      </c>
      <c r="D71" t="s">
        <v>44</v>
      </c>
      <c r="E71" t="s">
        <v>88</v>
      </c>
      <c r="F71" t="s">
        <v>46</v>
      </c>
      <c r="H71" t="s">
        <v>2278</v>
      </c>
      <c r="I71" t="s">
        <v>30</v>
      </c>
      <c r="J71" t="s">
        <v>31</v>
      </c>
      <c r="K71" t="s">
        <v>57</v>
      </c>
      <c r="L71" t="s">
        <v>39</v>
      </c>
      <c r="M71" t="s">
        <v>81</v>
      </c>
      <c r="N71" s="2">
        <v>45848.166666666664</v>
      </c>
      <c r="O71" s="2">
        <v>45898.166666666664</v>
      </c>
      <c r="P71" s="2">
        <v>45869.166666666664</v>
      </c>
      <c r="Q71" s="2">
        <v>45872</v>
      </c>
      <c r="R71" s="2">
        <v>45872.166666666664</v>
      </c>
      <c r="S71" t="s">
        <v>1439</v>
      </c>
      <c r="T71" s="2">
        <v>45866.166666666664</v>
      </c>
      <c r="U71" s="2">
        <v>45866.166666666664</v>
      </c>
      <c r="V71" s="2">
        <v>45868.166666666664</v>
      </c>
      <c r="W71" s="2">
        <v>45868.166666666664</v>
      </c>
      <c r="X71" s="3">
        <f t="shared" si="10"/>
        <v>0</v>
      </c>
      <c r="Y71">
        <f t="shared" si="11"/>
        <v>0</v>
      </c>
      <c r="Z71">
        <f t="shared" si="12"/>
        <v>0</v>
      </c>
      <c r="AA71">
        <f t="shared" si="13"/>
        <v>23.833333333335759</v>
      </c>
      <c r="AB71">
        <f t="shared" si="14"/>
        <v>23.833333333335759</v>
      </c>
      <c r="AC71">
        <f>IFERROR(_xlfn.XLOOKUP(B71, HoldSummary!$A:$A, HoldSummary!B:B), 0)</f>
        <v>0</v>
      </c>
      <c r="AD71">
        <f>IFERROR(_xlfn.XLOOKUP(B71, HoldSummary!$A:$A, HoldSummary!C:C), 0)</f>
        <v>0</v>
      </c>
      <c r="AE71">
        <f>IFERROR(_xlfn.XLOOKUP(B71, HoldSummary!$A:$A, HoldSummary!D:D), 0)</f>
        <v>0</v>
      </c>
      <c r="AF71">
        <f>IFERROR(_xlfn.XLOOKUP(B71, HoldSummary!$A:$A, HoldSummary!E:E), 0)</f>
        <v>0</v>
      </c>
      <c r="AG71">
        <f>IFERROR(_xlfn.XLOOKUP(B71, HoldSummary!$A:$A, HoldSummary!F:F), 0)</f>
        <v>0</v>
      </c>
      <c r="AH71">
        <f>IFERROR(_xlfn.XLOOKUP(B71, HoldSummary!$A:$A, HoldSummary!G:G), 0)</f>
        <v>0</v>
      </c>
      <c r="AI71">
        <f>IFERROR(_xlfn.XLOOKUP(B71, HoldSummary!$A:$A, HoldSummary!H:H), 0)</f>
        <v>0</v>
      </c>
      <c r="AJ71">
        <f>IFERROR(_xlfn.XLOOKUP(B71, HoldSummary!$A:$A, HoldSummary!I:I), 0)</f>
        <v>0</v>
      </c>
      <c r="AK71">
        <f t="shared" si="15"/>
        <v>0</v>
      </c>
      <c r="AL71">
        <f t="shared" si="16"/>
        <v>23.833333333335759</v>
      </c>
      <c r="AM71">
        <f t="shared" si="17"/>
        <v>23.833333333335759</v>
      </c>
      <c r="AN71" s="12">
        <f t="shared" si="18"/>
        <v>-26.166666666664241</v>
      </c>
      <c r="AO71">
        <f t="shared" si="19"/>
        <v>1</v>
      </c>
    </row>
    <row r="72" spans="1:41" x14ac:dyDescent="0.35">
      <c r="A72" t="s">
        <v>23</v>
      </c>
      <c r="B72" t="s">
        <v>177</v>
      </c>
      <c r="C72" t="s">
        <v>113</v>
      </c>
      <c r="D72" t="s">
        <v>44</v>
      </c>
      <c r="E72" t="s">
        <v>45</v>
      </c>
      <c r="F72" t="s">
        <v>28</v>
      </c>
      <c r="G72">
        <v>1</v>
      </c>
      <c r="H72" t="s">
        <v>178</v>
      </c>
      <c r="I72" t="s">
        <v>30</v>
      </c>
      <c r="J72" t="s">
        <v>31</v>
      </c>
      <c r="K72" t="s">
        <v>38</v>
      </c>
      <c r="L72" t="s">
        <v>39</v>
      </c>
      <c r="N72" s="2">
        <v>44882.864548611113</v>
      </c>
      <c r="O72" s="2">
        <v>44995.208333333336</v>
      </c>
      <c r="P72" s="2">
        <v>45394.166666666664</v>
      </c>
      <c r="Q72" s="2">
        <v>45390</v>
      </c>
      <c r="R72" s="2">
        <v>45390.873499097223</v>
      </c>
      <c r="S72" t="s">
        <v>127</v>
      </c>
      <c r="T72" s="2">
        <v>44932.208333333336</v>
      </c>
      <c r="U72" s="2">
        <v>45030.166666666664</v>
      </c>
      <c r="V72" s="2">
        <v>45030.166666666664</v>
      </c>
      <c r="W72" s="2">
        <v>45065.166666666664</v>
      </c>
      <c r="X72" s="3">
        <f t="shared" si="10"/>
        <v>97.958333333328483</v>
      </c>
      <c r="Y72">
        <f t="shared" si="11"/>
        <v>35</v>
      </c>
      <c r="Z72">
        <f t="shared" si="12"/>
        <v>132.95833333332848</v>
      </c>
      <c r="AA72">
        <f t="shared" si="13"/>
        <v>507.1354513888873</v>
      </c>
      <c r="AB72">
        <f t="shared" si="14"/>
        <v>374.17711805555882</v>
      </c>
      <c r="AC72">
        <f>IFERROR(_xlfn.XLOOKUP(B72, HoldSummary!$A:$A, HoldSummary!B:B), 0)</f>
        <v>0</v>
      </c>
      <c r="AD72">
        <f>IFERROR(_xlfn.XLOOKUP(B72, HoldSummary!$A:$A, HoldSummary!C:C), 0)</f>
        <v>0</v>
      </c>
      <c r="AE72">
        <f>IFERROR(_xlfn.XLOOKUP(B72, HoldSummary!$A:$A, HoldSummary!D:D), 0)</f>
        <v>0</v>
      </c>
      <c r="AF72">
        <f>IFERROR(_xlfn.XLOOKUP(B72, HoldSummary!$A:$A, HoldSummary!E:E), 0)</f>
        <v>0</v>
      </c>
      <c r="AG72">
        <f>IFERROR(_xlfn.XLOOKUP(B72, HoldSummary!$A:$A, HoldSummary!F:F), 0)</f>
        <v>0</v>
      </c>
      <c r="AH72">
        <f>IFERROR(_xlfn.XLOOKUP(B72, HoldSummary!$A:$A, HoldSummary!G:G), 0)</f>
        <v>45</v>
      </c>
      <c r="AI72">
        <f>IFERROR(_xlfn.XLOOKUP(B72, HoldSummary!$A:$A, HoldSummary!H:H), 0)</f>
        <v>0</v>
      </c>
      <c r="AJ72">
        <f>IFERROR(_xlfn.XLOOKUP(B72, HoldSummary!$A:$A, HoldSummary!I:I), 0)</f>
        <v>112</v>
      </c>
      <c r="AK72">
        <f t="shared" si="15"/>
        <v>157</v>
      </c>
      <c r="AL72">
        <f t="shared" si="16"/>
        <v>350.1354513888873</v>
      </c>
      <c r="AM72">
        <f t="shared" si="17"/>
        <v>217.17711805555882</v>
      </c>
      <c r="AN72" s="12">
        <f t="shared" si="18"/>
        <v>394.79166666666424</v>
      </c>
      <c r="AO72">
        <f t="shared" si="19"/>
        <v>0</v>
      </c>
    </row>
    <row r="73" spans="1:41" x14ac:dyDescent="0.35">
      <c r="A73" t="s">
        <v>23</v>
      </c>
      <c r="B73" t="s">
        <v>179</v>
      </c>
      <c r="C73" t="s">
        <v>54</v>
      </c>
      <c r="D73" t="s">
        <v>44</v>
      </c>
      <c r="E73" t="s">
        <v>45</v>
      </c>
      <c r="F73" t="s">
        <v>28</v>
      </c>
      <c r="G73">
        <v>1</v>
      </c>
      <c r="H73" t="s">
        <v>180</v>
      </c>
      <c r="I73" t="s">
        <v>30</v>
      </c>
      <c r="J73" t="s">
        <v>31</v>
      </c>
      <c r="K73" t="s">
        <v>38</v>
      </c>
      <c r="L73" t="s">
        <v>39</v>
      </c>
      <c r="N73" s="2">
        <v>44908.434062499997</v>
      </c>
      <c r="O73" s="2">
        <v>45163.166666666664</v>
      </c>
      <c r="P73" s="2">
        <v>45324.208333333336</v>
      </c>
      <c r="Q73" s="2">
        <v>45322</v>
      </c>
      <c r="R73" s="2">
        <v>45322.627407569445</v>
      </c>
      <c r="T73" s="2">
        <v>45113.166666666664</v>
      </c>
      <c r="U73" s="2">
        <v>45139.166666666664</v>
      </c>
      <c r="V73" s="2">
        <v>45139.166666666664</v>
      </c>
      <c r="W73" s="2">
        <v>45282.208333333336</v>
      </c>
      <c r="X73" s="3">
        <f t="shared" si="10"/>
        <v>26</v>
      </c>
      <c r="Y73">
        <f t="shared" si="11"/>
        <v>143.04166666667152</v>
      </c>
      <c r="Z73">
        <f t="shared" si="12"/>
        <v>169.04166666667152</v>
      </c>
      <c r="AA73">
        <f t="shared" si="13"/>
        <v>413.5659375000032</v>
      </c>
      <c r="AB73">
        <f t="shared" si="14"/>
        <v>244.52427083333168</v>
      </c>
      <c r="AC73">
        <f>IFERROR(_xlfn.XLOOKUP(B73, HoldSummary!$A:$A, HoldSummary!B:B), 0)</f>
        <v>0</v>
      </c>
      <c r="AD73">
        <f>IFERROR(_xlfn.XLOOKUP(B73, HoldSummary!$A:$A, HoldSummary!C:C), 0)</f>
        <v>0</v>
      </c>
      <c r="AE73">
        <f>IFERROR(_xlfn.XLOOKUP(B73, HoldSummary!$A:$A, HoldSummary!D:D), 0)</f>
        <v>0</v>
      </c>
      <c r="AF73">
        <f>IFERROR(_xlfn.XLOOKUP(B73, HoldSummary!$A:$A, HoldSummary!E:E), 0)</f>
        <v>0</v>
      </c>
      <c r="AG73">
        <f>IFERROR(_xlfn.XLOOKUP(B73, HoldSummary!$A:$A, HoldSummary!F:F), 0)</f>
        <v>0</v>
      </c>
      <c r="AH73">
        <f>IFERROR(_xlfn.XLOOKUP(B73, HoldSummary!$A:$A, HoldSummary!G:G), 0)</f>
        <v>9</v>
      </c>
      <c r="AI73">
        <f>IFERROR(_xlfn.XLOOKUP(B73, HoldSummary!$A:$A, HoldSummary!H:H), 0)</f>
        <v>0</v>
      </c>
      <c r="AJ73">
        <f>IFERROR(_xlfn.XLOOKUP(B73, HoldSummary!$A:$A, HoldSummary!I:I), 0)</f>
        <v>0</v>
      </c>
      <c r="AK73">
        <f t="shared" si="15"/>
        <v>9</v>
      </c>
      <c r="AL73">
        <f t="shared" si="16"/>
        <v>404.5659375000032</v>
      </c>
      <c r="AM73">
        <f t="shared" si="17"/>
        <v>235.52427083333168</v>
      </c>
      <c r="AN73" s="12">
        <f t="shared" si="18"/>
        <v>158.83333333333576</v>
      </c>
      <c r="AO73">
        <f t="shared" si="19"/>
        <v>0</v>
      </c>
    </row>
    <row r="74" spans="1:41" x14ac:dyDescent="0.35">
      <c r="A74" t="s">
        <v>23</v>
      </c>
      <c r="B74" t="s">
        <v>181</v>
      </c>
      <c r="C74" t="s">
        <v>113</v>
      </c>
      <c r="D74" t="s">
        <v>44</v>
      </c>
      <c r="E74" t="s">
        <v>45</v>
      </c>
      <c r="F74" t="s">
        <v>28</v>
      </c>
      <c r="G74">
        <v>1</v>
      </c>
      <c r="H74" t="s">
        <v>182</v>
      </c>
      <c r="I74" t="s">
        <v>30</v>
      </c>
      <c r="J74" t="s">
        <v>31</v>
      </c>
      <c r="K74" t="s">
        <v>38</v>
      </c>
      <c r="L74" t="s">
        <v>39</v>
      </c>
      <c r="N74" s="2">
        <v>45187.788773148146</v>
      </c>
      <c r="O74" s="2">
        <v>45310.208333333336</v>
      </c>
      <c r="P74" s="2">
        <v>45331.208333333336</v>
      </c>
      <c r="Q74" s="2">
        <v>45320</v>
      </c>
      <c r="R74" s="2">
        <v>45321.573518391204</v>
      </c>
      <c r="S74" t="s">
        <v>115</v>
      </c>
      <c r="T74" s="2">
        <v>45217.166666666664</v>
      </c>
      <c r="U74" s="2">
        <v>45236.208333333336</v>
      </c>
      <c r="V74" s="2">
        <v>45236.208333333336</v>
      </c>
      <c r="W74" s="2">
        <v>45236.208333333336</v>
      </c>
      <c r="X74" s="3">
        <f t="shared" si="10"/>
        <v>19.041666666671517</v>
      </c>
      <c r="Y74">
        <f t="shared" si="11"/>
        <v>0</v>
      </c>
      <c r="Z74">
        <f t="shared" si="12"/>
        <v>19.041666666671517</v>
      </c>
      <c r="AA74">
        <f t="shared" si="13"/>
        <v>132.21122685185401</v>
      </c>
      <c r="AB74">
        <f t="shared" si="14"/>
        <v>113.16956018518249</v>
      </c>
      <c r="AC74">
        <f>IFERROR(_xlfn.XLOOKUP(B74, HoldSummary!$A:$A, HoldSummary!B:B), 0)</f>
        <v>0</v>
      </c>
      <c r="AD74">
        <f>IFERROR(_xlfn.XLOOKUP(B74, HoldSummary!$A:$A, HoldSummary!C:C), 0)</f>
        <v>0</v>
      </c>
      <c r="AE74">
        <f>IFERROR(_xlfn.XLOOKUP(B74, HoldSummary!$A:$A, HoldSummary!D:D), 0)</f>
        <v>0</v>
      </c>
      <c r="AF74">
        <f>IFERROR(_xlfn.XLOOKUP(B74, HoldSummary!$A:$A, HoldSummary!E:E), 0)</f>
        <v>0</v>
      </c>
      <c r="AG74">
        <f>IFERROR(_xlfn.XLOOKUP(B74, HoldSummary!$A:$A, HoldSummary!F:F), 0)</f>
        <v>0</v>
      </c>
      <c r="AH74">
        <f>IFERROR(_xlfn.XLOOKUP(B74, HoldSummary!$A:$A, HoldSummary!G:G), 0)</f>
        <v>0</v>
      </c>
      <c r="AI74">
        <f>IFERROR(_xlfn.XLOOKUP(B74, HoldSummary!$A:$A, HoldSummary!H:H), 0)</f>
        <v>0</v>
      </c>
      <c r="AJ74">
        <f>IFERROR(_xlfn.XLOOKUP(B74, HoldSummary!$A:$A, HoldSummary!I:I), 0)</f>
        <v>10</v>
      </c>
      <c r="AK74">
        <f t="shared" si="15"/>
        <v>10</v>
      </c>
      <c r="AL74">
        <f t="shared" si="16"/>
        <v>122.21122685185401</v>
      </c>
      <c r="AM74">
        <f t="shared" si="17"/>
        <v>103.16956018518249</v>
      </c>
      <c r="AN74" s="12">
        <f t="shared" si="18"/>
        <v>9.7916666666642413</v>
      </c>
      <c r="AO74">
        <f t="shared" si="19"/>
        <v>0</v>
      </c>
    </row>
    <row r="75" spans="1:41" x14ac:dyDescent="0.35">
      <c r="A75" t="s">
        <v>23</v>
      </c>
      <c r="B75" t="s">
        <v>183</v>
      </c>
      <c r="C75" t="s">
        <v>54</v>
      </c>
      <c r="D75" t="s">
        <v>44</v>
      </c>
      <c r="E75" t="s">
        <v>44</v>
      </c>
      <c r="F75" t="s">
        <v>28</v>
      </c>
      <c r="G75">
        <v>1</v>
      </c>
      <c r="H75" t="s">
        <v>184</v>
      </c>
      <c r="I75" t="s">
        <v>30</v>
      </c>
      <c r="J75" t="s">
        <v>70</v>
      </c>
      <c r="K75" t="s">
        <v>48</v>
      </c>
      <c r="L75" t="s">
        <v>185</v>
      </c>
      <c r="N75" s="2">
        <v>45147.166666666664</v>
      </c>
      <c r="O75" s="2">
        <v>45282.208333333336</v>
      </c>
      <c r="P75" s="2">
        <v>45665.208333333336</v>
      </c>
      <c r="Q75" s="2">
        <v>45664</v>
      </c>
      <c r="R75" s="2">
        <v>45665.594587557869</v>
      </c>
      <c r="S75" t="s">
        <v>186</v>
      </c>
      <c r="T75" s="2">
        <v>45203.166666666664</v>
      </c>
      <c r="U75" s="2">
        <v>45565.166666666664</v>
      </c>
      <c r="V75" s="2">
        <v>45565.166666666664</v>
      </c>
      <c r="W75" s="2">
        <v>45648.208333333336</v>
      </c>
      <c r="X75" s="3">
        <f t="shared" si="10"/>
        <v>362</v>
      </c>
      <c r="Y75">
        <f t="shared" si="11"/>
        <v>83.041666666671517</v>
      </c>
      <c r="Z75">
        <f t="shared" si="12"/>
        <v>445.04166666667152</v>
      </c>
      <c r="AA75">
        <f t="shared" si="13"/>
        <v>516.83333333333576</v>
      </c>
      <c r="AB75">
        <f t="shared" si="14"/>
        <v>71.791666666664241</v>
      </c>
      <c r="AC75">
        <f>IFERROR(_xlfn.XLOOKUP(B75, HoldSummary!$A:$A, HoldSummary!B:B), 0)</f>
        <v>0</v>
      </c>
      <c r="AD75">
        <f>IFERROR(_xlfn.XLOOKUP(B75, HoldSummary!$A:$A, HoldSummary!C:C), 0)</f>
        <v>0</v>
      </c>
      <c r="AE75">
        <f>IFERROR(_xlfn.XLOOKUP(B75, HoldSummary!$A:$A, HoldSummary!D:D), 0)</f>
        <v>0</v>
      </c>
      <c r="AF75">
        <f>IFERROR(_xlfn.XLOOKUP(B75, HoldSummary!$A:$A, HoldSummary!E:E), 0)</f>
        <v>0</v>
      </c>
      <c r="AG75">
        <f>IFERROR(_xlfn.XLOOKUP(B75, HoldSummary!$A:$A, HoldSummary!F:F), 0)</f>
        <v>0</v>
      </c>
      <c r="AH75">
        <f>IFERROR(_xlfn.XLOOKUP(B75, HoldSummary!$A:$A, HoldSummary!G:G), 0)</f>
        <v>208.99278038194461</v>
      </c>
      <c r="AI75">
        <f>IFERROR(_xlfn.XLOOKUP(B75, HoldSummary!$A:$A, HoldSummary!H:H), 0)</f>
        <v>14.163330127310473</v>
      </c>
      <c r="AJ75">
        <f>IFERROR(_xlfn.XLOOKUP(B75, HoldSummary!$A:$A, HoldSummary!I:I), 0)</f>
        <v>0</v>
      </c>
      <c r="AK75">
        <f t="shared" si="15"/>
        <v>223.15611050925509</v>
      </c>
      <c r="AL75">
        <f t="shared" si="16"/>
        <v>293.67722282408067</v>
      </c>
      <c r="AM75">
        <f t="shared" si="17"/>
        <v>-151.36444384259084</v>
      </c>
      <c r="AN75" s="12">
        <f t="shared" si="18"/>
        <v>381.79166666666424</v>
      </c>
      <c r="AO75">
        <f t="shared" si="19"/>
        <v>0</v>
      </c>
    </row>
    <row r="76" spans="1:41" x14ac:dyDescent="0.35">
      <c r="A76" t="s">
        <v>23</v>
      </c>
      <c r="B76" t="s">
        <v>187</v>
      </c>
      <c r="C76" t="s">
        <v>135</v>
      </c>
      <c r="D76" t="s">
        <v>44</v>
      </c>
      <c r="E76" t="s">
        <v>44</v>
      </c>
      <c r="F76" t="s">
        <v>28</v>
      </c>
      <c r="G76">
        <v>1</v>
      </c>
      <c r="H76" t="s">
        <v>188</v>
      </c>
      <c r="I76" t="s">
        <v>30</v>
      </c>
      <c r="J76" t="s">
        <v>70</v>
      </c>
      <c r="K76" t="s">
        <v>32</v>
      </c>
      <c r="L76" t="s">
        <v>32</v>
      </c>
      <c r="N76" s="2">
        <v>45196.166666666664</v>
      </c>
      <c r="O76" s="2">
        <v>45226.166666666664</v>
      </c>
      <c r="P76" s="2">
        <v>45351.208333333336</v>
      </c>
      <c r="Q76" s="2">
        <v>45349</v>
      </c>
      <c r="R76" s="2">
        <v>45352.086733310185</v>
      </c>
      <c r="S76" t="s">
        <v>189</v>
      </c>
      <c r="T76" s="2"/>
      <c r="U76" s="2"/>
      <c r="V76" s="2"/>
      <c r="W76" s="2"/>
      <c r="X76" s="3" t="str">
        <f t="shared" si="10"/>
        <v/>
      </c>
      <c r="Y76" t="str">
        <f t="shared" si="11"/>
        <v/>
      </c>
      <c r="Z76">
        <f t="shared" si="12"/>
        <v>0</v>
      </c>
      <c r="AA76">
        <f t="shared" si="13"/>
        <v>152.83333333333576</v>
      </c>
      <c r="AB76">
        <f t="shared" si="14"/>
        <v>152.83333333333576</v>
      </c>
      <c r="AC76">
        <f>IFERROR(_xlfn.XLOOKUP(B76, HoldSummary!$A:$A, HoldSummary!B:B), 0)</f>
        <v>0</v>
      </c>
      <c r="AD76">
        <f>IFERROR(_xlfn.XLOOKUP(B76, HoldSummary!$A:$A, HoldSummary!C:C), 0)</f>
        <v>0</v>
      </c>
      <c r="AE76">
        <f>IFERROR(_xlfn.XLOOKUP(B76, HoldSummary!$A:$A, HoldSummary!D:D), 0)</f>
        <v>0</v>
      </c>
      <c r="AF76">
        <f>IFERROR(_xlfn.XLOOKUP(B76, HoldSummary!$A:$A, HoldSummary!E:E), 0)</f>
        <v>0</v>
      </c>
      <c r="AG76">
        <f>IFERROR(_xlfn.XLOOKUP(B76, HoldSummary!$A:$A, HoldSummary!F:F), 0)</f>
        <v>0</v>
      </c>
      <c r="AH76">
        <f>IFERROR(_xlfn.XLOOKUP(B76, HoldSummary!$A:$A, HoldSummary!G:G), 0)</f>
        <v>0</v>
      </c>
      <c r="AI76">
        <f>IFERROR(_xlfn.XLOOKUP(B76, HoldSummary!$A:$A, HoldSummary!H:H), 0)</f>
        <v>0</v>
      </c>
      <c r="AJ76">
        <f>IFERROR(_xlfn.XLOOKUP(B76, HoldSummary!$A:$A, HoldSummary!I:I), 0)</f>
        <v>0</v>
      </c>
      <c r="AK76">
        <f t="shared" si="15"/>
        <v>0</v>
      </c>
      <c r="AL76">
        <f t="shared" si="16"/>
        <v>152.83333333333576</v>
      </c>
      <c r="AM76">
        <f t="shared" si="17"/>
        <v>152.83333333333576</v>
      </c>
      <c r="AN76" s="12">
        <f t="shared" si="18"/>
        <v>122.83333333333576</v>
      </c>
      <c r="AO76">
        <f t="shared" si="19"/>
        <v>0</v>
      </c>
    </row>
    <row r="77" spans="1:41" x14ac:dyDescent="0.35">
      <c r="A77" t="s">
        <v>23</v>
      </c>
      <c r="B77" t="s">
        <v>190</v>
      </c>
      <c r="C77" t="s">
        <v>130</v>
      </c>
      <c r="D77" t="s">
        <v>44</v>
      </c>
      <c r="E77" t="s">
        <v>45</v>
      </c>
      <c r="F77" t="s">
        <v>28</v>
      </c>
      <c r="G77">
        <v>1</v>
      </c>
      <c r="H77" t="s">
        <v>191</v>
      </c>
      <c r="I77" t="s">
        <v>30</v>
      </c>
      <c r="J77" t="s">
        <v>31</v>
      </c>
      <c r="K77" t="s">
        <v>48</v>
      </c>
      <c r="L77" t="s">
        <v>192</v>
      </c>
      <c r="N77" s="2">
        <v>45225.676840277774</v>
      </c>
      <c r="O77" s="2">
        <v>45317.208333333336</v>
      </c>
      <c r="P77" s="2">
        <v>45463.166666666664</v>
      </c>
      <c r="Q77" s="2">
        <v>45457</v>
      </c>
      <c r="R77" s="2">
        <v>45457.59586976852</v>
      </c>
      <c r="S77" t="s">
        <v>193</v>
      </c>
      <c r="T77" s="2">
        <v>45314.208333333336</v>
      </c>
      <c r="U77" s="2">
        <v>45351.208333333336</v>
      </c>
      <c r="V77" s="2">
        <v>45351.208333333336</v>
      </c>
      <c r="W77" s="2">
        <v>45455.166666666664</v>
      </c>
      <c r="X77" s="3">
        <f t="shared" si="10"/>
        <v>37</v>
      </c>
      <c r="Y77">
        <f t="shared" si="11"/>
        <v>103.95833333332848</v>
      </c>
      <c r="Z77">
        <f t="shared" si="12"/>
        <v>140.95833333332848</v>
      </c>
      <c r="AA77">
        <f t="shared" si="13"/>
        <v>231.32315972222568</v>
      </c>
      <c r="AB77">
        <f t="shared" si="14"/>
        <v>90.3648263888972</v>
      </c>
      <c r="AC77">
        <f>IFERROR(_xlfn.XLOOKUP(B77, HoldSummary!$A:$A, HoldSummary!B:B), 0)</f>
        <v>0</v>
      </c>
      <c r="AD77">
        <f>IFERROR(_xlfn.XLOOKUP(B77, HoldSummary!$A:$A, HoldSummary!C:C), 0)</f>
        <v>0</v>
      </c>
      <c r="AE77">
        <f>IFERROR(_xlfn.XLOOKUP(B77, HoldSummary!$A:$A, HoldSummary!D:D), 0)</f>
        <v>0</v>
      </c>
      <c r="AF77">
        <f>IFERROR(_xlfn.XLOOKUP(B77, HoldSummary!$A:$A, HoldSummary!E:E), 0)</f>
        <v>0</v>
      </c>
      <c r="AG77">
        <f>IFERROR(_xlfn.XLOOKUP(B77, HoldSummary!$A:$A, HoldSummary!F:F), 0)</f>
        <v>0</v>
      </c>
      <c r="AH77">
        <f>IFERROR(_xlfn.XLOOKUP(B77, HoldSummary!$A:$A, HoldSummary!G:G), 0)</f>
        <v>0</v>
      </c>
      <c r="AI77">
        <f>IFERROR(_xlfn.XLOOKUP(B77, HoldSummary!$A:$A, HoldSummary!H:H), 0)</f>
        <v>0</v>
      </c>
      <c r="AJ77">
        <f>IFERROR(_xlfn.XLOOKUP(B77, HoldSummary!$A:$A, HoldSummary!I:I), 0)</f>
        <v>0</v>
      </c>
      <c r="AK77">
        <f t="shared" si="15"/>
        <v>0</v>
      </c>
      <c r="AL77">
        <f t="shared" si="16"/>
        <v>231.32315972222568</v>
      </c>
      <c r="AM77">
        <f t="shared" si="17"/>
        <v>90.3648263888972</v>
      </c>
      <c r="AN77" s="12">
        <f t="shared" si="18"/>
        <v>139.79166666666424</v>
      </c>
      <c r="AO77">
        <f t="shared" si="19"/>
        <v>0</v>
      </c>
    </row>
    <row r="78" spans="1:41" x14ac:dyDescent="0.35">
      <c r="A78" t="s">
        <v>23</v>
      </c>
      <c r="B78" t="s">
        <v>194</v>
      </c>
      <c r="C78" t="s">
        <v>113</v>
      </c>
      <c r="D78" t="s">
        <v>44</v>
      </c>
      <c r="E78" t="s">
        <v>45</v>
      </c>
      <c r="F78" t="s">
        <v>28</v>
      </c>
      <c r="G78">
        <v>1</v>
      </c>
      <c r="H78" t="s">
        <v>195</v>
      </c>
      <c r="I78" t="s">
        <v>30</v>
      </c>
      <c r="J78" t="s">
        <v>31</v>
      </c>
      <c r="K78" t="s">
        <v>38</v>
      </c>
      <c r="L78" t="s">
        <v>39</v>
      </c>
      <c r="N78" s="2">
        <v>45236.671180555553</v>
      </c>
      <c r="O78" s="2">
        <v>45371.166666666664</v>
      </c>
      <c r="P78" s="2">
        <v>45408.166666666664</v>
      </c>
      <c r="Q78" s="2">
        <v>45405</v>
      </c>
      <c r="R78" s="2">
        <v>45405.892162627315</v>
      </c>
      <c r="S78" t="s">
        <v>127</v>
      </c>
      <c r="T78" s="2">
        <v>45261.208333333336</v>
      </c>
      <c r="U78" s="2">
        <v>45323.208333333336</v>
      </c>
      <c r="V78" s="2">
        <v>45323.208333333336</v>
      </c>
      <c r="W78" s="2">
        <v>45373.166666666664</v>
      </c>
      <c r="X78" s="3">
        <f t="shared" si="10"/>
        <v>62</v>
      </c>
      <c r="Y78">
        <f t="shared" si="11"/>
        <v>49.958333333328483</v>
      </c>
      <c r="Z78">
        <f t="shared" si="12"/>
        <v>111.95833333332848</v>
      </c>
      <c r="AA78">
        <f t="shared" si="13"/>
        <v>168.32881944444671</v>
      </c>
      <c r="AB78">
        <f t="shared" si="14"/>
        <v>56.370486111118225</v>
      </c>
      <c r="AC78">
        <f>IFERROR(_xlfn.XLOOKUP(B78, HoldSummary!$A:$A, HoldSummary!B:B), 0)</f>
        <v>0</v>
      </c>
      <c r="AD78">
        <f>IFERROR(_xlfn.XLOOKUP(B78, HoldSummary!$A:$A, HoldSummary!C:C), 0)</f>
        <v>0</v>
      </c>
      <c r="AE78">
        <f>IFERROR(_xlfn.XLOOKUP(B78, HoldSummary!$A:$A, HoldSummary!D:D), 0)</f>
        <v>0</v>
      </c>
      <c r="AF78">
        <f>IFERROR(_xlfn.XLOOKUP(B78, HoldSummary!$A:$A, HoldSummary!E:E), 0)</f>
        <v>0</v>
      </c>
      <c r="AG78">
        <f>IFERROR(_xlfn.XLOOKUP(B78, HoldSummary!$A:$A, HoldSummary!F:F), 0)</f>
        <v>0</v>
      </c>
      <c r="AH78">
        <f>IFERROR(_xlfn.XLOOKUP(B78, HoldSummary!$A:$A, HoldSummary!G:G), 0)</f>
        <v>20</v>
      </c>
      <c r="AI78">
        <f>IFERROR(_xlfn.XLOOKUP(B78, HoldSummary!$A:$A, HoldSummary!H:H), 0)</f>
        <v>0</v>
      </c>
      <c r="AJ78">
        <f>IFERROR(_xlfn.XLOOKUP(B78, HoldSummary!$A:$A, HoldSummary!I:I), 0)</f>
        <v>0</v>
      </c>
      <c r="AK78">
        <f t="shared" si="15"/>
        <v>20</v>
      </c>
      <c r="AL78">
        <f t="shared" si="16"/>
        <v>148.32881944444671</v>
      </c>
      <c r="AM78">
        <f t="shared" si="17"/>
        <v>36.370486111118225</v>
      </c>
      <c r="AN78" s="12">
        <f t="shared" si="18"/>
        <v>33.833333333335759</v>
      </c>
      <c r="AO78">
        <f t="shared" si="19"/>
        <v>0</v>
      </c>
    </row>
    <row r="79" spans="1:41" x14ac:dyDescent="0.35">
      <c r="A79" t="s">
        <v>23</v>
      </c>
      <c r="B79" t="s">
        <v>196</v>
      </c>
      <c r="C79" t="s">
        <v>135</v>
      </c>
      <c r="D79" t="s">
        <v>44</v>
      </c>
      <c r="E79" t="s">
        <v>45</v>
      </c>
      <c r="F79" t="s">
        <v>28</v>
      </c>
      <c r="G79">
        <v>1</v>
      </c>
      <c r="H79" t="s">
        <v>197</v>
      </c>
      <c r="I79" t="s">
        <v>30</v>
      </c>
      <c r="J79" t="s">
        <v>31</v>
      </c>
      <c r="K79" t="s">
        <v>32</v>
      </c>
      <c r="L79" t="s">
        <v>32</v>
      </c>
      <c r="N79" s="2">
        <v>45215.585613425923</v>
      </c>
      <c r="O79" s="2">
        <v>45364.166666666664</v>
      </c>
      <c r="P79" s="2">
        <v>45394.166666666664</v>
      </c>
      <c r="Q79" s="2">
        <v>45391</v>
      </c>
      <c r="R79" s="2">
        <v>45392.023454444447</v>
      </c>
      <c r="S79" t="s">
        <v>198</v>
      </c>
      <c r="T79" s="2">
        <v>45273.208333333336</v>
      </c>
      <c r="U79" s="2">
        <v>45310.208333333336</v>
      </c>
      <c r="V79" s="2">
        <v>45310.208333333336</v>
      </c>
      <c r="W79" s="2">
        <v>45386.166666666664</v>
      </c>
      <c r="X79" s="3">
        <f t="shared" si="10"/>
        <v>37</v>
      </c>
      <c r="Y79">
        <f t="shared" si="11"/>
        <v>75.958333333328483</v>
      </c>
      <c r="Z79">
        <f t="shared" si="12"/>
        <v>112.95833333332848</v>
      </c>
      <c r="AA79">
        <f t="shared" si="13"/>
        <v>175.41438657407707</v>
      </c>
      <c r="AB79">
        <f t="shared" si="14"/>
        <v>62.456053240748588</v>
      </c>
      <c r="AC79">
        <f>IFERROR(_xlfn.XLOOKUP(B79, HoldSummary!$A:$A, HoldSummary!B:B), 0)</f>
        <v>0</v>
      </c>
      <c r="AD79">
        <f>IFERROR(_xlfn.XLOOKUP(B79, HoldSummary!$A:$A, HoldSummary!C:C), 0)</f>
        <v>0</v>
      </c>
      <c r="AE79">
        <f>IFERROR(_xlfn.XLOOKUP(B79, HoldSummary!$A:$A, HoldSummary!D:D), 0)</f>
        <v>0</v>
      </c>
      <c r="AF79">
        <f>IFERROR(_xlfn.XLOOKUP(B79, HoldSummary!$A:$A, HoldSummary!E:E), 0)</f>
        <v>0</v>
      </c>
      <c r="AG79">
        <f>IFERROR(_xlfn.XLOOKUP(B79, HoldSummary!$A:$A, HoldSummary!F:F), 0)</f>
        <v>0</v>
      </c>
      <c r="AH79">
        <f>IFERROR(_xlfn.XLOOKUP(B79, HoldSummary!$A:$A, HoldSummary!G:G), 0)</f>
        <v>22</v>
      </c>
      <c r="AI79">
        <f>IFERROR(_xlfn.XLOOKUP(B79, HoldSummary!$A:$A, HoldSummary!H:H), 0)</f>
        <v>0</v>
      </c>
      <c r="AJ79">
        <f>IFERROR(_xlfn.XLOOKUP(B79, HoldSummary!$A:$A, HoldSummary!I:I), 0)</f>
        <v>0</v>
      </c>
      <c r="AK79">
        <f t="shared" si="15"/>
        <v>22</v>
      </c>
      <c r="AL79">
        <f t="shared" si="16"/>
        <v>153.41438657407707</v>
      </c>
      <c r="AM79">
        <f t="shared" si="17"/>
        <v>40.456053240748588</v>
      </c>
      <c r="AN79" s="12">
        <f t="shared" si="18"/>
        <v>26.833333333335759</v>
      </c>
      <c r="AO79">
        <f t="shared" si="19"/>
        <v>0</v>
      </c>
    </row>
    <row r="80" spans="1:41" x14ac:dyDescent="0.35">
      <c r="A80" t="s">
        <v>23</v>
      </c>
      <c r="B80" t="s">
        <v>199</v>
      </c>
      <c r="C80" t="s">
        <v>76</v>
      </c>
      <c r="D80" t="s">
        <v>44</v>
      </c>
      <c r="E80" t="s">
        <v>45</v>
      </c>
      <c r="F80" t="s">
        <v>28</v>
      </c>
      <c r="G80">
        <v>1</v>
      </c>
      <c r="H80" t="s">
        <v>200</v>
      </c>
      <c r="I80" t="s">
        <v>30</v>
      </c>
      <c r="J80" t="s">
        <v>31</v>
      </c>
      <c r="K80" t="s">
        <v>38</v>
      </c>
      <c r="L80" t="s">
        <v>39</v>
      </c>
      <c r="N80" s="2">
        <v>45271.985520833332</v>
      </c>
      <c r="O80" s="2">
        <v>45344.208333333336</v>
      </c>
      <c r="P80" s="2">
        <v>45344.208333333336</v>
      </c>
      <c r="Q80" s="2">
        <v>45331</v>
      </c>
      <c r="R80" s="2">
        <v>45331.79544671296</v>
      </c>
      <c r="S80" t="s">
        <v>119</v>
      </c>
      <c r="T80" s="2">
        <v>45300.208333333336</v>
      </c>
      <c r="U80" s="2">
        <v>45301.208333333336</v>
      </c>
      <c r="V80" s="2">
        <v>45301.208333333336</v>
      </c>
      <c r="W80" s="2">
        <v>45329.208333333336</v>
      </c>
      <c r="X80" s="3">
        <f t="shared" si="10"/>
        <v>1</v>
      </c>
      <c r="Y80">
        <f t="shared" si="11"/>
        <v>28</v>
      </c>
      <c r="Z80">
        <f t="shared" si="12"/>
        <v>29</v>
      </c>
      <c r="AA80">
        <f t="shared" si="13"/>
        <v>59.014479166668025</v>
      </c>
      <c r="AB80">
        <f t="shared" si="14"/>
        <v>30.014479166668025</v>
      </c>
      <c r="AC80">
        <f>IFERROR(_xlfn.XLOOKUP(B80, HoldSummary!$A:$A, HoldSummary!B:B), 0)</f>
        <v>0</v>
      </c>
      <c r="AD80">
        <f>IFERROR(_xlfn.XLOOKUP(B80, HoldSummary!$A:$A, HoldSummary!C:C), 0)</f>
        <v>0</v>
      </c>
      <c r="AE80">
        <f>IFERROR(_xlfn.XLOOKUP(B80, HoldSummary!$A:$A, HoldSummary!D:D), 0)</f>
        <v>0</v>
      </c>
      <c r="AF80">
        <f>IFERROR(_xlfn.XLOOKUP(B80, HoldSummary!$A:$A, HoldSummary!E:E), 0)</f>
        <v>0</v>
      </c>
      <c r="AG80">
        <f>IFERROR(_xlfn.XLOOKUP(B80, HoldSummary!$A:$A, HoldSummary!F:F), 0)</f>
        <v>0</v>
      </c>
      <c r="AH80">
        <f>IFERROR(_xlfn.XLOOKUP(B80, HoldSummary!$A:$A, HoldSummary!G:G), 0)</f>
        <v>0</v>
      </c>
      <c r="AI80">
        <f>IFERROR(_xlfn.XLOOKUP(B80, HoldSummary!$A:$A, HoldSummary!H:H), 0)</f>
        <v>0</v>
      </c>
      <c r="AJ80">
        <f>IFERROR(_xlfn.XLOOKUP(B80, HoldSummary!$A:$A, HoldSummary!I:I), 0)</f>
        <v>0</v>
      </c>
      <c r="AK80">
        <f t="shared" si="15"/>
        <v>0</v>
      </c>
      <c r="AL80">
        <f t="shared" si="16"/>
        <v>59.014479166668025</v>
      </c>
      <c r="AM80">
        <f t="shared" si="17"/>
        <v>30.014479166668025</v>
      </c>
      <c r="AN80" s="12">
        <f t="shared" si="18"/>
        <v>-13.208333333335759</v>
      </c>
      <c r="AO80">
        <f t="shared" si="19"/>
        <v>1</v>
      </c>
    </row>
    <row r="81" spans="1:41" x14ac:dyDescent="0.35">
      <c r="A81" t="s">
        <v>23</v>
      </c>
      <c r="B81" t="s">
        <v>201</v>
      </c>
      <c r="C81" t="s">
        <v>54</v>
      </c>
      <c r="D81" t="s">
        <v>44</v>
      </c>
      <c r="E81" t="s">
        <v>45</v>
      </c>
      <c r="F81" t="s">
        <v>28</v>
      </c>
      <c r="G81">
        <v>1</v>
      </c>
      <c r="H81" t="s">
        <v>202</v>
      </c>
      <c r="I81" t="s">
        <v>30</v>
      </c>
      <c r="J81" t="s">
        <v>31</v>
      </c>
      <c r="K81" t="s">
        <v>38</v>
      </c>
      <c r="L81" t="s">
        <v>39</v>
      </c>
      <c r="N81" s="2">
        <v>45268.557523148149</v>
      </c>
      <c r="O81" s="2">
        <v>45359.208333333336</v>
      </c>
      <c r="P81" s="2">
        <v>45345.208333333336</v>
      </c>
      <c r="Q81" s="2">
        <v>45317</v>
      </c>
      <c r="R81" s="2">
        <v>45317.669593935185</v>
      </c>
      <c r="T81" s="2">
        <v>45300.208333333336</v>
      </c>
      <c r="U81" s="2">
        <v>45300.208333333336</v>
      </c>
      <c r="V81" s="2">
        <v>45300.208333333336</v>
      </c>
      <c r="W81" s="2">
        <v>45300.208333333336</v>
      </c>
      <c r="X81" s="3">
        <f t="shared" si="10"/>
        <v>0</v>
      </c>
      <c r="Y81">
        <f t="shared" si="11"/>
        <v>0</v>
      </c>
      <c r="Z81">
        <f t="shared" si="12"/>
        <v>0</v>
      </c>
      <c r="AA81">
        <f t="shared" si="13"/>
        <v>48.442476851851097</v>
      </c>
      <c r="AB81">
        <f t="shared" si="14"/>
        <v>48.442476851851097</v>
      </c>
      <c r="AC81">
        <f>IFERROR(_xlfn.XLOOKUP(B81, HoldSummary!$A:$A, HoldSummary!B:B), 0)</f>
        <v>0</v>
      </c>
      <c r="AD81">
        <f>IFERROR(_xlfn.XLOOKUP(B81, HoldSummary!$A:$A, HoldSummary!C:C), 0)</f>
        <v>0</v>
      </c>
      <c r="AE81">
        <f>IFERROR(_xlfn.XLOOKUP(B81, HoldSummary!$A:$A, HoldSummary!D:D), 0)</f>
        <v>0</v>
      </c>
      <c r="AF81">
        <f>IFERROR(_xlfn.XLOOKUP(B81, HoldSummary!$A:$A, HoldSummary!E:E), 0)</f>
        <v>0</v>
      </c>
      <c r="AG81">
        <f>IFERROR(_xlfn.XLOOKUP(B81, HoldSummary!$A:$A, HoldSummary!F:F), 0)</f>
        <v>0</v>
      </c>
      <c r="AH81">
        <f>IFERROR(_xlfn.XLOOKUP(B81, HoldSummary!$A:$A, HoldSummary!G:G), 0)</f>
        <v>0</v>
      </c>
      <c r="AI81">
        <f>IFERROR(_xlfn.XLOOKUP(B81, HoldSummary!$A:$A, HoldSummary!H:H), 0)</f>
        <v>0</v>
      </c>
      <c r="AJ81">
        <f>IFERROR(_xlfn.XLOOKUP(B81, HoldSummary!$A:$A, HoldSummary!I:I), 0)</f>
        <v>0</v>
      </c>
      <c r="AK81">
        <f t="shared" si="15"/>
        <v>0</v>
      </c>
      <c r="AL81">
        <f t="shared" si="16"/>
        <v>48.442476851851097</v>
      </c>
      <c r="AM81">
        <f t="shared" si="17"/>
        <v>48.442476851851097</v>
      </c>
      <c r="AN81" s="12">
        <f t="shared" si="18"/>
        <v>-42.208333333335759</v>
      </c>
      <c r="AO81">
        <f t="shared" si="19"/>
        <v>1</v>
      </c>
    </row>
    <row r="82" spans="1:41" x14ac:dyDescent="0.35">
      <c r="A82" t="s">
        <v>23</v>
      </c>
      <c r="B82" t="s">
        <v>203</v>
      </c>
      <c r="C82" t="s">
        <v>36</v>
      </c>
      <c r="D82" t="s">
        <v>44</v>
      </c>
      <c r="E82" t="s">
        <v>44</v>
      </c>
      <c r="F82" t="s">
        <v>28</v>
      </c>
      <c r="G82">
        <v>1</v>
      </c>
      <c r="H82" t="s">
        <v>204</v>
      </c>
      <c r="I82" t="s">
        <v>30</v>
      </c>
      <c r="J82" t="s">
        <v>70</v>
      </c>
      <c r="K82" t="s">
        <v>48</v>
      </c>
      <c r="L82" t="s">
        <v>185</v>
      </c>
      <c r="N82" s="2">
        <v>45302.208333333336</v>
      </c>
      <c r="O82" s="2">
        <v>45397.166666666664</v>
      </c>
      <c r="P82" s="2">
        <v>45646.208333333336</v>
      </c>
      <c r="Q82" s="2">
        <v>45645</v>
      </c>
      <c r="R82" s="2">
        <v>45645.80102003472</v>
      </c>
      <c r="S82" t="s">
        <v>205</v>
      </c>
      <c r="T82" s="2"/>
      <c r="U82" s="2"/>
      <c r="V82" s="2"/>
      <c r="W82" s="2"/>
      <c r="X82" s="3" t="str">
        <f t="shared" si="10"/>
        <v/>
      </c>
      <c r="Y82" t="str">
        <f t="shared" si="11"/>
        <v/>
      </c>
      <c r="Z82">
        <f t="shared" si="12"/>
        <v>0</v>
      </c>
      <c r="AA82">
        <f t="shared" si="13"/>
        <v>342.79166666666424</v>
      </c>
      <c r="AB82">
        <f t="shared" si="14"/>
        <v>342.79166666666424</v>
      </c>
      <c r="AC82">
        <f>IFERROR(_xlfn.XLOOKUP(B82, HoldSummary!$A:$A, HoldSummary!B:B), 0)</f>
        <v>0</v>
      </c>
      <c r="AD82">
        <f>IFERROR(_xlfn.XLOOKUP(B82, HoldSummary!$A:$A, HoldSummary!C:C), 0)</f>
        <v>0</v>
      </c>
      <c r="AE82">
        <f>IFERROR(_xlfn.XLOOKUP(B82, HoldSummary!$A:$A, HoldSummary!D:D), 0)</f>
        <v>0</v>
      </c>
      <c r="AF82">
        <f>IFERROR(_xlfn.XLOOKUP(B82, HoldSummary!$A:$A, HoldSummary!E:E), 0)</f>
        <v>0</v>
      </c>
      <c r="AG82">
        <f>IFERROR(_xlfn.XLOOKUP(B82, HoldSummary!$A:$A, HoldSummary!F:F), 0)</f>
        <v>0</v>
      </c>
      <c r="AH82">
        <f>IFERROR(_xlfn.XLOOKUP(B82, HoldSummary!$A:$A, HoldSummary!G:G), 0)</f>
        <v>0</v>
      </c>
      <c r="AI82">
        <f>IFERROR(_xlfn.XLOOKUP(B82, HoldSummary!$A:$A, HoldSummary!H:H), 0)</f>
        <v>0</v>
      </c>
      <c r="AJ82">
        <f>IFERROR(_xlfn.XLOOKUP(B82, HoldSummary!$A:$A, HoldSummary!I:I), 0)</f>
        <v>111.80105909721897</v>
      </c>
      <c r="AK82">
        <f t="shared" si="15"/>
        <v>111.80105909721897</v>
      </c>
      <c r="AL82">
        <f t="shared" si="16"/>
        <v>230.99060756944527</v>
      </c>
      <c r="AM82">
        <f t="shared" si="17"/>
        <v>230.99060756944527</v>
      </c>
      <c r="AN82" s="12">
        <f t="shared" si="18"/>
        <v>247.83333333333576</v>
      </c>
      <c r="AO82">
        <f t="shared" si="19"/>
        <v>0</v>
      </c>
    </row>
    <row r="83" spans="1:41" x14ac:dyDescent="0.35">
      <c r="A83" t="s">
        <v>23</v>
      </c>
      <c r="B83" t="s">
        <v>206</v>
      </c>
      <c r="C83" t="s">
        <v>54</v>
      </c>
      <c r="D83" t="s">
        <v>44</v>
      </c>
      <c r="E83" t="s">
        <v>44</v>
      </c>
      <c r="F83" t="s">
        <v>28</v>
      </c>
      <c r="G83">
        <v>1</v>
      </c>
      <c r="H83" t="s">
        <v>207</v>
      </c>
      <c r="I83" t="s">
        <v>30</v>
      </c>
      <c r="J83" t="s">
        <v>208</v>
      </c>
      <c r="K83" t="s">
        <v>48</v>
      </c>
      <c r="L83" t="s">
        <v>192</v>
      </c>
      <c r="M83" t="s">
        <v>33</v>
      </c>
      <c r="N83" s="2">
        <v>45308.208333333336</v>
      </c>
      <c r="O83" s="2">
        <v>45394.166666666664</v>
      </c>
      <c r="P83" s="2">
        <v>45695.208333333336</v>
      </c>
      <c r="Q83" s="2">
        <v>45665</v>
      </c>
      <c r="R83" s="2">
        <v>45673.787991967591</v>
      </c>
      <c r="S83" t="s">
        <v>209</v>
      </c>
      <c r="T83" s="2"/>
      <c r="U83" s="2"/>
      <c r="V83" s="2"/>
      <c r="W83" s="2"/>
      <c r="X83" s="3" t="str">
        <f t="shared" si="10"/>
        <v/>
      </c>
      <c r="Y83" t="str">
        <f t="shared" si="11"/>
        <v/>
      </c>
      <c r="Z83">
        <f t="shared" si="12"/>
        <v>0</v>
      </c>
      <c r="AA83">
        <f t="shared" si="13"/>
        <v>356.79166666666424</v>
      </c>
      <c r="AB83">
        <f t="shared" si="14"/>
        <v>356.79166666666424</v>
      </c>
      <c r="AC83">
        <f>IFERROR(_xlfn.XLOOKUP(B83, HoldSummary!$A:$A, HoldSummary!B:B), 0)</f>
        <v>0</v>
      </c>
      <c r="AD83">
        <f>IFERROR(_xlfn.XLOOKUP(B83, HoldSummary!$A:$A, HoldSummary!C:C), 0)</f>
        <v>0</v>
      </c>
      <c r="AE83">
        <f>IFERROR(_xlfn.XLOOKUP(B83, HoldSummary!$A:$A, HoldSummary!D:D), 0)</f>
        <v>4.2837456828710856</v>
      </c>
      <c r="AF83">
        <f>IFERROR(_xlfn.XLOOKUP(B83, HoldSummary!$A:$A, HoldSummary!E:E), 0)</f>
        <v>0</v>
      </c>
      <c r="AG83">
        <f>IFERROR(_xlfn.XLOOKUP(B83, HoldSummary!$A:$A, HoldSummary!F:F), 0)</f>
        <v>0</v>
      </c>
      <c r="AH83">
        <f>IFERROR(_xlfn.XLOOKUP(B83, HoldSummary!$A:$A, HoldSummary!G:G), 0)</f>
        <v>0</v>
      </c>
      <c r="AI83">
        <f>IFERROR(_xlfn.XLOOKUP(B83, HoldSummary!$A:$A, HoldSummary!H:H), 0)</f>
        <v>0</v>
      </c>
      <c r="AJ83">
        <f>IFERROR(_xlfn.XLOOKUP(B83, HoldSummary!$A:$A, HoldSummary!I:I), 0)</f>
        <v>0</v>
      </c>
      <c r="AK83">
        <f t="shared" si="15"/>
        <v>4.2837456828710856</v>
      </c>
      <c r="AL83">
        <f t="shared" si="16"/>
        <v>352.50792098379316</v>
      </c>
      <c r="AM83">
        <f t="shared" si="17"/>
        <v>352.50792098379316</v>
      </c>
      <c r="AN83" s="12">
        <f t="shared" si="18"/>
        <v>270.83333333333576</v>
      </c>
      <c r="AO83">
        <f t="shared" si="19"/>
        <v>0</v>
      </c>
    </row>
    <row r="84" spans="1:41" x14ac:dyDescent="0.35">
      <c r="A84" t="s">
        <v>23</v>
      </c>
      <c r="B84" t="s">
        <v>210</v>
      </c>
      <c r="C84" t="s">
        <v>113</v>
      </c>
      <c r="D84" t="s">
        <v>44</v>
      </c>
      <c r="E84" t="s">
        <v>45</v>
      </c>
      <c r="F84" t="s">
        <v>28</v>
      </c>
      <c r="G84">
        <v>1</v>
      </c>
      <c r="H84" t="s">
        <v>211</v>
      </c>
      <c r="I84" t="s">
        <v>30</v>
      </c>
      <c r="J84" t="s">
        <v>31</v>
      </c>
      <c r="K84" t="s">
        <v>48</v>
      </c>
      <c r="L84" t="s">
        <v>192</v>
      </c>
      <c r="N84" s="2">
        <v>45295.897986111115</v>
      </c>
      <c r="O84" s="2">
        <v>45408.166666666664</v>
      </c>
      <c r="P84" s="2">
        <v>45443.166666666664</v>
      </c>
      <c r="Q84" s="2">
        <v>45432</v>
      </c>
      <c r="R84" s="2">
        <v>45433.547714259257</v>
      </c>
      <c r="S84" t="s">
        <v>212</v>
      </c>
      <c r="T84" s="2">
        <v>45379.166666666664</v>
      </c>
      <c r="U84" s="2">
        <v>45404.166666666664</v>
      </c>
      <c r="V84" s="2">
        <v>45404.166666666664</v>
      </c>
      <c r="W84" s="2">
        <v>45410.166666666664</v>
      </c>
      <c r="X84" s="3">
        <f t="shared" si="10"/>
        <v>25</v>
      </c>
      <c r="Y84">
        <f t="shared" si="11"/>
        <v>6</v>
      </c>
      <c r="Z84">
        <f t="shared" si="12"/>
        <v>31</v>
      </c>
      <c r="AA84">
        <f t="shared" si="13"/>
        <v>136.10201388888527</v>
      </c>
      <c r="AB84">
        <f t="shared" si="14"/>
        <v>105.10201388888527</v>
      </c>
      <c r="AC84">
        <f>IFERROR(_xlfn.XLOOKUP(B84, HoldSummary!$A:$A, HoldSummary!B:B), 0)</f>
        <v>0</v>
      </c>
      <c r="AD84">
        <f>IFERROR(_xlfn.XLOOKUP(B84, HoldSummary!$A:$A, HoldSummary!C:C), 0)</f>
        <v>0</v>
      </c>
      <c r="AE84">
        <f>IFERROR(_xlfn.XLOOKUP(B84, HoldSummary!$A:$A, HoldSummary!D:D), 0)</f>
        <v>0</v>
      </c>
      <c r="AF84">
        <f>IFERROR(_xlfn.XLOOKUP(B84, HoldSummary!$A:$A, HoldSummary!E:E), 0)</f>
        <v>0</v>
      </c>
      <c r="AG84">
        <f>IFERROR(_xlfn.XLOOKUP(B84, HoldSummary!$A:$A, HoldSummary!F:F), 0)</f>
        <v>0</v>
      </c>
      <c r="AH84">
        <f>IFERROR(_xlfn.XLOOKUP(B84, HoldSummary!$A:$A, HoldSummary!G:G), 0)</f>
        <v>20.037145474540011</v>
      </c>
      <c r="AI84">
        <f>IFERROR(_xlfn.XLOOKUP(B84, HoldSummary!$A:$A, HoldSummary!H:H), 0)</f>
        <v>0</v>
      </c>
      <c r="AJ84">
        <f>IFERROR(_xlfn.XLOOKUP(B84, HoldSummary!$A:$A, HoldSummary!I:I), 0)</f>
        <v>0</v>
      </c>
      <c r="AK84">
        <f t="shared" si="15"/>
        <v>20.037145474540011</v>
      </c>
      <c r="AL84">
        <f t="shared" si="16"/>
        <v>116.06486841434526</v>
      </c>
      <c r="AM84">
        <f t="shared" si="17"/>
        <v>85.064868414345256</v>
      </c>
      <c r="AN84" s="12">
        <f t="shared" si="18"/>
        <v>23.833333333335759</v>
      </c>
      <c r="AO84">
        <f t="shared" si="19"/>
        <v>0</v>
      </c>
    </row>
    <row r="85" spans="1:41" x14ac:dyDescent="0.35">
      <c r="A85" t="s">
        <v>23</v>
      </c>
      <c r="B85" t="s">
        <v>213</v>
      </c>
      <c r="C85" t="s">
        <v>113</v>
      </c>
      <c r="D85" t="s">
        <v>44</v>
      </c>
      <c r="E85" t="s">
        <v>45</v>
      </c>
      <c r="F85" t="s">
        <v>28</v>
      </c>
      <c r="G85">
        <v>1</v>
      </c>
      <c r="H85" t="s">
        <v>214</v>
      </c>
      <c r="I85" t="s">
        <v>30</v>
      </c>
      <c r="J85" t="s">
        <v>31</v>
      </c>
      <c r="K85" t="s">
        <v>38</v>
      </c>
      <c r="L85" t="s">
        <v>39</v>
      </c>
      <c r="N85" s="2">
        <v>45313.874236111114</v>
      </c>
      <c r="O85" s="2">
        <v>45457.166666666664</v>
      </c>
      <c r="P85" s="2">
        <v>45506.166666666664</v>
      </c>
      <c r="Q85" s="2">
        <v>45498</v>
      </c>
      <c r="R85" s="2">
        <v>45498.800291145832</v>
      </c>
      <c r="S85" t="s">
        <v>215</v>
      </c>
      <c r="T85" s="2">
        <v>45349.208333333336</v>
      </c>
      <c r="U85" s="2">
        <v>45425.166666666664</v>
      </c>
      <c r="V85" s="2">
        <v>45425.166666666664</v>
      </c>
      <c r="W85" s="2">
        <v>45469.166666666664</v>
      </c>
      <c r="X85" s="3">
        <f t="shared" si="10"/>
        <v>75.958333333328483</v>
      </c>
      <c r="Y85">
        <f t="shared" si="11"/>
        <v>44</v>
      </c>
      <c r="Z85">
        <f t="shared" si="12"/>
        <v>119.95833333332848</v>
      </c>
      <c r="AA85">
        <f t="shared" si="13"/>
        <v>184.12576388888556</v>
      </c>
      <c r="AB85">
        <f t="shared" si="14"/>
        <v>64.167430555557075</v>
      </c>
      <c r="AC85">
        <f>IFERROR(_xlfn.XLOOKUP(B85, HoldSummary!$A:$A, HoldSummary!B:B), 0)</f>
        <v>0</v>
      </c>
      <c r="AD85">
        <f>IFERROR(_xlfn.XLOOKUP(B85, HoldSummary!$A:$A, HoldSummary!C:C), 0)</f>
        <v>0</v>
      </c>
      <c r="AE85">
        <f>IFERROR(_xlfn.XLOOKUP(B85, HoldSummary!$A:$A, HoldSummary!D:D), 0)</f>
        <v>0</v>
      </c>
      <c r="AF85">
        <f>IFERROR(_xlfn.XLOOKUP(B85, HoldSummary!$A:$A, HoldSummary!E:E), 0)</f>
        <v>0</v>
      </c>
      <c r="AG85">
        <f>IFERROR(_xlfn.XLOOKUP(B85, HoldSummary!$A:$A, HoldSummary!F:F), 0)</f>
        <v>0</v>
      </c>
      <c r="AH85">
        <f>IFERROR(_xlfn.XLOOKUP(B85, HoldSummary!$A:$A, HoldSummary!G:G), 0)</f>
        <v>49</v>
      </c>
      <c r="AI85">
        <f>IFERROR(_xlfn.XLOOKUP(B85, HoldSummary!$A:$A, HoldSummary!H:H), 0)</f>
        <v>3</v>
      </c>
      <c r="AJ85">
        <f>IFERROR(_xlfn.XLOOKUP(B85, HoldSummary!$A:$A, HoldSummary!I:I), 0)</f>
        <v>0</v>
      </c>
      <c r="AK85">
        <f t="shared" si="15"/>
        <v>52</v>
      </c>
      <c r="AL85">
        <f t="shared" si="16"/>
        <v>132.12576388888556</v>
      </c>
      <c r="AM85">
        <f t="shared" si="17"/>
        <v>12.167430555557075</v>
      </c>
      <c r="AN85" s="12">
        <f t="shared" si="18"/>
        <v>40.833333333335759</v>
      </c>
      <c r="AO85">
        <f t="shared" si="19"/>
        <v>0</v>
      </c>
    </row>
    <row r="86" spans="1:41" x14ac:dyDescent="0.35">
      <c r="A86" t="s">
        <v>23</v>
      </c>
      <c r="B86" t="s">
        <v>216</v>
      </c>
      <c r="C86" t="s">
        <v>76</v>
      </c>
      <c r="D86" t="s">
        <v>44</v>
      </c>
      <c r="E86" t="s">
        <v>44</v>
      </c>
      <c r="F86" t="s">
        <v>28</v>
      </c>
      <c r="G86">
        <v>1</v>
      </c>
      <c r="H86" t="s">
        <v>217</v>
      </c>
      <c r="I86" t="s">
        <v>30</v>
      </c>
      <c r="J86" t="s">
        <v>31</v>
      </c>
      <c r="K86" t="s">
        <v>32</v>
      </c>
      <c r="L86" t="s">
        <v>39</v>
      </c>
      <c r="N86" s="2">
        <v>45331.208333333336</v>
      </c>
      <c r="O86" s="2">
        <v>45336.208333333336</v>
      </c>
      <c r="P86" s="2">
        <v>45342.208333333336</v>
      </c>
      <c r="Q86" s="2">
        <v>45341</v>
      </c>
      <c r="R86" s="2">
        <v>45341.945090138892</v>
      </c>
      <c r="T86" s="2"/>
      <c r="U86" s="2"/>
      <c r="V86" s="2"/>
      <c r="W86" s="2"/>
      <c r="X86" s="3" t="str">
        <f t="shared" si="10"/>
        <v/>
      </c>
      <c r="Y86" t="str">
        <f t="shared" si="11"/>
        <v/>
      </c>
      <c r="Z86">
        <f t="shared" si="12"/>
        <v>0</v>
      </c>
      <c r="AA86">
        <f t="shared" si="13"/>
        <v>9.7916666666642413</v>
      </c>
      <c r="AB86">
        <f t="shared" si="14"/>
        <v>9.7916666666642413</v>
      </c>
      <c r="AC86">
        <f>IFERROR(_xlfn.XLOOKUP(B86, HoldSummary!$A:$A, HoldSummary!B:B), 0)</f>
        <v>0</v>
      </c>
      <c r="AD86">
        <f>IFERROR(_xlfn.XLOOKUP(B86, HoldSummary!$A:$A, HoldSummary!C:C), 0)</f>
        <v>0</v>
      </c>
      <c r="AE86">
        <f>IFERROR(_xlfn.XLOOKUP(B86, HoldSummary!$A:$A, HoldSummary!D:D), 0)</f>
        <v>0</v>
      </c>
      <c r="AF86">
        <f>IFERROR(_xlfn.XLOOKUP(B86, HoldSummary!$A:$A, HoldSummary!E:E), 0)</f>
        <v>0</v>
      </c>
      <c r="AG86">
        <f>IFERROR(_xlfn.XLOOKUP(B86, HoldSummary!$A:$A, HoldSummary!F:F), 0)</f>
        <v>0</v>
      </c>
      <c r="AH86">
        <f>IFERROR(_xlfn.XLOOKUP(B86, HoldSummary!$A:$A, HoldSummary!G:G), 0)</f>
        <v>0</v>
      </c>
      <c r="AI86">
        <f>IFERROR(_xlfn.XLOOKUP(B86, HoldSummary!$A:$A, HoldSummary!H:H), 0)</f>
        <v>0</v>
      </c>
      <c r="AJ86">
        <f>IFERROR(_xlfn.XLOOKUP(B86, HoldSummary!$A:$A, HoldSummary!I:I), 0)</f>
        <v>0</v>
      </c>
      <c r="AK86">
        <f t="shared" si="15"/>
        <v>0</v>
      </c>
      <c r="AL86">
        <f t="shared" si="16"/>
        <v>9.7916666666642413</v>
      </c>
      <c r="AM86">
        <f t="shared" si="17"/>
        <v>9.7916666666642413</v>
      </c>
      <c r="AN86" s="12">
        <f t="shared" si="18"/>
        <v>4.7916666666642413</v>
      </c>
      <c r="AO86">
        <f t="shared" si="19"/>
        <v>0</v>
      </c>
    </row>
    <row r="87" spans="1:41" x14ac:dyDescent="0.35">
      <c r="A87" t="s">
        <v>23</v>
      </c>
      <c r="B87" t="s">
        <v>218</v>
      </c>
      <c r="C87" t="s">
        <v>54</v>
      </c>
      <c r="D87" t="s">
        <v>44</v>
      </c>
      <c r="E87" t="s">
        <v>45</v>
      </c>
      <c r="F87" t="s">
        <v>28</v>
      </c>
      <c r="G87">
        <v>1</v>
      </c>
      <c r="H87" t="s">
        <v>219</v>
      </c>
      <c r="I87" t="s">
        <v>30</v>
      </c>
      <c r="J87" t="s">
        <v>31</v>
      </c>
      <c r="K87" t="s">
        <v>38</v>
      </c>
      <c r="L87" t="s">
        <v>53</v>
      </c>
      <c r="N87" s="2">
        <v>45331.757997685185</v>
      </c>
      <c r="O87" s="2">
        <v>45393.166666666664</v>
      </c>
      <c r="P87" s="2">
        <v>45407.166666666664</v>
      </c>
      <c r="Q87" s="2">
        <v>45401</v>
      </c>
      <c r="R87" s="2">
        <v>45406.55794053241</v>
      </c>
      <c r="S87" t="s">
        <v>198</v>
      </c>
      <c r="T87" s="2">
        <v>45352.208333333336</v>
      </c>
      <c r="U87" s="2">
        <v>45355.208333333336</v>
      </c>
      <c r="V87" s="2">
        <v>45355.208333333336</v>
      </c>
      <c r="W87" s="2">
        <v>45379.166666666664</v>
      </c>
      <c r="X87" s="3">
        <f t="shared" si="10"/>
        <v>3</v>
      </c>
      <c r="Y87">
        <f t="shared" si="11"/>
        <v>23.958333333328483</v>
      </c>
      <c r="Z87">
        <f t="shared" si="12"/>
        <v>26.958333333328483</v>
      </c>
      <c r="AA87">
        <f t="shared" si="13"/>
        <v>69.242002314815181</v>
      </c>
      <c r="AB87">
        <f t="shared" si="14"/>
        <v>42.283668981486699</v>
      </c>
      <c r="AC87">
        <f>IFERROR(_xlfn.XLOOKUP(B87, HoldSummary!$A:$A, HoldSummary!B:B), 0)</f>
        <v>0</v>
      </c>
      <c r="AD87">
        <f>IFERROR(_xlfn.XLOOKUP(B87, HoldSummary!$A:$A, HoldSummary!C:C), 0)</f>
        <v>0</v>
      </c>
      <c r="AE87">
        <f>IFERROR(_xlfn.XLOOKUP(B87, HoldSummary!$A:$A, HoldSummary!D:D), 0)</f>
        <v>0</v>
      </c>
      <c r="AF87">
        <f>IFERROR(_xlfn.XLOOKUP(B87, HoldSummary!$A:$A, HoldSummary!E:E), 0)</f>
        <v>0</v>
      </c>
      <c r="AG87">
        <f>IFERROR(_xlfn.XLOOKUP(B87, HoldSummary!$A:$A, HoldSummary!F:F), 0)</f>
        <v>0</v>
      </c>
      <c r="AH87">
        <f>IFERROR(_xlfn.XLOOKUP(B87, HoldSummary!$A:$A, HoldSummary!G:G), 0)</f>
        <v>0</v>
      </c>
      <c r="AI87">
        <f>IFERROR(_xlfn.XLOOKUP(B87, HoldSummary!$A:$A, HoldSummary!H:H), 0)</f>
        <v>0</v>
      </c>
      <c r="AJ87">
        <f>IFERROR(_xlfn.XLOOKUP(B87, HoldSummary!$A:$A, HoldSummary!I:I), 0)</f>
        <v>6</v>
      </c>
      <c r="AK87">
        <f t="shared" si="15"/>
        <v>6</v>
      </c>
      <c r="AL87">
        <f t="shared" si="16"/>
        <v>63.242002314815181</v>
      </c>
      <c r="AM87">
        <f t="shared" si="17"/>
        <v>36.283668981486699</v>
      </c>
      <c r="AN87" s="12">
        <f t="shared" si="18"/>
        <v>7.8333333333357587</v>
      </c>
      <c r="AO87">
        <f t="shared" si="19"/>
        <v>0</v>
      </c>
    </row>
    <row r="88" spans="1:41" x14ac:dyDescent="0.35">
      <c r="A88" t="s">
        <v>23</v>
      </c>
      <c r="B88" t="s">
        <v>220</v>
      </c>
      <c r="C88" t="s">
        <v>43</v>
      </c>
      <c r="D88" t="s">
        <v>44</v>
      </c>
      <c r="E88" t="s">
        <v>45</v>
      </c>
      <c r="F88" t="s">
        <v>28</v>
      </c>
      <c r="G88">
        <v>1</v>
      </c>
      <c r="H88" t="s">
        <v>221</v>
      </c>
      <c r="I88" t="s">
        <v>30</v>
      </c>
      <c r="J88" t="s">
        <v>208</v>
      </c>
      <c r="K88" t="s">
        <v>48</v>
      </c>
      <c r="L88" t="s">
        <v>49</v>
      </c>
      <c r="N88" s="2">
        <v>45335.733275462961</v>
      </c>
      <c r="O88" s="2">
        <v>45432.166666666664</v>
      </c>
      <c r="P88" s="2">
        <v>45411.166666666664</v>
      </c>
      <c r="Q88" s="2">
        <v>45407</v>
      </c>
      <c r="R88" s="2">
        <v>45411.582327523145</v>
      </c>
      <c r="S88" t="s">
        <v>198</v>
      </c>
      <c r="T88" s="2">
        <v>45343.208333333336</v>
      </c>
      <c r="U88" s="2">
        <v>45348.208333333336</v>
      </c>
      <c r="V88" s="2">
        <v>45348.208333333336</v>
      </c>
      <c r="W88" s="2">
        <v>45359.208333333336</v>
      </c>
      <c r="X88" s="3">
        <f t="shared" si="10"/>
        <v>5</v>
      </c>
      <c r="Y88">
        <f t="shared" si="11"/>
        <v>11</v>
      </c>
      <c r="Z88">
        <f t="shared" si="12"/>
        <v>16</v>
      </c>
      <c r="AA88">
        <f t="shared" si="13"/>
        <v>71.266724537039408</v>
      </c>
      <c r="AB88">
        <f t="shared" si="14"/>
        <v>55.266724537039408</v>
      </c>
      <c r="AC88">
        <f>IFERROR(_xlfn.XLOOKUP(B88, HoldSummary!$A:$A, HoldSummary!B:B), 0)</f>
        <v>0</v>
      </c>
      <c r="AD88">
        <f>IFERROR(_xlfn.XLOOKUP(B88, HoldSummary!$A:$A, HoldSummary!C:C), 0)</f>
        <v>0</v>
      </c>
      <c r="AE88">
        <f>IFERROR(_xlfn.XLOOKUP(B88, HoldSummary!$A:$A, HoldSummary!D:D), 0)</f>
        <v>0</v>
      </c>
      <c r="AF88">
        <f>IFERROR(_xlfn.XLOOKUP(B88, HoldSummary!$A:$A, HoldSummary!E:E), 0)</f>
        <v>0</v>
      </c>
      <c r="AG88">
        <f>IFERROR(_xlfn.XLOOKUP(B88, HoldSummary!$A:$A, HoldSummary!F:F), 0)</f>
        <v>0</v>
      </c>
      <c r="AH88">
        <f>IFERROR(_xlfn.XLOOKUP(B88, HoldSummary!$A:$A, HoldSummary!G:G), 0)</f>
        <v>0</v>
      </c>
      <c r="AI88">
        <f>IFERROR(_xlfn.XLOOKUP(B88, HoldSummary!$A:$A, HoldSummary!H:H), 0)</f>
        <v>0</v>
      </c>
      <c r="AJ88">
        <f>IFERROR(_xlfn.XLOOKUP(B88, HoldSummary!$A:$A, HoldSummary!I:I), 0)</f>
        <v>0</v>
      </c>
      <c r="AK88">
        <f t="shared" si="15"/>
        <v>0</v>
      </c>
      <c r="AL88">
        <f t="shared" si="16"/>
        <v>71.266724537039408</v>
      </c>
      <c r="AM88">
        <f t="shared" si="17"/>
        <v>55.266724537039408</v>
      </c>
      <c r="AN88" s="12">
        <f t="shared" si="18"/>
        <v>-25.166666666664241</v>
      </c>
      <c r="AO88">
        <f t="shared" si="19"/>
        <v>1</v>
      </c>
    </row>
    <row r="89" spans="1:41" x14ac:dyDescent="0.35">
      <c r="A89" t="s">
        <v>23</v>
      </c>
      <c r="B89" t="s">
        <v>222</v>
      </c>
      <c r="C89" t="s">
        <v>54</v>
      </c>
      <c r="D89" t="s">
        <v>44</v>
      </c>
      <c r="E89" t="s">
        <v>44</v>
      </c>
      <c r="F89" t="s">
        <v>28</v>
      </c>
      <c r="G89">
        <v>1</v>
      </c>
      <c r="H89" t="s">
        <v>223</v>
      </c>
      <c r="I89" t="s">
        <v>30</v>
      </c>
      <c r="J89" t="s">
        <v>31</v>
      </c>
      <c r="K89" t="s">
        <v>38</v>
      </c>
      <c r="L89" t="s">
        <v>53</v>
      </c>
      <c r="N89" s="2">
        <v>45355.208333333336</v>
      </c>
      <c r="O89" s="2">
        <v>45387.166666666664</v>
      </c>
      <c r="P89" s="2">
        <v>45371.166666666664</v>
      </c>
      <c r="Q89" s="2">
        <v>45372</v>
      </c>
      <c r="R89" s="2">
        <v>45379.523275196756</v>
      </c>
      <c r="T89" s="2"/>
      <c r="U89" s="2"/>
      <c r="V89" s="2"/>
      <c r="W89" s="2"/>
      <c r="X89" s="3" t="str">
        <f t="shared" si="10"/>
        <v/>
      </c>
      <c r="Y89" t="str">
        <f t="shared" si="11"/>
        <v/>
      </c>
      <c r="Z89">
        <f t="shared" si="12"/>
        <v>0</v>
      </c>
      <c r="AA89">
        <f t="shared" si="13"/>
        <v>16.791666666664241</v>
      </c>
      <c r="AB89">
        <f t="shared" si="14"/>
        <v>16.791666666664241</v>
      </c>
      <c r="AC89">
        <f>IFERROR(_xlfn.XLOOKUP(B89, HoldSummary!$A:$A, HoldSummary!B:B), 0)</f>
        <v>0</v>
      </c>
      <c r="AD89">
        <f>IFERROR(_xlfn.XLOOKUP(B89, HoldSummary!$A:$A, HoldSummary!C:C), 0)</f>
        <v>0</v>
      </c>
      <c r="AE89">
        <f>IFERROR(_xlfn.XLOOKUP(B89, HoldSummary!$A:$A, HoldSummary!D:D), 0)</f>
        <v>0</v>
      </c>
      <c r="AF89">
        <f>IFERROR(_xlfn.XLOOKUP(B89, HoldSummary!$A:$A, HoldSummary!E:E), 0)</f>
        <v>0</v>
      </c>
      <c r="AG89">
        <f>IFERROR(_xlfn.XLOOKUP(B89, HoldSummary!$A:$A, HoldSummary!F:F), 0)</f>
        <v>0</v>
      </c>
      <c r="AH89">
        <f>IFERROR(_xlfn.XLOOKUP(B89, HoldSummary!$A:$A, HoldSummary!G:G), 0)</f>
        <v>0</v>
      </c>
      <c r="AI89">
        <f>IFERROR(_xlfn.XLOOKUP(B89, HoldSummary!$A:$A, HoldSummary!H:H), 0)</f>
        <v>0</v>
      </c>
      <c r="AJ89">
        <f>IFERROR(_xlfn.XLOOKUP(B89, HoldSummary!$A:$A, HoldSummary!I:I), 0)</f>
        <v>0</v>
      </c>
      <c r="AK89">
        <f t="shared" si="15"/>
        <v>0</v>
      </c>
      <c r="AL89">
        <f t="shared" si="16"/>
        <v>16.791666666664241</v>
      </c>
      <c r="AM89">
        <f t="shared" si="17"/>
        <v>16.791666666664241</v>
      </c>
      <c r="AN89" s="12">
        <f t="shared" si="18"/>
        <v>-15.166666666664241</v>
      </c>
      <c r="AO89">
        <f t="shared" si="19"/>
        <v>1</v>
      </c>
    </row>
    <row r="90" spans="1:41" x14ac:dyDescent="0.35">
      <c r="A90" t="s">
        <v>23</v>
      </c>
      <c r="B90" t="s">
        <v>224</v>
      </c>
      <c r="C90" t="s">
        <v>76</v>
      </c>
      <c r="D90" t="s">
        <v>44</v>
      </c>
      <c r="E90" t="s">
        <v>45</v>
      </c>
      <c r="F90" t="s">
        <v>28</v>
      </c>
      <c r="G90">
        <v>1</v>
      </c>
      <c r="H90" t="s">
        <v>225</v>
      </c>
      <c r="I90" t="s">
        <v>30</v>
      </c>
      <c r="J90" t="s">
        <v>31</v>
      </c>
      <c r="K90" t="s">
        <v>57</v>
      </c>
      <c r="L90" t="s">
        <v>39</v>
      </c>
      <c r="N90" s="2">
        <v>45355.679895833331</v>
      </c>
      <c r="O90" s="2">
        <v>45464.166666666664</v>
      </c>
      <c r="P90" s="2">
        <v>45433.166666666664</v>
      </c>
      <c r="Q90" s="2">
        <v>45425</v>
      </c>
      <c r="R90" s="2">
        <v>45426.557160972225</v>
      </c>
      <c r="S90" t="s">
        <v>226</v>
      </c>
      <c r="T90" s="2">
        <v>45383.166666666664</v>
      </c>
      <c r="U90" s="2">
        <v>45411.166666666664</v>
      </c>
      <c r="V90" s="2">
        <v>45411.166666666664</v>
      </c>
      <c r="W90" s="2">
        <v>45411.166666666664</v>
      </c>
      <c r="X90" s="3">
        <f t="shared" si="10"/>
        <v>28</v>
      </c>
      <c r="Y90">
        <f t="shared" si="11"/>
        <v>0</v>
      </c>
      <c r="Z90">
        <f t="shared" si="12"/>
        <v>28</v>
      </c>
      <c r="AA90">
        <f t="shared" si="13"/>
        <v>69.320104166668898</v>
      </c>
      <c r="AB90">
        <f t="shared" si="14"/>
        <v>41.320104166668898</v>
      </c>
      <c r="AC90">
        <f>IFERROR(_xlfn.XLOOKUP(B90, HoldSummary!$A:$A, HoldSummary!B:B), 0)</f>
        <v>0</v>
      </c>
      <c r="AD90">
        <f>IFERROR(_xlfn.XLOOKUP(B90, HoldSummary!$A:$A, HoldSummary!C:C), 0)</f>
        <v>0</v>
      </c>
      <c r="AE90">
        <f>IFERROR(_xlfn.XLOOKUP(B90, HoldSummary!$A:$A, HoldSummary!D:D), 0)</f>
        <v>0</v>
      </c>
      <c r="AF90">
        <f>IFERROR(_xlfn.XLOOKUP(B90, HoldSummary!$A:$A, HoldSummary!E:E), 0)</f>
        <v>0</v>
      </c>
      <c r="AG90">
        <f>IFERROR(_xlfn.XLOOKUP(B90, HoldSummary!$A:$A, HoldSummary!F:F), 0)</f>
        <v>0</v>
      </c>
      <c r="AH90">
        <f>IFERROR(_xlfn.XLOOKUP(B90, HoldSummary!$A:$A, HoldSummary!G:G), 0)</f>
        <v>17</v>
      </c>
      <c r="AI90">
        <f>IFERROR(_xlfn.XLOOKUP(B90, HoldSummary!$A:$A, HoldSummary!H:H), 0)</f>
        <v>0</v>
      </c>
      <c r="AJ90">
        <f>IFERROR(_xlfn.XLOOKUP(B90, HoldSummary!$A:$A, HoldSummary!I:I), 0)</f>
        <v>0</v>
      </c>
      <c r="AK90">
        <f t="shared" si="15"/>
        <v>17</v>
      </c>
      <c r="AL90">
        <f t="shared" si="16"/>
        <v>52.320104166668898</v>
      </c>
      <c r="AM90">
        <f t="shared" si="17"/>
        <v>24.320104166668898</v>
      </c>
      <c r="AN90" s="12">
        <f t="shared" si="18"/>
        <v>-39.166666666664241</v>
      </c>
      <c r="AO90">
        <f t="shared" si="19"/>
        <v>1</v>
      </c>
    </row>
    <row r="91" spans="1:41" x14ac:dyDescent="0.35">
      <c r="A91" t="s">
        <v>23</v>
      </c>
      <c r="B91" t="s">
        <v>227</v>
      </c>
      <c r="C91" t="s">
        <v>36</v>
      </c>
      <c r="D91" t="s">
        <v>44</v>
      </c>
      <c r="E91" t="s">
        <v>44</v>
      </c>
      <c r="F91" t="s">
        <v>28</v>
      </c>
      <c r="G91">
        <v>1</v>
      </c>
      <c r="H91" t="s">
        <v>228</v>
      </c>
      <c r="I91" t="s">
        <v>30</v>
      </c>
      <c r="J91" t="s">
        <v>208</v>
      </c>
      <c r="K91" t="s">
        <v>48</v>
      </c>
      <c r="L91" t="s">
        <v>185</v>
      </c>
      <c r="N91" s="2">
        <v>45317.208333333336</v>
      </c>
      <c r="O91" s="2">
        <v>45660.208333333336</v>
      </c>
      <c r="P91" s="2">
        <v>45670.208333333336</v>
      </c>
      <c r="Q91" s="2">
        <v>45671</v>
      </c>
      <c r="R91" s="2">
        <v>45671.815221203702</v>
      </c>
      <c r="S91" t="s">
        <v>229</v>
      </c>
      <c r="T91" s="2"/>
      <c r="U91" s="2"/>
      <c r="V91" s="2"/>
      <c r="W91" s="2"/>
      <c r="X91" s="3" t="str">
        <f t="shared" si="10"/>
        <v/>
      </c>
      <c r="Y91" t="str">
        <f t="shared" si="11"/>
        <v/>
      </c>
      <c r="Z91">
        <f t="shared" si="12"/>
        <v>0</v>
      </c>
      <c r="AA91">
        <f t="shared" si="13"/>
        <v>353.79166666666424</v>
      </c>
      <c r="AB91">
        <f t="shared" si="14"/>
        <v>353.79166666666424</v>
      </c>
      <c r="AC91">
        <f>IFERROR(_xlfn.XLOOKUP(B91, HoldSummary!$A:$A, HoldSummary!B:B), 0)</f>
        <v>0</v>
      </c>
      <c r="AD91">
        <f>IFERROR(_xlfn.XLOOKUP(B91, HoldSummary!$A:$A, HoldSummary!C:C), 0)</f>
        <v>0</v>
      </c>
      <c r="AE91">
        <f>IFERROR(_xlfn.XLOOKUP(B91, HoldSummary!$A:$A, HoldSummary!D:D), 0)</f>
        <v>0</v>
      </c>
      <c r="AF91">
        <f>IFERROR(_xlfn.XLOOKUP(B91, HoldSummary!$A:$A, HoldSummary!E:E), 0)</f>
        <v>0</v>
      </c>
      <c r="AG91">
        <f>IFERROR(_xlfn.XLOOKUP(B91, HoldSummary!$A:$A, HoldSummary!F:F), 0)</f>
        <v>0</v>
      </c>
      <c r="AH91">
        <f>IFERROR(_xlfn.XLOOKUP(B91, HoldSummary!$A:$A, HoldSummary!G:G), 0)</f>
        <v>0</v>
      </c>
      <c r="AI91">
        <f>IFERROR(_xlfn.XLOOKUP(B91, HoldSummary!$A:$A, HoldSummary!H:H), 0)</f>
        <v>0</v>
      </c>
      <c r="AJ91">
        <f>IFERROR(_xlfn.XLOOKUP(B91, HoldSummary!$A:$A, HoldSummary!I:I), 0)</f>
        <v>121.97776807870832</v>
      </c>
      <c r="AK91">
        <f t="shared" si="15"/>
        <v>121.97776807870832</v>
      </c>
      <c r="AL91">
        <f t="shared" si="16"/>
        <v>231.81389858795592</v>
      </c>
      <c r="AM91">
        <f t="shared" si="17"/>
        <v>231.81389858795592</v>
      </c>
      <c r="AN91" s="12">
        <f t="shared" si="18"/>
        <v>10.791666666664241</v>
      </c>
      <c r="AO91">
        <f t="shared" si="19"/>
        <v>0</v>
      </c>
    </row>
    <row r="92" spans="1:41" x14ac:dyDescent="0.35">
      <c r="A92" t="s">
        <v>23</v>
      </c>
      <c r="B92">
        <v>104240</v>
      </c>
      <c r="C92" t="s">
        <v>43</v>
      </c>
      <c r="D92" t="s">
        <v>44</v>
      </c>
      <c r="E92" t="s">
        <v>55</v>
      </c>
      <c r="F92" t="s">
        <v>28</v>
      </c>
      <c r="G92">
        <v>1</v>
      </c>
      <c r="H92" t="s">
        <v>230</v>
      </c>
      <c r="I92" t="s">
        <v>30</v>
      </c>
      <c r="J92" t="s">
        <v>70</v>
      </c>
      <c r="K92" t="s">
        <v>57</v>
      </c>
      <c r="L92" t="s">
        <v>39</v>
      </c>
      <c r="N92" s="2">
        <v>45343.208333333336</v>
      </c>
      <c r="O92" s="2">
        <v>45443.166666666664</v>
      </c>
      <c r="P92" s="2">
        <v>45576.166666666664</v>
      </c>
      <c r="Q92" s="2">
        <v>45562</v>
      </c>
      <c r="R92" s="2">
        <v>45562.756960243052</v>
      </c>
      <c r="S92" t="s">
        <v>231</v>
      </c>
      <c r="T92" s="2">
        <v>45401.166666666664</v>
      </c>
      <c r="U92" s="2">
        <v>45414.166666666664</v>
      </c>
      <c r="V92" s="2">
        <v>45414.166666666664</v>
      </c>
      <c r="W92" s="2">
        <v>45483.166666666664</v>
      </c>
      <c r="X92" s="3">
        <f t="shared" si="10"/>
        <v>13</v>
      </c>
      <c r="Y92">
        <f t="shared" si="11"/>
        <v>69</v>
      </c>
      <c r="Z92">
        <f t="shared" si="12"/>
        <v>82</v>
      </c>
      <c r="AA92">
        <f t="shared" si="13"/>
        <v>218.79166666666424</v>
      </c>
      <c r="AB92">
        <f t="shared" si="14"/>
        <v>136.79166666666424</v>
      </c>
      <c r="AC92">
        <f>IFERROR(_xlfn.XLOOKUP(B92, HoldSummary!$A:$A, HoldSummary!B:B), 0)</f>
        <v>0</v>
      </c>
      <c r="AD92">
        <f>IFERROR(_xlfn.XLOOKUP(B92, HoldSummary!$A:$A, HoldSummary!C:C), 0)</f>
        <v>0</v>
      </c>
      <c r="AE92">
        <f>IFERROR(_xlfn.XLOOKUP(B92, HoldSummary!$A:$A, HoldSummary!D:D), 0)</f>
        <v>0</v>
      </c>
      <c r="AF92">
        <f>IFERROR(_xlfn.XLOOKUP(B92, HoldSummary!$A:$A, HoldSummary!E:E), 0)</f>
        <v>0</v>
      </c>
      <c r="AG92">
        <f>IFERROR(_xlfn.XLOOKUP(B92, HoldSummary!$A:$A, HoldSummary!F:F), 0)</f>
        <v>0</v>
      </c>
      <c r="AH92">
        <f>IFERROR(_xlfn.XLOOKUP(B92, HoldSummary!$A:$A, HoldSummary!G:G), 0)</f>
        <v>0</v>
      </c>
      <c r="AI92">
        <f>IFERROR(_xlfn.XLOOKUP(B92, HoldSummary!$A:$A, HoldSummary!H:H), 0)</f>
        <v>0</v>
      </c>
      <c r="AJ92">
        <f>IFERROR(_xlfn.XLOOKUP(B92, HoldSummary!$A:$A, HoldSummary!I:I), 0)</f>
        <v>0</v>
      </c>
      <c r="AK92">
        <f t="shared" si="15"/>
        <v>0</v>
      </c>
      <c r="AL92">
        <f t="shared" si="16"/>
        <v>218.79166666666424</v>
      </c>
      <c r="AM92">
        <f t="shared" si="17"/>
        <v>136.79166666666424</v>
      </c>
      <c r="AN92" s="12">
        <f t="shared" si="18"/>
        <v>118.83333333333576</v>
      </c>
      <c r="AO92">
        <f t="shared" si="19"/>
        <v>0</v>
      </c>
    </row>
    <row r="93" spans="1:41" x14ac:dyDescent="0.35">
      <c r="A93" t="s">
        <v>23</v>
      </c>
      <c r="B93" t="s">
        <v>232</v>
      </c>
      <c r="C93" t="s">
        <v>135</v>
      </c>
      <c r="D93" t="s">
        <v>44</v>
      </c>
      <c r="E93" t="s">
        <v>45</v>
      </c>
      <c r="F93" t="s">
        <v>28</v>
      </c>
      <c r="G93">
        <v>1</v>
      </c>
      <c r="H93" t="s">
        <v>233</v>
      </c>
      <c r="I93" t="s">
        <v>30</v>
      </c>
      <c r="J93" t="s">
        <v>31</v>
      </c>
      <c r="K93" t="s">
        <v>32</v>
      </c>
      <c r="L93" t="s">
        <v>32</v>
      </c>
      <c r="N93" s="2">
        <v>45356.747789351852</v>
      </c>
      <c r="O93" s="2">
        <v>45371.166666666664</v>
      </c>
      <c r="P93" s="2">
        <v>45372.166666666664</v>
      </c>
      <c r="Q93" s="2">
        <v>45370</v>
      </c>
      <c r="R93" s="2">
        <v>45372.770262245373</v>
      </c>
      <c r="T93" s="2">
        <v>45365.166666666664</v>
      </c>
      <c r="U93" s="2">
        <v>45365.166666666664</v>
      </c>
      <c r="V93" s="2">
        <v>45365.166666666664</v>
      </c>
      <c r="W93" s="2">
        <v>45365.166666666664</v>
      </c>
      <c r="X93" s="3">
        <f t="shared" si="10"/>
        <v>0</v>
      </c>
      <c r="Y93">
        <f t="shared" si="11"/>
        <v>0</v>
      </c>
      <c r="Z93">
        <f t="shared" si="12"/>
        <v>0</v>
      </c>
      <c r="AA93">
        <f t="shared" si="13"/>
        <v>13.252210648148321</v>
      </c>
      <c r="AB93">
        <f t="shared" si="14"/>
        <v>13.252210648148321</v>
      </c>
      <c r="AC93">
        <f>IFERROR(_xlfn.XLOOKUP(B93, HoldSummary!$A:$A, HoldSummary!B:B), 0)</f>
        <v>0</v>
      </c>
      <c r="AD93">
        <f>IFERROR(_xlfn.XLOOKUP(B93, HoldSummary!$A:$A, HoldSummary!C:C), 0)</f>
        <v>0</v>
      </c>
      <c r="AE93">
        <f>IFERROR(_xlfn.XLOOKUP(B93, HoldSummary!$A:$A, HoldSummary!D:D), 0)</f>
        <v>0</v>
      </c>
      <c r="AF93">
        <f>IFERROR(_xlfn.XLOOKUP(B93, HoldSummary!$A:$A, HoldSummary!E:E), 0)</f>
        <v>0</v>
      </c>
      <c r="AG93">
        <f>IFERROR(_xlfn.XLOOKUP(B93, HoldSummary!$A:$A, HoldSummary!F:F), 0)</f>
        <v>0</v>
      </c>
      <c r="AH93">
        <f>IFERROR(_xlfn.XLOOKUP(B93, HoldSummary!$A:$A, HoldSummary!G:G), 0)</f>
        <v>0</v>
      </c>
      <c r="AI93">
        <f>IFERROR(_xlfn.XLOOKUP(B93, HoldSummary!$A:$A, HoldSummary!H:H), 0)</f>
        <v>0</v>
      </c>
      <c r="AJ93">
        <f>IFERROR(_xlfn.XLOOKUP(B93, HoldSummary!$A:$A, HoldSummary!I:I), 0)</f>
        <v>0</v>
      </c>
      <c r="AK93">
        <f t="shared" si="15"/>
        <v>0</v>
      </c>
      <c r="AL93">
        <f t="shared" si="16"/>
        <v>13.252210648148321</v>
      </c>
      <c r="AM93">
        <f t="shared" si="17"/>
        <v>13.252210648148321</v>
      </c>
      <c r="AN93" s="12">
        <f t="shared" si="18"/>
        <v>-1.1666666666642413</v>
      </c>
      <c r="AO93">
        <f t="shared" si="19"/>
        <v>1</v>
      </c>
    </row>
    <row r="94" spans="1:41" x14ac:dyDescent="0.35">
      <c r="A94" t="s">
        <v>23</v>
      </c>
      <c r="B94" t="s">
        <v>234</v>
      </c>
      <c r="C94" t="s">
        <v>135</v>
      </c>
      <c r="D94" t="s">
        <v>44</v>
      </c>
      <c r="E94" t="s">
        <v>45</v>
      </c>
      <c r="F94" t="s">
        <v>28</v>
      </c>
      <c r="G94">
        <v>1</v>
      </c>
      <c r="H94" t="s">
        <v>235</v>
      </c>
      <c r="I94" t="s">
        <v>30</v>
      </c>
      <c r="J94" t="s">
        <v>31</v>
      </c>
      <c r="K94" t="s">
        <v>32</v>
      </c>
      <c r="L94" t="s">
        <v>32</v>
      </c>
      <c r="N94" s="2">
        <v>45356.838125000002</v>
      </c>
      <c r="O94" s="2">
        <v>45376.166666666664</v>
      </c>
      <c r="P94" s="2">
        <v>45376.166666666664</v>
      </c>
      <c r="Q94" s="2">
        <v>45376</v>
      </c>
      <c r="R94" s="2">
        <v>45376.733897569444</v>
      </c>
      <c r="S94" t="s">
        <v>236</v>
      </c>
      <c r="T94" s="2">
        <v>45365.166666666664</v>
      </c>
      <c r="U94" s="2">
        <v>45372.166666666664</v>
      </c>
      <c r="V94" s="2">
        <v>45372.166666666664</v>
      </c>
      <c r="W94" s="2">
        <v>45372.166666666664</v>
      </c>
      <c r="X94" s="3">
        <f t="shared" si="10"/>
        <v>7</v>
      </c>
      <c r="Y94">
        <f t="shared" si="11"/>
        <v>0</v>
      </c>
      <c r="Z94">
        <f t="shared" si="12"/>
        <v>7</v>
      </c>
      <c r="AA94">
        <f t="shared" si="13"/>
        <v>19.161874999997963</v>
      </c>
      <c r="AB94">
        <f t="shared" si="14"/>
        <v>12.161874999997963</v>
      </c>
      <c r="AC94">
        <f>IFERROR(_xlfn.XLOOKUP(B94, HoldSummary!$A:$A, HoldSummary!B:B), 0)</f>
        <v>0</v>
      </c>
      <c r="AD94">
        <f>IFERROR(_xlfn.XLOOKUP(B94, HoldSummary!$A:$A, HoldSummary!C:C), 0)</f>
        <v>0</v>
      </c>
      <c r="AE94">
        <f>IFERROR(_xlfn.XLOOKUP(B94, HoldSummary!$A:$A, HoldSummary!D:D), 0)</f>
        <v>0</v>
      </c>
      <c r="AF94">
        <f>IFERROR(_xlfn.XLOOKUP(B94, HoldSummary!$A:$A, HoldSummary!E:E), 0)</f>
        <v>0</v>
      </c>
      <c r="AG94">
        <f>IFERROR(_xlfn.XLOOKUP(B94, HoldSummary!$A:$A, HoldSummary!F:F), 0)</f>
        <v>0</v>
      </c>
      <c r="AH94">
        <f>IFERROR(_xlfn.XLOOKUP(B94, HoldSummary!$A:$A, HoldSummary!G:G), 0)</f>
        <v>0</v>
      </c>
      <c r="AI94">
        <f>IFERROR(_xlfn.XLOOKUP(B94, HoldSummary!$A:$A, HoldSummary!H:H), 0)</f>
        <v>0</v>
      </c>
      <c r="AJ94">
        <f>IFERROR(_xlfn.XLOOKUP(B94, HoldSummary!$A:$A, HoldSummary!I:I), 0)</f>
        <v>0</v>
      </c>
      <c r="AK94">
        <f t="shared" si="15"/>
        <v>0</v>
      </c>
      <c r="AL94">
        <f t="shared" si="16"/>
        <v>19.161874999997963</v>
      </c>
      <c r="AM94">
        <f t="shared" si="17"/>
        <v>12.161874999997963</v>
      </c>
      <c r="AN94" s="12">
        <f t="shared" si="18"/>
        <v>-0.16666666666424135</v>
      </c>
      <c r="AO94">
        <f t="shared" si="19"/>
        <v>1</v>
      </c>
    </row>
    <row r="95" spans="1:41" x14ac:dyDescent="0.35">
      <c r="A95" t="s">
        <v>23</v>
      </c>
      <c r="B95" t="s">
        <v>237</v>
      </c>
      <c r="C95" t="s">
        <v>76</v>
      </c>
      <c r="D95" t="s">
        <v>44</v>
      </c>
      <c r="E95" t="s">
        <v>45</v>
      </c>
      <c r="F95" t="s">
        <v>28</v>
      </c>
      <c r="G95">
        <v>1</v>
      </c>
      <c r="H95" t="s">
        <v>238</v>
      </c>
      <c r="I95" t="s">
        <v>30</v>
      </c>
      <c r="J95" t="s">
        <v>31</v>
      </c>
      <c r="K95" t="s">
        <v>32</v>
      </c>
      <c r="L95" t="s">
        <v>32</v>
      </c>
      <c r="N95" s="2">
        <v>45369.78570601852</v>
      </c>
      <c r="O95" s="2">
        <v>45518.166666666664</v>
      </c>
      <c r="P95" s="2">
        <v>45524.166666666664</v>
      </c>
      <c r="Q95" s="2">
        <v>45519</v>
      </c>
      <c r="R95" s="2">
        <v>45520.651171226855</v>
      </c>
      <c r="S95" t="s">
        <v>239</v>
      </c>
      <c r="T95" s="2">
        <v>45384.166666666664</v>
      </c>
      <c r="U95" s="2">
        <v>45398.166666666664</v>
      </c>
      <c r="V95" s="2">
        <v>45398.166666666664</v>
      </c>
      <c r="W95" s="2">
        <v>45485.166666666664</v>
      </c>
      <c r="X95" s="3">
        <f t="shared" si="10"/>
        <v>14</v>
      </c>
      <c r="Y95">
        <f t="shared" si="11"/>
        <v>87</v>
      </c>
      <c r="Z95">
        <f t="shared" si="12"/>
        <v>101</v>
      </c>
      <c r="AA95">
        <f t="shared" si="13"/>
        <v>149.2142939814803</v>
      </c>
      <c r="AB95">
        <f t="shared" si="14"/>
        <v>48.214293981480296</v>
      </c>
      <c r="AC95">
        <f>IFERROR(_xlfn.XLOOKUP(B95, HoldSummary!$A:$A, HoldSummary!B:B), 0)</f>
        <v>0</v>
      </c>
      <c r="AD95">
        <f>IFERROR(_xlfn.XLOOKUP(B95, HoldSummary!$A:$A, HoldSummary!C:C), 0)</f>
        <v>0</v>
      </c>
      <c r="AE95">
        <f>IFERROR(_xlfn.XLOOKUP(B95, HoldSummary!$A:$A, HoldSummary!D:D), 0)</f>
        <v>0</v>
      </c>
      <c r="AF95">
        <f>IFERROR(_xlfn.XLOOKUP(B95, HoldSummary!$A:$A, HoldSummary!E:E), 0)</f>
        <v>0</v>
      </c>
      <c r="AG95">
        <f>IFERROR(_xlfn.XLOOKUP(B95, HoldSummary!$A:$A, HoldSummary!F:F), 0)</f>
        <v>0</v>
      </c>
      <c r="AH95">
        <f>IFERROR(_xlfn.XLOOKUP(B95, HoldSummary!$A:$A, HoldSummary!G:G), 0)</f>
        <v>0</v>
      </c>
      <c r="AI95">
        <f>IFERROR(_xlfn.XLOOKUP(B95, HoldSummary!$A:$A, HoldSummary!H:H), 0)</f>
        <v>0</v>
      </c>
      <c r="AJ95">
        <f>IFERROR(_xlfn.XLOOKUP(B95, HoldSummary!$A:$A, HoldSummary!I:I), 0)</f>
        <v>0</v>
      </c>
      <c r="AK95">
        <f t="shared" si="15"/>
        <v>0</v>
      </c>
      <c r="AL95">
        <f t="shared" si="16"/>
        <v>149.2142939814803</v>
      </c>
      <c r="AM95">
        <f t="shared" si="17"/>
        <v>48.214293981480296</v>
      </c>
      <c r="AN95" s="12">
        <f t="shared" si="18"/>
        <v>0.83333333333575865</v>
      </c>
      <c r="AO95">
        <f t="shared" si="19"/>
        <v>0</v>
      </c>
    </row>
    <row r="96" spans="1:41" x14ac:dyDescent="0.35">
      <c r="A96" t="s">
        <v>23</v>
      </c>
      <c r="B96" t="s">
        <v>240</v>
      </c>
      <c r="C96" t="s">
        <v>54</v>
      </c>
      <c r="D96" t="s">
        <v>44</v>
      </c>
      <c r="E96" t="s">
        <v>44</v>
      </c>
      <c r="F96" t="s">
        <v>28</v>
      </c>
      <c r="G96">
        <v>1</v>
      </c>
      <c r="H96" t="s">
        <v>241</v>
      </c>
      <c r="I96" t="s">
        <v>30</v>
      </c>
      <c r="J96" t="s">
        <v>208</v>
      </c>
      <c r="K96" t="s">
        <v>48</v>
      </c>
      <c r="L96" t="s">
        <v>185</v>
      </c>
      <c r="N96" s="2">
        <v>45317.208333333336</v>
      </c>
      <c r="O96" s="2">
        <v>45842.166666666664</v>
      </c>
      <c r="P96" s="2">
        <v>45674.208333333336</v>
      </c>
      <c r="Q96" s="2">
        <v>45670</v>
      </c>
      <c r="R96" s="2">
        <v>45671.599127604168</v>
      </c>
      <c r="S96" t="s">
        <v>242</v>
      </c>
      <c r="T96" s="2">
        <v>45608.208333333336</v>
      </c>
      <c r="U96" s="2">
        <v>45618.208333333336</v>
      </c>
      <c r="V96" s="2">
        <v>45618.208333333336</v>
      </c>
      <c r="W96" s="2">
        <v>45646.208333333336</v>
      </c>
      <c r="X96" s="3">
        <f t="shared" si="10"/>
        <v>10</v>
      </c>
      <c r="Y96">
        <f t="shared" si="11"/>
        <v>28</v>
      </c>
      <c r="Z96">
        <f t="shared" si="12"/>
        <v>38</v>
      </c>
      <c r="AA96">
        <f t="shared" si="13"/>
        <v>352.79166666666424</v>
      </c>
      <c r="AB96">
        <f t="shared" si="14"/>
        <v>314.79166666666424</v>
      </c>
      <c r="AC96">
        <f>IFERROR(_xlfn.XLOOKUP(B96, HoldSummary!$A:$A, HoldSummary!B:B), 0)</f>
        <v>0</v>
      </c>
      <c r="AD96">
        <f>IFERROR(_xlfn.XLOOKUP(B96, HoldSummary!$A:$A, HoldSummary!C:C), 0)</f>
        <v>0</v>
      </c>
      <c r="AE96">
        <f>IFERROR(_xlfn.XLOOKUP(B96, HoldSummary!$A:$A, HoldSummary!D:D), 0)</f>
        <v>7.208712650462985</v>
      </c>
      <c r="AF96">
        <f>IFERROR(_xlfn.XLOOKUP(B96, HoldSummary!$A:$A, HoldSummary!E:E), 0)</f>
        <v>0</v>
      </c>
      <c r="AG96">
        <f>IFERROR(_xlfn.XLOOKUP(B96, HoldSummary!$A:$A, HoldSummary!F:F), 0)</f>
        <v>29.728673784724378</v>
      </c>
      <c r="AH96">
        <f>IFERROR(_xlfn.XLOOKUP(B96, HoldSummary!$A:$A, HoldSummary!G:G), 0)</f>
        <v>0</v>
      </c>
      <c r="AI96">
        <f>IFERROR(_xlfn.XLOOKUP(B96, HoldSummary!$A:$A, HoldSummary!H:H), 0)</f>
        <v>0</v>
      </c>
      <c r="AJ96">
        <f>IFERROR(_xlfn.XLOOKUP(B96, HoldSummary!$A:$A, HoldSummary!I:I), 0)</f>
        <v>6.0158679398155073</v>
      </c>
      <c r="AK96">
        <f t="shared" si="15"/>
        <v>42.953254375002871</v>
      </c>
      <c r="AL96">
        <f t="shared" si="16"/>
        <v>309.83841229166137</v>
      </c>
      <c r="AM96">
        <f t="shared" si="17"/>
        <v>271.83841229166137</v>
      </c>
      <c r="AN96" s="12">
        <f t="shared" si="18"/>
        <v>-172.16666666666424</v>
      </c>
      <c r="AO96">
        <f t="shared" si="19"/>
        <v>1</v>
      </c>
    </row>
    <row r="97" spans="1:41" x14ac:dyDescent="0.35">
      <c r="A97" t="s">
        <v>23</v>
      </c>
      <c r="B97" t="s">
        <v>243</v>
      </c>
      <c r="C97" t="s">
        <v>244</v>
      </c>
      <c r="D97" t="s">
        <v>44</v>
      </c>
      <c r="E97" t="s">
        <v>44</v>
      </c>
      <c r="F97" t="s">
        <v>28</v>
      </c>
      <c r="G97">
        <v>1</v>
      </c>
      <c r="H97" t="s">
        <v>245</v>
      </c>
      <c r="I97" t="s">
        <v>30</v>
      </c>
      <c r="J97" t="s">
        <v>208</v>
      </c>
      <c r="K97" t="s">
        <v>48</v>
      </c>
      <c r="L97" t="s">
        <v>185</v>
      </c>
      <c r="M97" t="s">
        <v>33</v>
      </c>
      <c r="N97" s="2">
        <v>45317.208333333336</v>
      </c>
      <c r="O97" s="2">
        <v>45637.208333333336</v>
      </c>
      <c r="P97" s="2">
        <v>45671.208333333336</v>
      </c>
      <c r="Q97" s="2">
        <v>45674</v>
      </c>
      <c r="R97" s="2">
        <v>45674.86940221065</v>
      </c>
      <c r="S97" t="s">
        <v>246</v>
      </c>
      <c r="T97" s="2">
        <v>45614.208333333336</v>
      </c>
      <c r="U97" s="2">
        <v>45618.208333333336</v>
      </c>
      <c r="V97" s="2">
        <v>45618.208333333336</v>
      </c>
      <c r="W97" s="2">
        <v>45646.208333333336</v>
      </c>
      <c r="X97" s="3">
        <f t="shared" si="10"/>
        <v>4</v>
      </c>
      <c r="Y97">
        <f t="shared" si="11"/>
        <v>28</v>
      </c>
      <c r="Z97">
        <f t="shared" si="12"/>
        <v>32</v>
      </c>
      <c r="AA97">
        <f t="shared" si="13"/>
        <v>356.79166666666424</v>
      </c>
      <c r="AB97">
        <f t="shared" si="14"/>
        <v>324.79166666666424</v>
      </c>
      <c r="AC97">
        <f>IFERROR(_xlfn.XLOOKUP(B97, HoldSummary!$A:$A, HoldSummary!B:B), 0)</f>
        <v>0</v>
      </c>
      <c r="AD97">
        <f>IFERROR(_xlfn.XLOOKUP(B97, HoldSummary!$A:$A, HoldSummary!C:C), 0)</f>
        <v>0</v>
      </c>
      <c r="AE97">
        <f>IFERROR(_xlfn.XLOOKUP(B97, HoldSummary!$A:$A, HoldSummary!D:D), 0)</f>
        <v>0</v>
      </c>
      <c r="AF97">
        <f>IFERROR(_xlfn.XLOOKUP(B97, HoldSummary!$A:$A, HoldSummary!E:E), 0)</f>
        <v>0</v>
      </c>
      <c r="AG97">
        <f>IFERROR(_xlfn.XLOOKUP(B97, HoldSummary!$A:$A, HoldSummary!F:F), 0)</f>
        <v>0</v>
      </c>
      <c r="AH97">
        <f>IFERROR(_xlfn.XLOOKUP(B97, HoldSummary!$A:$A, HoldSummary!G:G), 0)</f>
        <v>0</v>
      </c>
      <c r="AI97">
        <f>IFERROR(_xlfn.XLOOKUP(B97, HoldSummary!$A:$A, HoldSummary!H:H), 0)</f>
        <v>0</v>
      </c>
      <c r="AJ97">
        <f>IFERROR(_xlfn.XLOOKUP(B97, HoldSummary!$A:$A, HoldSummary!I:I), 0)</f>
        <v>0</v>
      </c>
      <c r="AK97">
        <f t="shared" si="15"/>
        <v>0</v>
      </c>
      <c r="AL97">
        <f t="shared" si="16"/>
        <v>356.79166666666424</v>
      </c>
      <c r="AM97">
        <f t="shared" si="17"/>
        <v>324.79166666666424</v>
      </c>
      <c r="AN97" s="12">
        <f t="shared" si="18"/>
        <v>36.791666666664241</v>
      </c>
      <c r="AO97">
        <f t="shared" si="19"/>
        <v>0</v>
      </c>
    </row>
    <row r="98" spans="1:41" x14ac:dyDescent="0.35">
      <c r="A98" t="s">
        <v>23</v>
      </c>
      <c r="B98" t="s">
        <v>247</v>
      </c>
      <c r="C98" t="s">
        <v>244</v>
      </c>
      <c r="D98" t="s">
        <v>44</v>
      </c>
      <c r="E98" t="s">
        <v>44</v>
      </c>
      <c r="F98" t="s">
        <v>28</v>
      </c>
      <c r="G98">
        <v>1</v>
      </c>
      <c r="H98" t="s">
        <v>248</v>
      </c>
      <c r="I98" t="s">
        <v>30</v>
      </c>
      <c r="J98" t="s">
        <v>208</v>
      </c>
      <c r="K98" t="s">
        <v>48</v>
      </c>
      <c r="L98" t="s">
        <v>185</v>
      </c>
      <c r="N98" s="2">
        <v>45317.208333333336</v>
      </c>
      <c r="O98" s="2">
        <v>45568.166666666664</v>
      </c>
      <c r="P98" s="2">
        <v>45685.208333333336</v>
      </c>
      <c r="Q98" s="2">
        <v>45674</v>
      </c>
      <c r="R98" s="2">
        <v>45674.666262719904</v>
      </c>
      <c r="S98" t="s">
        <v>249</v>
      </c>
      <c r="T98" s="2">
        <v>45576.166666666664</v>
      </c>
      <c r="U98" s="2">
        <v>45603.208333333336</v>
      </c>
      <c r="V98" s="2">
        <v>45603.208333333336</v>
      </c>
      <c r="W98" s="2">
        <v>45667.208333333336</v>
      </c>
      <c r="X98" s="3">
        <f t="shared" si="10"/>
        <v>27.041666666671517</v>
      </c>
      <c r="Y98">
        <f t="shared" si="11"/>
        <v>64</v>
      </c>
      <c r="Z98">
        <f t="shared" si="12"/>
        <v>91.041666666671517</v>
      </c>
      <c r="AA98">
        <f t="shared" si="13"/>
        <v>356.79166666666424</v>
      </c>
      <c r="AB98">
        <f t="shared" si="14"/>
        <v>265.74999999999272</v>
      </c>
      <c r="AC98">
        <f>IFERROR(_xlfn.XLOOKUP(B98, HoldSummary!$A:$A, HoldSummary!B:B), 0)</f>
        <v>0</v>
      </c>
      <c r="AD98">
        <f>IFERROR(_xlfn.XLOOKUP(B98, HoldSummary!$A:$A, HoldSummary!C:C), 0)</f>
        <v>0</v>
      </c>
      <c r="AE98">
        <f>IFERROR(_xlfn.XLOOKUP(B98, HoldSummary!$A:$A, HoldSummary!D:D), 0)</f>
        <v>0</v>
      </c>
      <c r="AF98">
        <f>IFERROR(_xlfn.XLOOKUP(B98, HoldSummary!$A:$A, HoldSummary!E:E), 0)</f>
        <v>0</v>
      </c>
      <c r="AG98">
        <f>IFERROR(_xlfn.XLOOKUP(B98, HoldSummary!$A:$A, HoldSummary!F:F), 0)</f>
        <v>0</v>
      </c>
      <c r="AH98">
        <f>IFERROR(_xlfn.XLOOKUP(B98, HoldSummary!$A:$A, HoldSummary!G:G), 0)</f>
        <v>72.15351572916552</v>
      </c>
      <c r="AI98">
        <f>IFERROR(_xlfn.XLOOKUP(B98, HoldSummary!$A:$A, HoldSummary!H:H), 0)</f>
        <v>0</v>
      </c>
      <c r="AJ98">
        <f>IFERROR(_xlfn.XLOOKUP(B98, HoldSummary!$A:$A, HoldSummary!I:I), 0)</f>
        <v>0</v>
      </c>
      <c r="AK98">
        <f t="shared" si="15"/>
        <v>72.15351572916552</v>
      </c>
      <c r="AL98">
        <f t="shared" si="16"/>
        <v>284.63815093749872</v>
      </c>
      <c r="AM98">
        <f t="shared" si="17"/>
        <v>193.5964842708272</v>
      </c>
      <c r="AN98" s="12">
        <f t="shared" si="18"/>
        <v>105.83333333333576</v>
      </c>
      <c r="AO98">
        <f t="shared" si="19"/>
        <v>0</v>
      </c>
    </row>
    <row r="99" spans="1:41" x14ac:dyDescent="0.35">
      <c r="A99" t="s">
        <v>23</v>
      </c>
      <c r="B99">
        <v>104973</v>
      </c>
      <c r="C99" t="s">
        <v>54</v>
      </c>
      <c r="D99" t="s">
        <v>44</v>
      </c>
      <c r="E99" t="s">
        <v>55</v>
      </c>
      <c r="F99" t="s">
        <v>28</v>
      </c>
      <c r="G99">
        <v>1</v>
      </c>
      <c r="H99" t="s">
        <v>250</v>
      </c>
      <c r="I99" t="s">
        <v>30</v>
      </c>
      <c r="J99" t="s">
        <v>31</v>
      </c>
      <c r="K99" t="s">
        <v>57</v>
      </c>
      <c r="L99" t="s">
        <v>58</v>
      </c>
      <c r="N99" s="2">
        <v>45378.166666666664</v>
      </c>
      <c r="O99" s="2">
        <v>45477.166666666664</v>
      </c>
      <c r="P99" s="2">
        <v>45477.166666666664</v>
      </c>
      <c r="Q99" s="2">
        <v>45419</v>
      </c>
      <c r="R99" s="2">
        <v>45419.619010324073</v>
      </c>
      <c r="S99" t="s">
        <v>226</v>
      </c>
      <c r="T99" s="2">
        <v>45394.166666666664</v>
      </c>
      <c r="U99" s="2">
        <v>45397.166666666664</v>
      </c>
      <c r="V99" s="2">
        <v>45397.166666666664</v>
      </c>
      <c r="W99" s="2">
        <v>45414.166666666664</v>
      </c>
      <c r="X99" s="3">
        <f t="shared" si="10"/>
        <v>3</v>
      </c>
      <c r="Y99">
        <f t="shared" si="11"/>
        <v>17</v>
      </c>
      <c r="Z99">
        <f t="shared" si="12"/>
        <v>20</v>
      </c>
      <c r="AA99">
        <f t="shared" si="13"/>
        <v>40.833333333335759</v>
      </c>
      <c r="AB99">
        <f t="shared" si="14"/>
        <v>20.833333333335759</v>
      </c>
      <c r="AC99">
        <f>IFERROR(_xlfn.XLOOKUP(B99, HoldSummary!$A:$A, HoldSummary!B:B), 0)</f>
        <v>0</v>
      </c>
      <c r="AD99">
        <f>IFERROR(_xlfn.XLOOKUP(B99, HoldSummary!$A:$A, HoldSummary!C:C), 0)</f>
        <v>0</v>
      </c>
      <c r="AE99">
        <f>IFERROR(_xlfn.XLOOKUP(B99, HoldSummary!$A:$A, HoldSummary!D:D), 0)</f>
        <v>0</v>
      </c>
      <c r="AF99">
        <f>IFERROR(_xlfn.XLOOKUP(B99, HoldSummary!$A:$A, HoldSummary!E:E), 0)</f>
        <v>0</v>
      </c>
      <c r="AG99">
        <f>IFERROR(_xlfn.XLOOKUP(B99, HoldSummary!$A:$A, HoldSummary!F:F), 0)</f>
        <v>0</v>
      </c>
      <c r="AH99">
        <f>IFERROR(_xlfn.XLOOKUP(B99, HoldSummary!$A:$A, HoldSummary!G:G), 0)</f>
        <v>0</v>
      </c>
      <c r="AI99">
        <f>IFERROR(_xlfn.XLOOKUP(B99, HoldSummary!$A:$A, HoldSummary!H:H), 0)</f>
        <v>0</v>
      </c>
      <c r="AJ99">
        <f>IFERROR(_xlfn.XLOOKUP(B99, HoldSummary!$A:$A, HoldSummary!I:I), 0)</f>
        <v>0</v>
      </c>
      <c r="AK99">
        <f t="shared" si="15"/>
        <v>0</v>
      </c>
      <c r="AL99">
        <f t="shared" si="16"/>
        <v>40.833333333335759</v>
      </c>
      <c r="AM99">
        <f t="shared" si="17"/>
        <v>20.833333333335759</v>
      </c>
      <c r="AN99" s="12">
        <f t="shared" si="18"/>
        <v>-58.166666666664241</v>
      </c>
      <c r="AO99">
        <f t="shared" si="19"/>
        <v>1</v>
      </c>
    </row>
    <row r="100" spans="1:41" x14ac:dyDescent="0.35">
      <c r="A100" t="s">
        <v>23</v>
      </c>
      <c r="B100" t="s">
        <v>251</v>
      </c>
      <c r="C100" t="s">
        <v>43</v>
      </c>
      <c r="D100" t="s">
        <v>44</v>
      </c>
      <c r="E100" t="s">
        <v>45</v>
      </c>
      <c r="F100" t="s">
        <v>28</v>
      </c>
      <c r="G100">
        <v>1</v>
      </c>
      <c r="H100" t="s">
        <v>252</v>
      </c>
      <c r="I100" t="s">
        <v>30</v>
      </c>
      <c r="J100" t="s">
        <v>31</v>
      </c>
      <c r="K100" t="s">
        <v>38</v>
      </c>
      <c r="L100" t="s">
        <v>39</v>
      </c>
      <c r="N100" s="2">
        <v>45386.679884259262</v>
      </c>
      <c r="O100" s="2">
        <v>45520.166666666664</v>
      </c>
      <c r="P100" s="2">
        <v>45520.166666666664</v>
      </c>
      <c r="Q100" s="2">
        <v>45520</v>
      </c>
      <c r="R100" s="2">
        <v>45520.761243622685</v>
      </c>
      <c r="S100" t="s">
        <v>253</v>
      </c>
      <c r="T100" s="2">
        <v>45406.166666666664</v>
      </c>
      <c r="U100" s="2">
        <v>45406.166666666664</v>
      </c>
      <c r="V100" s="2">
        <v>45406.166666666664</v>
      </c>
      <c r="W100" s="2">
        <v>45519.166666666664</v>
      </c>
      <c r="X100" s="3">
        <f t="shared" si="10"/>
        <v>0</v>
      </c>
      <c r="Y100">
        <f t="shared" si="11"/>
        <v>113</v>
      </c>
      <c r="Z100">
        <f t="shared" si="12"/>
        <v>113</v>
      </c>
      <c r="AA100">
        <f t="shared" si="13"/>
        <v>133.3201157407384</v>
      </c>
      <c r="AB100">
        <f t="shared" si="14"/>
        <v>20.320115740738402</v>
      </c>
      <c r="AC100">
        <f>IFERROR(_xlfn.XLOOKUP(B100, HoldSummary!$A:$A, HoldSummary!B:B), 0)</f>
        <v>0</v>
      </c>
      <c r="AD100">
        <f>IFERROR(_xlfn.XLOOKUP(B100, HoldSummary!$A:$A, HoldSummary!C:C), 0)</f>
        <v>0</v>
      </c>
      <c r="AE100">
        <f>IFERROR(_xlfn.XLOOKUP(B100, HoldSummary!$A:$A, HoldSummary!D:D), 0)</f>
        <v>0</v>
      </c>
      <c r="AF100">
        <f>IFERROR(_xlfn.XLOOKUP(B100, HoldSummary!$A:$A, HoldSummary!E:E), 0)</f>
        <v>0</v>
      </c>
      <c r="AG100">
        <f>IFERROR(_xlfn.XLOOKUP(B100, HoldSummary!$A:$A, HoldSummary!F:F), 0)</f>
        <v>0</v>
      </c>
      <c r="AH100">
        <f>IFERROR(_xlfn.XLOOKUP(B100, HoldSummary!$A:$A, HoldSummary!G:G), 0)</f>
        <v>0</v>
      </c>
      <c r="AI100">
        <f>IFERROR(_xlfn.XLOOKUP(B100, HoldSummary!$A:$A, HoldSummary!H:H), 0)</f>
        <v>0</v>
      </c>
      <c r="AJ100">
        <f>IFERROR(_xlfn.XLOOKUP(B100, HoldSummary!$A:$A, HoldSummary!I:I), 0)</f>
        <v>61</v>
      </c>
      <c r="AK100">
        <f t="shared" si="15"/>
        <v>61</v>
      </c>
      <c r="AL100">
        <f t="shared" si="16"/>
        <v>72.320115740738402</v>
      </c>
      <c r="AM100">
        <f t="shared" si="17"/>
        <v>-40.679884259261598</v>
      </c>
      <c r="AN100" s="12">
        <f t="shared" si="18"/>
        <v>-0.16666666666424135</v>
      </c>
      <c r="AO100">
        <f t="shared" si="19"/>
        <v>1</v>
      </c>
    </row>
    <row r="101" spans="1:41" x14ac:dyDescent="0.35">
      <c r="A101" t="s">
        <v>23</v>
      </c>
      <c r="B101" t="s">
        <v>254</v>
      </c>
      <c r="C101" t="s">
        <v>54</v>
      </c>
      <c r="D101" t="s">
        <v>44</v>
      </c>
      <c r="E101" t="s">
        <v>45</v>
      </c>
      <c r="F101" t="s">
        <v>28</v>
      </c>
      <c r="G101">
        <v>1</v>
      </c>
      <c r="H101" t="s">
        <v>255</v>
      </c>
      <c r="I101" t="s">
        <v>30</v>
      </c>
      <c r="J101" t="s">
        <v>31</v>
      </c>
      <c r="K101" t="s">
        <v>57</v>
      </c>
      <c r="L101" t="s">
        <v>53</v>
      </c>
      <c r="N101" s="2">
        <v>45393.710787037038</v>
      </c>
      <c r="O101" s="2">
        <v>45471.166666666664</v>
      </c>
      <c r="P101" s="2">
        <v>45582.166666666664</v>
      </c>
      <c r="Q101" s="2">
        <v>45516</v>
      </c>
      <c r="R101" s="2">
        <v>45516.684976041666</v>
      </c>
      <c r="S101" t="s">
        <v>256</v>
      </c>
      <c r="T101" s="2">
        <v>45420.166666666664</v>
      </c>
      <c r="U101" s="2">
        <v>45450.166666666664</v>
      </c>
      <c r="V101" s="2">
        <v>45450.166666666664</v>
      </c>
      <c r="W101" s="2">
        <v>45503.166666666664</v>
      </c>
      <c r="X101" s="3">
        <f t="shared" si="10"/>
        <v>30</v>
      </c>
      <c r="Y101">
        <f t="shared" si="11"/>
        <v>53</v>
      </c>
      <c r="Z101">
        <f t="shared" si="12"/>
        <v>83</v>
      </c>
      <c r="AA101">
        <f t="shared" si="13"/>
        <v>122.28921296296176</v>
      </c>
      <c r="AB101">
        <f t="shared" si="14"/>
        <v>39.289212962961756</v>
      </c>
      <c r="AC101">
        <f>IFERROR(_xlfn.XLOOKUP(B101, HoldSummary!$A:$A, HoldSummary!B:B), 0)</f>
        <v>0</v>
      </c>
      <c r="AD101">
        <f>IFERROR(_xlfn.XLOOKUP(B101, HoldSummary!$A:$A, HoldSummary!C:C), 0)</f>
        <v>0</v>
      </c>
      <c r="AE101">
        <f>IFERROR(_xlfn.XLOOKUP(B101, HoldSummary!$A:$A, HoldSummary!D:D), 0)</f>
        <v>0</v>
      </c>
      <c r="AF101">
        <f>IFERROR(_xlfn.XLOOKUP(B101, HoldSummary!$A:$A, HoldSummary!E:E), 0)</f>
        <v>0</v>
      </c>
      <c r="AG101">
        <f>IFERROR(_xlfn.XLOOKUP(B101, HoldSummary!$A:$A, HoldSummary!F:F), 0)</f>
        <v>0</v>
      </c>
      <c r="AH101">
        <f>IFERROR(_xlfn.XLOOKUP(B101, HoldSummary!$A:$A, HoldSummary!G:G), 0)</f>
        <v>0</v>
      </c>
      <c r="AI101">
        <f>IFERROR(_xlfn.XLOOKUP(B101, HoldSummary!$A:$A, HoldSummary!H:H), 0)</f>
        <v>0</v>
      </c>
      <c r="AJ101">
        <f>IFERROR(_xlfn.XLOOKUP(B101, HoldSummary!$A:$A, HoldSummary!I:I), 0)</f>
        <v>0</v>
      </c>
      <c r="AK101">
        <f t="shared" si="15"/>
        <v>0</v>
      </c>
      <c r="AL101">
        <f t="shared" si="16"/>
        <v>122.28921296296176</v>
      </c>
      <c r="AM101">
        <f t="shared" si="17"/>
        <v>39.289212962961756</v>
      </c>
      <c r="AN101" s="12">
        <f t="shared" si="18"/>
        <v>44.833333333335759</v>
      </c>
      <c r="AO101">
        <f t="shared" si="19"/>
        <v>0</v>
      </c>
    </row>
    <row r="102" spans="1:41" x14ac:dyDescent="0.35">
      <c r="A102" t="s">
        <v>23</v>
      </c>
      <c r="B102" t="s">
        <v>257</v>
      </c>
      <c r="C102" t="s">
        <v>54</v>
      </c>
      <c r="D102" t="s">
        <v>44</v>
      </c>
      <c r="E102" t="s">
        <v>45</v>
      </c>
      <c r="F102" t="s">
        <v>28</v>
      </c>
      <c r="G102">
        <v>1</v>
      </c>
      <c r="H102" t="s">
        <v>258</v>
      </c>
      <c r="I102" t="s">
        <v>30</v>
      </c>
      <c r="J102" t="s">
        <v>31</v>
      </c>
      <c r="K102" t="s">
        <v>38</v>
      </c>
      <c r="L102" t="s">
        <v>53</v>
      </c>
      <c r="M102" t="s">
        <v>33</v>
      </c>
      <c r="N102" s="2">
        <v>45427.587719907409</v>
      </c>
      <c r="O102" s="2">
        <v>45478.166666666664</v>
      </c>
      <c r="P102" s="2">
        <v>45547.166666666664</v>
      </c>
      <c r="Q102" s="2">
        <v>45475</v>
      </c>
      <c r="R102" s="2">
        <v>45478.773919548614</v>
      </c>
      <c r="S102" t="s">
        <v>215</v>
      </c>
      <c r="T102" s="2">
        <v>45436.166666666664</v>
      </c>
      <c r="U102" s="2">
        <v>45441.166666666664</v>
      </c>
      <c r="V102" s="2">
        <v>45441.166666666664</v>
      </c>
      <c r="W102" s="2">
        <v>45441.166666666664</v>
      </c>
      <c r="X102" s="3">
        <f t="shared" si="10"/>
        <v>5</v>
      </c>
      <c r="Y102">
        <f t="shared" si="11"/>
        <v>0</v>
      </c>
      <c r="Z102">
        <f t="shared" si="12"/>
        <v>5</v>
      </c>
      <c r="AA102">
        <f t="shared" si="13"/>
        <v>47.412280092590663</v>
      </c>
      <c r="AB102">
        <f t="shared" si="14"/>
        <v>42.412280092590663</v>
      </c>
      <c r="AC102">
        <f>IFERROR(_xlfn.XLOOKUP(B102, HoldSummary!$A:$A, HoldSummary!B:B), 0)</f>
        <v>0</v>
      </c>
      <c r="AD102">
        <f>IFERROR(_xlfn.XLOOKUP(B102, HoldSummary!$A:$A, HoldSummary!C:C), 0)</f>
        <v>0</v>
      </c>
      <c r="AE102">
        <f>IFERROR(_xlfn.XLOOKUP(B102, HoldSummary!$A:$A, HoldSummary!D:D), 0)</f>
        <v>0</v>
      </c>
      <c r="AF102">
        <f>IFERROR(_xlfn.XLOOKUP(B102, HoldSummary!$A:$A, HoldSummary!E:E), 0)</f>
        <v>0</v>
      </c>
      <c r="AG102">
        <f>IFERROR(_xlfn.XLOOKUP(B102, HoldSummary!$A:$A, HoldSummary!F:F), 0)</f>
        <v>0</v>
      </c>
      <c r="AH102">
        <f>IFERROR(_xlfn.XLOOKUP(B102, HoldSummary!$A:$A, HoldSummary!G:G), 0)</f>
        <v>0</v>
      </c>
      <c r="AI102">
        <f>IFERROR(_xlfn.XLOOKUP(B102, HoldSummary!$A:$A, HoldSummary!H:H), 0)</f>
        <v>0</v>
      </c>
      <c r="AJ102">
        <f>IFERROR(_xlfn.XLOOKUP(B102, HoldSummary!$A:$A, HoldSummary!I:I), 0)</f>
        <v>0</v>
      </c>
      <c r="AK102">
        <f t="shared" si="15"/>
        <v>0</v>
      </c>
      <c r="AL102">
        <f t="shared" si="16"/>
        <v>47.412280092590663</v>
      </c>
      <c r="AM102">
        <f t="shared" si="17"/>
        <v>42.412280092590663</v>
      </c>
      <c r="AN102" s="12">
        <f t="shared" si="18"/>
        <v>-3.1666666666642413</v>
      </c>
      <c r="AO102">
        <f t="shared" si="19"/>
        <v>1</v>
      </c>
    </row>
    <row r="103" spans="1:41" x14ac:dyDescent="0.35">
      <c r="A103" t="s">
        <v>23</v>
      </c>
      <c r="B103" t="s">
        <v>259</v>
      </c>
      <c r="C103" t="s">
        <v>76</v>
      </c>
      <c r="D103" t="s">
        <v>44</v>
      </c>
      <c r="E103" t="s">
        <v>45</v>
      </c>
      <c r="F103" t="s">
        <v>28</v>
      </c>
      <c r="G103">
        <v>1</v>
      </c>
      <c r="H103" t="s">
        <v>260</v>
      </c>
      <c r="I103" t="s">
        <v>30</v>
      </c>
      <c r="J103" t="s">
        <v>31</v>
      </c>
      <c r="K103" t="s">
        <v>38</v>
      </c>
      <c r="L103" t="s">
        <v>39</v>
      </c>
      <c r="M103" t="s">
        <v>33</v>
      </c>
      <c r="N103" s="2">
        <v>45434.568530092591</v>
      </c>
      <c r="O103" s="2">
        <v>45447.166666666664</v>
      </c>
      <c r="P103" s="2">
        <v>45447.166666666664</v>
      </c>
      <c r="Q103" s="2">
        <v>45443</v>
      </c>
      <c r="R103" s="2">
        <v>45443.865411979168</v>
      </c>
      <c r="T103" s="2">
        <v>45440.166666666664</v>
      </c>
      <c r="U103" s="2">
        <v>45442.166666666664</v>
      </c>
      <c r="V103" s="2">
        <v>45442.166666666664</v>
      </c>
      <c r="W103" s="2">
        <v>45442.166666666664</v>
      </c>
      <c r="X103" s="3">
        <f t="shared" si="10"/>
        <v>2</v>
      </c>
      <c r="Y103">
        <f t="shared" si="11"/>
        <v>0</v>
      </c>
      <c r="Z103">
        <f t="shared" si="12"/>
        <v>2</v>
      </c>
      <c r="AA103">
        <f t="shared" si="13"/>
        <v>8.4314699074093369</v>
      </c>
      <c r="AB103">
        <f t="shared" si="14"/>
        <v>6.4314699074093369</v>
      </c>
      <c r="AC103">
        <f>IFERROR(_xlfn.XLOOKUP(B103, HoldSummary!$A:$A, HoldSummary!B:B), 0)</f>
        <v>3</v>
      </c>
      <c r="AD103">
        <f>IFERROR(_xlfn.XLOOKUP(B103, HoldSummary!$A:$A, HoldSummary!C:C), 0)</f>
        <v>0</v>
      </c>
      <c r="AE103">
        <f>IFERROR(_xlfn.XLOOKUP(B103, HoldSummary!$A:$A, HoldSummary!D:D), 0)</f>
        <v>0</v>
      </c>
      <c r="AF103">
        <f>IFERROR(_xlfn.XLOOKUP(B103, HoldSummary!$A:$A, HoldSummary!E:E), 0)</f>
        <v>0</v>
      </c>
      <c r="AG103">
        <f>IFERROR(_xlfn.XLOOKUP(B103, HoldSummary!$A:$A, HoldSummary!F:F), 0)</f>
        <v>1</v>
      </c>
      <c r="AH103">
        <f>IFERROR(_xlfn.XLOOKUP(B103, HoldSummary!$A:$A, HoldSummary!G:G), 0)</f>
        <v>0</v>
      </c>
      <c r="AI103">
        <f>IFERROR(_xlfn.XLOOKUP(B103, HoldSummary!$A:$A, HoldSummary!H:H), 0)</f>
        <v>0</v>
      </c>
      <c r="AJ103">
        <f>IFERROR(_xlfn.XLOOKUP(B103, HoldSummary!$A:$A, HoldSummary!I:I), 0)</f>
        <v>0</v>
      </c>
      <c r="AK103">
        <f t="shared" si="15"/>
        <v>4</v>
      </c>
      <c r="AL103">
        <f t="shared" si="16"/>
        <v>4.4314699074093369</v>
      </c>
      <c r="AM103">
        <f t="shared" si="17"/>
        <v>2.4314699074093369</v>
      </c>
      <c r="AN103" s="12">
        <f t="shared" si="18"/>
        <v>-4.1666666666642413</v>
      </c>
      <c r="AO103">
        <f t="shared" si="19"/>
        <v>1</v>
      </c>
    </row>
    <row r="104" spans="1:41" x14ac:dyDescent="0.35">
      <c r="A104" t="s">
        <v>23</v>
      </c>
      <c r="B104" t="s">
        <v>261</v>
      </c>
      <c r="C104" t="s">
        <v>76</v>
      </c>
      <c r="D104" t="s">
        <v>44</v>
      </c>
      <c r="E104" t="s">
        <v>45</v>
      </c>
      <c r="F104" t="s">
        <v>28</v>
      </c>
      <c r="G104">
        <v>1</v>
      </c>
      <c r="H104" t="s">
        <v>262</v>
      </c>
      <c r="I104" t="s">
        <v>30</v>
      </c>
      <c r="J104" t="s">
        <v>31</v>
      </c>
      <c r="K104" t="s">
        <v>48</v>
      </c>
      <c r="L104" t="s">
        <v>49</v>
      </c>
      <c r="M104" t="s">
        <v>33</v>
      </c>
      <c r="N104" s="2">
        <v>45449.495694444442</v>
      </c>
      <c r="O104" s="2">
        <v>45489.166666666664</v>
      </c>
      <c r="P104" s="2">
        <v>45489.166666666664</v>
      </c>
      <c r="Q104" s="2">
        <v>45481</v>
      </c>
      <c r="R104" s="2">
        <v>45481.620210312503</v>
      </c>
      <c r="S104" t="s">
        <v>263</v>
      </c>
      <c r="T104" s="2">
        <v>45464.166666666664</v>
      </c>
      <c r="U104" s="2">
        <v>45469.166666666664</v>
      </c>
      <c r="V104" s="2">
        <v>45469.166666666664</v>
      </c>
      <c r="W104" s="2">
        <v>45469.166666666664</v>
      </c>
      <c r="X104" s="3">
        <f t="shared" si="10"/>
        <v>5</v>
      </c>
      <c r="Y104">
        <f t="shared" si="11"/>
        <v>0</v>
      </c>
      <c r="Z104">
        <f t="shared" si="12"/>
        <v>5</v>
      </c>
      <c r="AA104">
        <f t="shared" si="13"/>
        <v>31.504305555557949</v>
      </c>
      <c r="AB104">
        <f t="shared" si="14"/>
        <v>26.504305555557949</v>
      </c>
      <c r="AC104">
        <f>IFERROR(_xlfn.XLOOKUP(B104, HoldSummary!$A:$A, HoldSummary!B:B), 0)</f>
        <v>0</v>
      </c>
      <c r="AD104">
        <f>IFERROR(_xlfn.XLOOKUP(B104, HoldSummary!$A:$A, HoldSummary!C:C), 0)</f>
        <v>0</v>
      </c>
      <c r="AE104">
        <f>IFERROR(_xlfn.XLOOKUP(B104, HoldSummary!$A:$A, HoldSummary!D:D), 0)</f>
        <v>0</v>
      </c>
      <c r="AF104">
        <f>IFERROR(_xlfn.XLOOKUP(B104, HoldSummary!$A:$A, HoldSummary!E:E), 0)</f>
        <v>0</v>
      </c>
      <c r="AG104">
        <f>IFERROR(_xlfn.XLOOKUP(B104, HoldSummary!$A:$A, HoldSummary!F:F), 0)</f>
        <v>0</v>
      </c>
      <c r="AH104">
        <f>IFERROR(_xlfn.XLOOKUP(B104, HoldSummary!$A:$A, HoldSummary!G:G), 0)</f>
        <v>0</v>
      </c>
      <c r="AI104">
        <f>IFERROR(_xlfn.XLOOKUP(B104, HoldSummary!$A:$A, HoldSummary!H:H), 0)</f>
        <v>0</v>
      </c>
      <c r="AJ104">
        <f>IFERROR(_xlfn.XLOOKUP(B104, HoldSummary!$A:$A, HoldSummary!I:I), 0)</f>
        <v>0</v>
      </c>
      <c r="AK104">
        <f t="shared" si="15"/>
        <v>0</v>
      </c>
      <c r="AL104">
        <f t="shared" si="16"/>
        <v>31.504305555557949</v>
      </c>
      <c r="AM104">
        <f t="shared" si="17"/>
        <v>26.504305555557949</v>
      </c>
      <c r="AN104" s="12">
        <f t="shared" si="18"/>
        <v>-8.1666666666642413</v>
      </c>
      <c r="AO104">
        <f t="shared" si="19"/>
        <v>1</v>
      </c>
    </row>
    <row r="105" spans="1:41" x14ac:dyDescent="0.35">
      <c r="A105" t="s">
        <v>23</v>
      </c>
      <c r="B105" t="s">
        <v>264</v>
      </c>
      <c r="C105" t="s">
        <v>76</v>
      </c>
      <c r="D105" t="s">
        <v>44</v>
      </c>
      <c r="E105" t="s">
        <v>45</v>
      </c>
      <c r="F105" t="s">
        <v>28</v>
      </c>
      <c r="G105">
        <v>1</v>
      </c>
      <c r="H105" t="s">
        <v>265</v>
      </c>
      <c r="I105" t="s">
        <v>30</v>
      </c>
      <c r="J105" t="s">
        <v>31</v>
      </c>
      <c r="K105" t="s">
        <v>32</v>
      </c>
      <c r="L105" t="s">
        <v>32</v>
      </c>
      <c r="M105" t="s">
        <v>33</v>
      </c>
      <c r="N105" s="2">
        <v>45442.60800925926</v>
      </c>
      <c r="O105" s="2">
        <v>45511.166666666664</v>
      </c>
      <c r="P105" s="2">
        <v>45511.166666666664</v>
      </c>
      <c r="Q105" s="2">
        <v>45503</v>
      </c>
      <c r="R105" s="2">
        <v>45503.879532800929</v>
      </c>
      <c r="T105" s="2"/>
      <c r="U105" s="2"/>
      <c r="V105" s="2"/>
      <c r="W105" s="2"/>
      <c r="X105" s="3" t="str">
        <f t="shared" si="10"/>
        <v/>
      </c>
      <c r="Y105" t="str">
        <f t="shared" si="11"/>
        <v/>
      </c>
      <c r="Z105">
        <f t="shared" si="12"/>
        <v>0</v>
      </c>
      <c r="AA105">
        <f t="shared" si="13"/>
        <v>60.391990740739857</v>
      </c>
      <c r="AB105">
        <f t="shared" si="14"/>
        <v>60.391990740739857</v>
      </c>
      <c r="AC105">
        <f>IFERROR(_xlfn.XLOOKUP(B105, HoldSummary!$A:$A, HoldSummary!B:B), 0)</f>
        <v>0</v>
      </c>
      <c r="AD105">
        <f>IFERROR(_xlfn.XLOOKUP(B105, HoldSummary!$A:$A, HoldSummary!C:C), 0)</f>
        <v>0</v>
      </c>
      <c r="AE105">
        <f>IFERROR(_xlfn.XLOOKUP(B105, HoldSummary!$A:$A, HoldSummary!D:D), 0)</f>
        <v>0</v>
      </c>
      <c r="AF105">
        <f>IFERROR(_xlfn.XLOOKUP(B105, HoldSummary!$A:$A, HoldSummary!E:E), 0)</f>
        <v>0</v>
      </c>
      <c r="AG105">
        <f>IFERROR(_xlfn.XLOOKUP(B105, HoldSummary!$A:$A, HoldSummary!F:F), 0)</f>
        <v>0</v>
      </c>
      <c r="AH105">
        <f>IFERROR(_xlfn.XLOOKUP(B105, HoldSummary!$A:$A, HoldSummary!G:G), 0)</f>
        <v>0</v>
      </c>
      <c r="AI105">
        <f>IFERROR(_xlfn.XLOOKUP(B105, HoldSummary!$A:$A, HoldSummary!H:H), 0)</f>
        <v>0</v>
      </c>
      <c r="AJ105">
        <f>IFERROR(_xlfn.XLOOKUP(B105, HoldSummary!$A:$A, HoldSummary!I:I), 0)</f>
        <v>0</v>
      </c>
      <c r="AK105">
        <f t="shared" si="15"/>
        <v>0</v>
      </c>
      <c r="AL105">
        <f t="shared" si="16"/>
        <v>60.391990740739857</v>
      </c>
      <c r="AM105">
        <f t="shared" si="17"/>
        <v>60.391990740739857</v>
      </c>
      <c r="AN105" s="12">
        <f t="shared" si="18"/>
        <v>-8.1666666666642413</v>
      </c>
      <c r="AO105">
        <f t="shared" si="19"/>
        <v>1</v>
      </c>
    </row>
    <row r="106" spans="1:41" x14ac:dyDescent="0.35">
      <c r="A106" t="s">
        <v>23</v>
      </c>
      <c r="B106" t="s">
        <v>266</v>
      </c>
      <c r="C106" t="s">
        <v>43</v>
      </c>
      <c r="D106" t="s">
        <v>44</v>
      </c>
      <c r="E106" t="s">
        <v>45</v>
      </c>
      <c r="F106" t="s">
        <v>28</v>
      </c>
      <c r="G106">
        <v>1</v>
      </c>
      <c r="H106" t="s">
        <v>267</v>
      </c>
      <c r="I106" t="s">
        <v>30</v>
      </c>
      <c r="J106" t="s">
        <v>31</v>
      </c>
      <c r="K106" t="s">
        <v>48</v>
      </c>
      <c r="L106" t="s">
        <v>39</v>
      </c>
      <c r="M106" t="s">
        <v>140</v>
      </c>
      <c r="N106" s="2">
        <v>45460.493888888886</v>
      </c>
      <c r="O106" s="2">
        <v>45504.166666666664</v>
      </c>
      <c r="P106" s="2">
        <v>45527.166666666664</v>
      </c>
      <c r="Q106" s="2">
        <v>45516</v>
      </c>
      <c r="R106" s="2">
        <v>45516.884326828702</v>
      </c>
      <c r="T106" s="2"/>
      <c r="U106" s="2"/>
      <c r="V106" s="2"/>
      <c r="W106" s="2"/>
      <c r="X106" s="3" t="str">
        <f t="shared" si="10"/>
        <v/>
      </c>
      <c r="Y106" t="str">
        <f t="shared" si="11"/>
        <v/>
      </c>
      <c r="Z106">
        <f t="shared" si="12"/>
        <v>0</v>
      </c>
      <c r="AA106">
        <f t="shared" si="13"/>
        <v>55.506111111113569</v>
      </c>
      <c r="AB106">
        <f t="shared" si="14"/>
        <v>55.506111111113569</v>
      </c>
      <c r="AC106">
        <f>IFERROR(_xlfn.XLOOKUP(B106, HoldSummary!$A:$A, HoldSummary!B:B), 0)</f>
        <v>0</v>
      </c>
      <c r="AD106">
        <f>IFERROR(_xlfn.XLOOKUP(B106, HoldSummary!$A:$A, HoldSummary!C:C), 0)</f>
        <v>0</v>
      </c>
      <c r="AE106">
        <f>IFERROR(_xlfn.XLOOKUP(B106, HoldSummary!$A:$A, HoldSummary!D:D), 0)</f>
        <v>0</v>
      </c>
      <c r="AF106">
        <f>IFERROR(_xlfn.XLOOKUP(B106, HoldSummary!$A:$A, HoldSummary!E:E), 0)</f>
        <v>0</v>
      </c>
      <c r="AG106">
        <f>IFERROR(_xlfn.XLOOKUP(B106, HoldSummary!$A:$A, HoldSummary!F:F), 0)</f>
        <v>0</v>
      </c>
      <c r="AH106">
        <f>IFERROR(_xlfn.XLOOKUP(B106, HoldSummary!$A:$A, HoldSummary!G:G), 0)</f>
        <v>0</v>
      </c>
      <c r="AI106">
        <f>IFERROR(_xlfn.XLOOKUP(B106, HoldSummary!$A:$A, HoldSummary!H:H), 0)</f>
        <v>0</v>
      </c>
      <c r="AJ106">
        <f>IFERROR(_xlfn.XLOOKUP(B106, HoldSummary!$A:$A, HoldSummary!I:I), 0)</f>
        <v>0</v>
      </c>
      <c r="AK106">
        <f t="shared" si="15"/>
        <v>0</v>
      </c>
      <c r="AL106">
        <f t="shared" si="16"/>
        <v>55.506111111113569</v>
      </c>
      <c r="AM106">
        <f t="shared" si="17"/>
        <v>55.506111111113569</v>
      </c>
      <c r="AN106" s="12">
        <f t="shared" si="18"/>
        <v>11.833333333335759</v>
      </c>
      <c r="AO106">
        <f t="shared" si="19"/>
        <v>0</v>
      </c>
    </row>
    <row r="107" spans="1:41" x14ac:dyDescent="0.35">
      <c r="A107" t="s">
        <v>23</v>
      </c>
      <c r="B107" t="s">
        <v>268</v>
      </c>
      <c r="C107" t="s">
        <v>269</v>
      </c>
      <c r="D107" t="s">
        <v>44</v>
      </c>
      <c r="E107" t="s">
        <v>45</v>
      </c>
      <c r="F107" t="s">
        <v>28</v>
      </c>
      <c r="G107">
        <v>1</v>
      </c>
      <c r="H107" t="s">
        <v>270</v>
      </c>
      <c r="I107" t="s">
        <v>30</v>
      </c>
      <c r="J107" t="s">
        <v>31</v>
      </c>
      <c r="K107" t="s">
        <v>38</v>
      </c>
      <c r="L107" t="s">
        <v>39</v>
      </c>
      <c r="M107" t="s">
        <v>33</v>
      </c>
      <c r="N107" s="2">
        <v>45500.674016203702</v>
      </c>
      <c r="O107" s="2">
        <v>45504.166666666664</v>
      </c>
      <c r="P107" s="2">
        <v>45504.166666666664</v>
      </c>
      <c r="Q107" s="2">
        <v>45504</v>
      </c>
      <c r="R107" s="2">
        <v>45504.802709930555</v>
      </c>
      <c r="T107" s="2"/>
      <c r="U107" s="2"/>
      <c r="V107" s="2"/>
      <c r="W107" s="2"/>
      <c r="X107" s="3" t="str">
        <f t="shared" si="10"/>
        <v/>
      </c>
      <c r="Y107" t="str">
        <f t="shared" si="11"/>
        <v/>
      </c>
      <c r="Z107">
        <f t="shared" si="12"/>
        <v>0</v>
      </c>
      <c r="AA107">
        <f t="shared" si="13"/>
        <v>3.3259837962978054</v>
      </c>
      <c r="AB107">
        <f t="shared" si="14"/>
        <v>3.3259837962978054</v>
      </c>
      <c r="AC107">
        <f>IFERROR(_xlfn.XLOOKUP(B107, HoldSummary!$A:$A, HoldSummary!B:B), 0)</f>
        <v>0</v>
      </c>
      <c r="AD107">
        <f>IFERROR(_xlfn.XLOOKUP(B107, HoldSummary!$A:$A, HoldSummary!C:C), 0)</f>
        <v>0</v>
      </c>
      <c r="AE107">
        <f>IFERROR(_xlfn.XLOOKUP(B107, HoldSummary!$A:$A, HoldSummary!D:D), 0)</f>
        <v>0</v>
      </c>
      <c r="AF107">
        <f>IFERROR(_xlfn.XLOOKUP(B107, HoldSummary!$A:$A, HoldSummary!E:E), 0)</f>
        <v>0</v>
      </c>
      <c r="AG107">
        <f>IFERROR(_xlfn.XLOOKUP(B107, HoldSummary!$A:$A, HoldSummary!F:F), 0)</f>
        <v>0</v>
      </c>
      <c r="AH107">
        <f>IFERROR(_xlfn.XLOOKUP(B107, HoldSummary!$A:$A, HoldSummary!G:G), 0)</f>
        <v>0</v>
      </c>
      <c r="AI107">
        <f>IFERROR(_xlfn.XLOOKUP(B107, HoldSummary!$A:$A, HoldSummary!H:H), 0)</f>
        <v>0</v>
      </c>
      <c r="AJ107">
        <f>IFERROR(_xlfn.XLOOKUP(B107, HoldSummary!$A:$A, HoldSummary!I:I), 0)</f>
        <v>0</v>
      </c>
      <c r="AK107">
        <f t="shared" si="15"/>
        <v>0</v>
      </c>
      <c r="AL107">
        <f t="shared" si="16"/>
        <v>3.3259837962978054</v>
      </c>
      <c r="AM107">
        <f t="shared" si="17"/>
        <v>3.3259837962978054</v>
      </c>
      <c r="AN107" s="12">
        <f t="shared" si="18"/>
        <v>-0.16666666666424135</v>
      </c>
      <c r="AO107">
        <f t="shared" si="19"/>
        <v>1</v>
      </c>
    </row>
    <row r="108" spans="1:41" x14ac:dyDescent="0.35">
      <c r="A108" t="s">
        <v>23</v>
      </c>
      <c r="B108" t="s">
        <v>271</v>
      </c>
      <c r="C108" t="s">
        <v>54</v>
      </c>
      <c r="D108" t="s">
        <v>44</v>
      </c>
      <c r="E108" t="s">
        <v>44</v>
      </c>
      <c r="F108" t="s">
        <v>28</v>
      </c>
      <c r="G108">
        <v>1</v>
      </c>
      <c r="H108" t="s">
        <v>272</v>
      </c>
      <c r="I108" t="s">
        <v>30</v>
      </c>
      <c r="J108" t="s">
        <v>70</v>
      </c>
      <c r="K108" t="s">
        <v>38</v>
      </c>
      <c r="L108" t="s">
        <v>58</v>
      </c>
      <c r="M108" t="s">
        <v>33</v>
      </c>
      <c r="N108" s="2">
        <v>45502.166666666664</v>
      </c>
      <c r="O108" s="2">
        <v>45525.166666666664</v>
      </c>
      <c r="P108" s="2">
        <v>45525.166666666664</v>
      </c>
      <c r="Q108" s="2">
        <v>45525</v>
      </c>
      <c r="R108" s="2">
        <v>45527.601373240737</v>
      </c>
      <c r="S108" t="s">
        <v>273</v>
      </c>
      <c r="T108" s="2">
        <v>45503.166666666664</v>
      </c>
      <c r="U108" s="2">
        <v>45504.166666666664</v>
      </c>
      <c r="V108" s="2">
        <v>45504.166666666664</v>
      </c>
      <c r="W108" s="2">
        <v>45505.166666666664</v>
      </c>
      <c r="X108" s="3">
        <f t="shared" si="10"/>
        <v>1</v>
      </c>
      <c r="Y108">
        <f t="shared" si="11"/>
        <v>1</v>
      </c>
      <c r="Z108">
        <f t="shared" si="12"/>
        <v>2</v>
      </c>
      <c r="AA108">
        <f t="shared" si="13"/>
        <v>22.833333333335759</v>
      </c>
      <c r="AB108">
        <f t="shared" si="14"/>
        <v>20.833333333335759</v>
      </c>
      <c r="AC108">
        <f>IFERROR(_xlfn.XLOOKUP(B108, HoldSummary!$A:$A, HoldSummary!B:B), 0)</f>
        <v>0</v>
      </c>
      <c r="AD108">
        <f>IFERROR(_xlfn.XLOOKUP(B108, HoldSummary!$A:$A, HoldSummary!C:C), 0)</f>
        <v>0</v>
      </c>
      <c r="AE108">
        <f>IFERROR(_xlfn.XLOOKUP(B108, HoldSummary!$A:$A, HoldSummary!D:D), 0)</f>
        <v>0</v>
      </c>
      <c r="AF108">
        <f>IFERROR(_xlfn.XLOOKUP(B108, HoldSummary!$A:$A, HoldSummary!E:E), 0)</f>
        <v>0</v>
      </c>
      <c r="AG108">
        <f>IFERROR(_xlfn.XLOOKUP(B108, HoldSummary!$A:$A, HoldSummary!F:F), 0)</f>
        <v>0</v>
      </c>
      <c r="AH108">
        <f>IFERROR(_xlfn.XLOOKUP(B108, HoldSummary!$A:$A, HoldSummary!G:G), 0)</f>
        <v>0</v>
      </c>
      <c r="AI108">
        <f>IFERROR(_xlfn.XLOOKUP(B108, HoldSummary!$A:$A, HoldSummary!H:H), 0)</f>
        <v>0</v>
      </c>
      <c r="AJ108">
        <f>IFERROR(_xlfn.XLOOKUP(B108, HoldSummary!$A:$A, HoldSummary!I:I), 0)</f>
        <v>0</v>
      </c>
      <c r="AK108">
        <f t="shared" si="15"/>
        <v>0</v>
      </c>
      <c r="AL108">
        <f t="shared" si="16"/>
        <v>22.833333333335759</v>
      </c>
      <c r="AM108">
        <f t="shared" si="17"/>
        <v>20.833333333335759</v>
      </c>
      <c r="AN108" s="12">
        <f t="shared" si="18"/>
        <v>-0.16666666666424135</v>
      </c>
      <c r="AO108">
        <f t="shared" si="19"/>
        <v>1</v>
      </c>
    </row>
    <row r="109" spans="1:41" x14ac:dyDescent="0.35">
      <c r="A109" t="s">
        <v>23</v>
      </c>
      <c r="B109">
        <v>107640</v>
      </c>
      <c r="C109" t="s">
        <v>54</v>
      </c>
      <c r="D109" t="s">
        <v>44</v>
      </c>
      <c r="E109" t="s">
        <v>55</v>
      </c>
      <c r="F109" t="s">
        <v>28</v>
      </c>
      <c r="G109">
        <v>1</v>
      </c>
      <c r="H109" t="s">
        <v>274</v>
      </c>
      <c r="I109" t="s">
        <v>30</v>
      </c>
      <c r="J109" t="s">
        <v>31</v>
      </c>
      <c r="K109" t="s">
        <v>57</v>
      </c>
      <c r="L109" t="s">
        <v>58</v>
      </c>
      <c r="M109" t="s">
        <v>33</v>
      </c>
      <c r="N109" s="2">
        <v>45517.166666666664</v>
      </c>
      <c r="O109" s="2">
        <v>45534.166666666664</v>
      </c>
      <c r="P109" s="2">
        <v>45534.166666666664</v>
      </c>
      <c r="Q109" s="2">
        <v>45532</v>
      </c>
      <c r="R109" s="2">
        <v>45532.632988958336</v>
      </c>
      <c r="S109" t="s">
        <v>275</v>
      </c>
      <c r="T109" s="2">
        <v>45523.166666666664</v>
      </c>
      <c r="U109" s="2">
        <v>45523.166666666664</v>
      </c>
      <c r="V109" s="2">
        <v>45523.166666666664</v>
      </c>
      <c r="W109" s="2">
        <v>45523.166666666664</v>
      </c>
      <c r="X109" s="3">
        <f t="shared" si="10"/>
        <v>0</v>
      </c>
      <c r="Y109">
        <f t="shared" si="11"/>
        <v>0</v>
      </c>
      <c r="Z109">
        <f t="shared" si="12"/>
        <v>0</v>
      </c>
      <c r="AA109">
        <f t="shared" si="13"/>
        <v>14.833333333335759</v>
      </c>
      <c r="AB109">
        <f t="shared" si="14"/>
        <v>14.833333333335759</v>
      </c>
      <c r="AC109">
        <f>IFERROR(_xlfn.XLOOKUP(B109, HoldSummary!$A:$A, HoldSummary!B:B), 0)</f>
        <v>0</v>
      </c>
      <c r="AD109">
        <f>IFERROR(_xlfn.XLOOKUP(B109, HoldSummary!$A:$A, HoldSummary!C:C), 0)</f>
        <v>0</v>
      </c>
      <c r="AE109">
        <f>IFERROR(_xlfn.XLOOKUP(B109, HoldSummary!$A:$A, HoldSummary!D:D), 0)</f>
        <v>0</v>
      </c>
      <c r="AF109">
        <f>IFERROR(_xlfn.XLOOKUP(B109, HoldSummary!$A:$A, HoldSummary!E:E), 0)</f>
        <v>0</v>
      </c>
      <c r="AG109">
        <f>IFERROR(_xlfn.XLOOKUP(B109, HoldSummary!$A:$A, HoldSummary!F:F), 0)</f>
        <v>0</v>
      </c>
      <c r="AH109">
        <f>IFERROR(_xlfn.XLOOKUP(B109, HoldSummary!$A:$A, HoldSummary!G:G), 0)</f>
        <v>0</v>
      </c>
      <c r="AI109">
        <f>IFERROR(_xlfn.XLOOKUP(B109, HoldSummary!$A:$A, HoldSummary!H:H), 0)</f>
        <v>0</v>
      </c>
      <c r="AJ109">
        <f>IFERROR(_xlfn.XLOOKUP(B109, HoldSummary!$A:$A, HoldSummary!I:I), 0)</f>
        <v>0</v>
      </c>
      <c r="AK109">
        <f t="shared" si="15"/>
        <v>0</v>
      </c>
      <c r="AL109">
        <f t="shared" si="16"/>
        <v>14.833333333335759</v>
      </c>
      <c r="AM109">
        <f t="shared" si="17"/>
        <v>14.833333333335759</v>
      </c>
      <c r="AN109" s="12">
        <f t="shared" si="18"/>
        <v>-2.1666666666642413</v>
      </c>
      <c r="AO109">
        <f t="shared" si="19"/>
        <v>1</v>
      </c>
    </row>
    <row r="110" spans="1:41" x14ac:dyDescent="0.35">
      <c r="A110" t="s">
        <v>23</v>
      </c>
      <c r="B110" t="s">
        <v>276</v>
      </c>
      <c r="C110" t="s">
        <v>43</v>
      </c>
      <c r="D110" t="s">
        <v>44</v>
      </c>
      <c r="E110" t="s">
        <v>45</v>
      </c>
      <c r="F110" t="s">
        <v>28</v>
      </c>
      <c r="G110">
        <v>1</v>
      </c>
      <c r="H110" t="s">
        <v>277</v>
      </c>
      <c r="I110" t="s">
        <v>30</v>
      </c>
      <c r="J110" t="s">
        <v>31</v>
      </c>
      <c r="K110" t="s">
        <v>38</v>
      </c>
      <c r="L110" t="s">
        <v>39</v>
      </c>
      <c r="N110" s="2">
        <v>45539.785046296296</v>
      </c>
      <c r="O110" s="2">
        <v>45657.208333333336</v>
      </c>
      <c r="P110" s="2">
        <v>45562.166666666664</v>
      </c>
      <c r="Q110" s="2">
        <v>45558</v>
      </c>
      <c r="R110" s="2">
        <v>45558.617635659721</v>
      </c>
      <c r="T110" s="2">
        <v>45554.166666666664</v>
      </c>
      <c r="U110" s="2">
        <v>45555.166666666664</v>
      </c>
      <c r="V110" s="2">
        <v>45555.166666666664</v>
      </c>
      <c r="W110" s="2">
        <v>45555.166666666664</v>
      </c>
      <c r="X110" s="3">
        <f t="shared" si="10"/>
        <v>1</v>
      </c>
      <c r="Y110">
        <f t="shared" si="11"/>
        <v>0</v>
      </c>
      <c r="Z110">
        <f t="shared" si="12"/>
        <v>1</v>
      </c>
      <c r="AA110">
        <f t="shared" si="13"/>
        <v>18.214953703703941</v>
      </c>
      <c r="AB110">
        <f t="shared" si="14"/>
        <v>17.214953703703941</v>
      </c>
      <c r="AC110">
        <f>IFERROR(_xlfn.XLOOKUP(B110, HoldSummary!$A:$A, HoldSummary!B:B), 0)</f>
        <v>0</v>
      </c>
      <c r="AD110">
        <f>IFERROR(_xlfn.XLOOKUP(B110, HoldSummary!$A:$A, HoldSummary!C:C), 0)</f>
        <v>0</v>
      </c>
      <c r="AE110">
        <f>IFERROR(_xlfn.XLOOKUP(B110, HoldSummary!$A:$A, HoldSummary!D:D), 0)</f>
        <v>0</v>
      </c>
      <c r="AF110">
        <f>IFERROR(_xlfn.XLOOKUP(B110, HoldSummary!$A:$A, HoldSummary!E:E), 0)</f>
        <v>0</v>
      </c>
      <c r="AG110">
        <f>IFERROR(_xlfn.XLOOKUP(B110, HoldSummary!$A:$A, HoldSummary!F:F), 0)</f>
        <v>0</v>
      </c>
      <c r="AH110">
        <f>IFERROR(_xlfn.XLOOKUP(B110, HoldSummary!$A:$A, HoldSummary!G:G), 0)</f>
        <v>8</v>
      </c>
      <c r="AI110">
        <f>IFERROR(_xlfn.XLOOKUP(B110, HoldSummary!$A:$A, HoldSummary!H:H), 0)</f>
        <v>0</v>
      </c>
      <c r="AJ110">
        <f>IFERROR(_xlfn.XLOOKUP(B110, HoldSummary!$A:$A, HoldSummary!I:I), 0)</f>
        <v>0</v>
      </c>
      <c r="AK110">
        <f t="shared" si="15"/>
        <v>8</v>
      </c>
      <c r="AL110">
        <f t="shared" si="16"/>
        <v>10.214953703703941</v>
      </c>
      <c r="AM110">
        <f t="shared" si="17"/>
        <v>9.2149537037039408</v>
      </c>
      <c r="AN110" s="12">
        <f t="shared" si="18"/>
        <v>-99.208333333335759</v>
      </c>
      <c r="AO110">
        <f t="shared" si="19"/>
        <v>1</v>
      </c>
    </row>
    <row r="111" spans="1:41" x14ac:dyDescent="0.35">
      <c r="A111" t="s">
        <v>23</v>
      </c>
      <c r="B111" t="s">
        <v>278</v>
      </c>
      <c r="C111" t="s">
        <v>135</v>
      </c>
      <c r="D111" t="s">
        <v>44</v>
      </c>
      <c r="E111" t="s">
        <v>45</v>
      </c>
      <c r="F111" t="s">
        <v>28</v>
      </c>
      <c r="G111">
        <v>1</v>
      </c>
      <c r="H111" t="s">
        <v>279</v>
      </c>
      <c r="I111" t="s">
        <v>30</v>
      </c>
      <c r="J111" t="s">
        <v>31</v>
      </c>
      <c r="K111" t="s">
        <v>32</v>
      </c>
      <c r="L111" t="s">
        <v>32</v>
      </c>
      <c r="N111" s="2">
        <v>45561.125868055555</v>
      </c>
      <c r="O111" s="2">
        <v>45576.166666666664</v>
      </c>
      <c r="P111" s="2">
        <v>45576.166666666664</v>
      </c>
      <c r="Q111" s="2">
        <v>45565</v>
      </c>
      <c r="R111" s="2">
        <v>45565.777033252314</v>
      </c>
      <c r="T111" s="2">
        <v>45562.166666666664</v>
      </c>
      <c r="U111" s="2">
        <v>45562.166666666664</v>
      </c>
      <c r="V111" s="2">
        <v>45562.166666666664</v>
      </c>
      <c r="W111" s="2">
        <v>45562.166666666664</v>
      </c>
      <c r="X111" s="3">
        <f t="shared" si="10"/>
        <v>0</v>
      </c>
      <c r="Y111">
        <f t="shared" si="11"/>
        <v>0</v>
      </c>
      <c r="Z111">
        <f t="shared" si="12"/>
        <v>0</v>
      </c>
      <c r="AA111">
        <f t="shared" si="13"/>
        <v>3.8741319444452529</v>
      </c>
      <c r="AB111">
        <f t="shared" si="14"/>
        <v>3.8741319444452529</v>
      </c>
      <c r="AC111">
        <f>IFERROR(_xlfn.XLOOKUP(B111, HoldSummary!$A:$A, HoldSummary!B:B), 0)</f>
        <v>0</v>
      </c>
      <c r="AD111">
        <f>IFERROR(_xlfn.XLOOKUP(B111, HoldSummary!$A:$A, HoldSummary!C:C), 0)</f>
        <v>0</v>
      </c>
      <c r="AE111">
        <f>IFERROR(_xlfn.XLOOKUP(B111, HoldSummary!$A:$A, HoldSummary!D:D), 0)</f>
        <v>0</v>
      </c>
      <c r="AF111">
        <f>IFERROR(_xlfn.XLOOKUP(B111, HoldSummary!$A:$A, HoldSummary!E:E), 0)</f>
        <v>0</v>
      </c>
      <c r="AG111">
        <f>IFERROR(_xlfn.XLOOKUP(B111, HoldSummary!$A:$A, HoldSummary!F:F), 0)</f>
        <v>0</v>
      </c>
      <c r="AH111">
        <f>IFERROR(_xlfn.XLOOKUP(B111, HoldSummary!$A:$A, HoldSummary!G:G), 0)</f>
        <v>0</v>
      </c>
      <c r="AI111">
        <f>IFERROR(_xlfn.XLOOKUP(B111, HoldSummary!$A:$A, HoldSummary!H:H), 0)</f>
        <v>0</v>
      </c>
      <c r="AJ111">
        <f>IFERROR(_xlfn.XLOOKUP(B111, HoldSummary!$A:$A, HoldSummary!I:I), 0)</f>
        <v>0</v>
      </c>
      <c r="AK111">
        <f t="shared" si="15"/>
        <v>0</v>
      </c>
      <c r="AL111">
        <f t="shared" si="16"/>
        <v>3.8741319444452529</v>
      </c>
      <c r="AM111">
        <f t="shared" si="17"/>
        <v>3.8741319444452529</v>
      </c>
      <c r="AN111" s="12">
        <f t="shared" si="18"/>
        <v>-11.166666666664241</v>
      </c>
      <c r="AO111">
        <f t="shared" si="19"/>
        <v>1</v>
      </c>
    </row>
    <row r="112" spans="1:41" x14ac:dyDescent="0.35">
      <c r="A112" t="s">
        <v>23</v>
      </c>
      <c r="B112" t="s">
        <v>280</v>
      </c>
      <c r="C112" t="s">
        <v>36</v>
      </c>
      <c r="D112" t="s">
        <v>44</v>
      </c>
      <c r="E112" t="s">
        <v>44</v>
      </c>
      <c r="F112" t="s">
        <v>28</v>
      </c>
      <c r="G112">
        <v>1</v>
      </c>
      <c r="H112" t="s">
        <v>281</v>
      </c>
      <c r="I112" t="s">
        <v>30</v>
      </c>
      <c r="J112" t="s">
        <v>70</v>
      </c>
      <c r="K112" t="s">
        <v>48</v>
      </c>
      <c r="L112" t="s">
        <v>185</v>
      </c>
      <c r="M112" t="s">
        <v>33</v>
      </c>
      <c r="N112" s="2">
        <v>45457.166666666664</v>
      </c>
      <c r="O112" s="2">
        <v>45624.208333333336</v>
      </c>
      <c r="P112" s="2">
        <v>45667.208333333336</v>
      </c>
      <c r="Q112" s="2">
        <v>45665</v>
      </c>
      <c r="R112" s="2">
        <v>45665.80599828704</v>
      </c>
      <c r="S112" t="s">
        <v>282</v>
      </c>
      <c r="T112" s="2">
        <v>45602.208333333336</v>
      </c>
      <c r="U112" s="2">
        <v>45610.208333333336</v>
      </c>
      <c r="V112" s="2">
        <v>45610.208333333336</v>
      </c>
      <c r="W112" s="2">
        <v>45610.208333333336</v>
      </c>
      <c r="X112" s="3">
        <f t="shared" si="10"/>
        <v>8</v>
      </c>
      <c r="Y112">
        <f t="shared" si="11"/>
        <v>0</v>
      </c>
      <c r="Z112">
        <f t="shared" si="12"/>
        <v>8</v>
      </c>
      <c r="AA112">
        <f t="shared" si="13"/>
        <v>207.83333333333576</v>
      </c>
      <c r="AB112">
        <f t="shared" si="14"/>
        <v>199.83333333333576</v>
      </c>
      <c r="AC112">
        <f>IFERROR(_xlfn.XLOOKUP(B112, HoldSummary!$A:$A, HoldSummary!B:B), 0)</f>
        <v>0</v>
      </c>
      <c r="AD112">
        <f>IFERROR(_xlfn.XLOOKUP(B112, HoldSummary!$A:$A, HoldSummary!C:C), 0)</f>
        <v>0</v>
      </c>
      <c r="AE112">
        <f>IFERROR(_xlfn.XLOOKUP(B112, HoldSummary!$A:$A, HoldSummary!D:D), 0)</f>
        <v>0</v>
      </c>
      <c r="AF112">
        <f>IFERROR(_xlfn.XLOOKUP(B112, HoldSummary!$A:$A, HoldSummary!E:E), 0)</f>
        <v>0</v>
      </c>
      <c r="AG112">
        <f>IFERROR(_xlfn.XLOOKUP(B112, HoldSummary!$A:$A, HoldSummary!F:F), 0)</f>
        <v>0</v>
      </c>
      <c r="AH112">
        <f>IFERROR(_xlfn.XLOOKUP(B112, HoldSummary!$A:$A, HoldSummary!G:G), 0)</f>
        <v>0</v>
      </c>
      <c r="AI112">
        <f>IFERROR(_xlfn.XLOOKUP(B112, HoldSummary!$A:$A, HoldSummary!H:H), 0)</f>
        <v>0</v>
      </c>
      <c r="AJ112">
        <f>IFERROR(_xlfn.XLOOKUP(B112, HoldSummary!$A:$A, HoldSummary!I:I), 0)</f>
        <v>0</v>
      </c>
      <c r="AK112">
        <f t="shared" si="15"/>
        <v>0</v>
      </c>
      <c r="AL112">
        <f t="shared" si="16"/>
        <v>207.83333333333576</v>
      </c>
      <c r="AM112">
        <f t="shared" si="17"/>
        <v>199.83333333333576</v>
      </c>
      <c r="AN112" s="12">
        <f t="shared" si="18"/>
        <v>40.791666666664241</v>
      </c>
      <c r="AO112">
        <f t="shared" si="19"/>
        <v>0</v>
      </c>
    </row>
    <row r="113" spans="1:41" x14ac:dyDescent="0.35">
      <c r="A113" t="s">
        <v>23</v>
      </c>
      <c r="B113" t="s">
        <v>283</v>
      </c>
      <c r="C113" t="s">
        <v>36</v>
      </c>
      <c r="D113" t="s">
        <v>44</v>
      </c>
      <c r="E113" t="s">
        <v>45</v>
      </c>
      <c r="F113" t="s">
        <v>28</v>
      </c>
      <c r="G113">
        <v>1</v>
      </c>
      <c r="H113" t="s">
        <v>284</v>
      </c>
      <c r="I113" t="s">
        <v>30</v>
      </c>
      <c r="J113" t="s">
        <v>70</v>
      </c>
      <c r="K113" t="s">
        <v>174</v>
      </c>
      <c r="L113" t="s">
        <v>174</v>
      </c>
      <c r="M113" t="s">
        <v>33</v>
      </c>
      <c r="N113" s="2">
        <v>45609.844965277778</v>
      </c>
      <c r="O113" s="2">
        <v>45686.208333333336</v>
      </c>
      <c r="P113" s="2">
        <v>45686.208333333336</v>
      </c>
      <c r="Q113" s="2">
        <v>45687</v>
      </c>
      <c r="R113" s="2">
        <v>45687.708807222225</v>
      </c>
      <c r="S113" t="s">
        <v>285</v>
      </c>
      <c r="T113" s="2"/>
      <c r="U113" s="2"/>
      <c r="V113" s="2"/>
      <c r="W113" s="2"/>
      <c r="X113" s="3" t="str">
        <f t="shared" si="10"/>
        <v/>
      </c>
      <c r="Y113" t="str">
        <f t="shared" si="11"/>
        <v/>
      </c>
      <c r="Z113">
        <f t="shared" si="12"/>
        <v>0</v>
      </c>
      <c r="AA113">
        <f t="shared" si="13"/>
        <v>77.155034722221899</v>
      </c>
      <c r="AB113">
        <f t="shared" si="14"/>
        <v>77.155034722221899</v>
      </c>
      <c r="AC113">
        <f>IFERROR(_xlfn.XLOOKUP(B113, HoldSummary!$A:$A, HoldSummary!B:B), 0)</f>
        <v>0</v>
      </c>
      <c r="AD113">
        <f>IFERROR(_xlfn.XLOOKUP(B113, HoldSummary!$A:$A, HoldSummary!C:C), 0)</f>
        <v>0</v>
      </c>
      <c r="AE113">
        <f>IFERROR(_xlfn.XLOOKUP(B113, HoldSummary!$A:$A, HoldSummary!D:D), 0)</f>
        <v>0</v>
      </c>
      <c r="AF113">
        <f>IFERROR(_xlfn.XLOOKUP(B113, HoldSummary!$A:$A, HoldSummary!E:E), 0)</f>
        <v>0</v>
      </c>
      <c r="AG113">
        <f>IFERROR(_xlfn.XLOOKUP(B113, HoldSummary!$A:$A, HoldSummary!F:F), 0)</f>
        <v>0</v>
      </c>
      <c r="AH113">
        <f>IFERROR(_xlfn.XLOOKUP(B113, HoldSummary!$A:$A, HoldSummary!G:G), 0)</f>
        <v>0</v>
      </c>
      <c r="AI113">
        <f>IFERROR(_xlfn.XLOOKUP(B113, HoldSummary!$A:$A, HoldSummary!H:H), 0)</f>
        <v>0</v>
      </c>
      <c r="AJ113">
        <f>IFERROR(_xlfn.XLOOKUP(B113, HoldSummary!$A:$A, HoldSummary!I:I), 0)</f>
        <v>0</v>
      </c>
      <c r="AK113">
        <f t="shared" si="15"/>
        <v>0</v>
      </c>
      <c r="AL113">
        <f t="shared" si="16"/>
        <v>77.155034722221899</v>
      </c>
      <c r="AM113">
        <f t="shared" si="17"/>
        <v>77.155034722221899</v>
      </c>
      <c r="AN113" s="12">
        <f t="shared" si="18"/>
        <v>0.79166666666424135</v>
      </c>
      <c r="AO113">
        <f t="shared" si="19"/>
        <v>0</v>
      </c>
    </row>
    <row r="114" spans="1:41" x14ac:dyDescent="0.35">
      <c r="A114" t="s">
        <v>23</v>
      </c>
      <c r="B114" t="s">
        <v>286</v>
      </c>
      <c r="C114" t="s">
        <v>54</v>
      </c>
      <c r="D114" t="s">
        <v>44</v>
      </c>
      <c r="E114" t="s">
        <v>44</v>
      </c>
      <c r="F114" t="s">
        <v>28</v>
      </c>
      <c r="G114">
        <v>1</v>
      </c>
      <c r="H114" t="s">
        <v>287</v>
      </c>
      <c r="I114" t="s">
        <v>30</v>
      </c>
      <c r="J114" t="s">
        <v>70</v>
      </c>
      <c r="K114" t="s">
        <v>48</v>
      </c>
      <c r="L114" t="s">
        <v>185</v>
      </c>
      <c r="N114" s="2">
        <v>45615.208333333336</v>
      </c>
      <c r="O114" s="2">
        <v>45646.208333333336</v>
      </c>
      <c r="P114" s="2">
        <v>45678.208333333336</v>
      </c>
      <c r="Q114" s="2">
        <v>45671</v>
      </c>
      <c r="R114" s="2">
        <v>45672.622701099535</v>
      </c>
      <c r="S114" t="s">
        <v>288</v>
      </c>
      <c r="T114" s="2"/>
      <c r="U114" s="2"/>
      <c r="V114" s="2"/>
      <c r="W114" s="2"/>
      <c r="X114" s="3" t="str">
        <f t="shared" si="10"/>
        <v/>
      </c>
      <c r="Y114" t="str">
        <f t="shared" si="11"/>
        <v/>
      </c>
      <c r="Z114">
        <f t="shared" si="12"/>
        <v>0</v>
      </c>
      <c r="AA114">
        <f t="shared" si="13"/>
        <v>55.791666666664241</v>
      </c>
      <c r="AB114">
        <f t="shared" si="14"/>
        <v>55.791666666664241</v>
      </c>
      <c r="AC114">
        <f>IFERROR(_xlfn.XLOOKUP(B114, HoldSummary!$A:$A, HoldSummary!B:B), 0)</f>
        <v>0</v>
      </c>
      <c r="AD114">
        <f>IFERROR(_xlfn.XLOOKUP(B114, HoldSummary!$A:$A, HoldSummary!C:C), 0)</f>
        <v>0</v>
      </c>
      <c r="AE114">
        <f>IFERROR(_xlfn.XLOOKUP(B114, HoldSummary!$A:$A, HoldSummary!D:D), 0)</f>
        <v>0</v>
      </c>
      <c r="AF114">
        <f>IFERROR(_xlfn.XLOOKUP(B114, HoldSummary!$A:$A, HoldSummary!E:E), 0)</f>
        <v>0</v>
      </c>
      <c r="AG114">
        <f>IFERROR(_xlfn.XLOOKUP(B114, HoldSummary!$A:$A, HoldSummary!F:F), 0)</f>
        <v>0</v>
      </c>
      <c r="AH114">
        <f>IFERROR(_xlfn.XLOOKUP(B114, HoldSummary!$A:$A, HoldSummary!G:G), 0)</f>
        <v>0</v>
      </c>
      <c r="AI114">
        <f>IFERROR(_xlfn.XLOOKUP(B114, HoldSummary!$A:$A, HoldSummary!H:H), 0)</f>
        <v>0</v>
      </c>
      <c r="AJ114">
        <f>IFERROR(_xlfn.XLOOKUP(B114, HoldSummary!$A:$A, HoldSummary!I:I), 0)</f>
        <v>0</v>
      </c>
      <c r="AK114">
        <f t="shared" si="15"/>
        <v>0</v>
      </c>
      <c r="AL114">
        <f t="shared" si="16"/>
        <v>55.791666666664241</v>
      </c>
      <c r="AM114">
        <f t="shared" si="17"/>
        <v>55.791666666664241</v>
      </c>
      <c r="AN114" s="12">
        <f t="shared" si="18"/>
        <v>24.791666666664241</v>
      </c>
      <c r="AO114">
        <f t="shared" si="19"/>
        <v>0</v>
      </c>
    </row>
    <row r="115" spans="1:41" x14ac:dyDescent="0.35">
      <c r="A115" t="s">
        <v>23</v>
      </c>
      <c r="B115" t="s">
        <v>289</v>
      </c>
      <c r="C115" t="s">
        <v>54</v>
      </c>
      <c r="D115" t="s">
        <v>44</v>
      </c>
      <c r="E115" t="s">
        <v>44</v>
      </c>
      <c r="F115" t="s">
        <v>28</v>
      </c>
      <c r="G115">
        <v>1</v>
      </c>
      <c r="H115" t="s">
        <v>290</v>
      </c>
      <c r="I115" t="s">
        <v>30</v>
      </c>
      <c r="J115" t="s">
        <v>31</v>
      </c>
      <c r="K115" t="s">
        <v>38</v>
      </c>
      <c r="M115" t="s">
        <v>33</v>
      </c>
      <c r="N115" s="2">
        <v>45617.208333333336</v>
      </c>
      <c r="O115" s="2">
        <v>45667.208333333336</v>
      </c>
      <c r="P115" s="2">
        <v>45672.208333333336</v>
      </c>
      <c r="Q115" s="2">
        <v>45666</v>
      </c>
      <c r="R115" s="2">
        <v>45673.095166238425</v>
      </c>
      <c r="S115" t="s">
        <v>291</v>
      </c>
      <c r="T115" s="2">
        <v>45639.208333333336</v>
      </c>
      <c r="U115" s="2">
        <v>45659.208333333336</v>
      </c>
      <c r="V115" s="2">
        <v>45659.208333333336</v>
      </c>
      <c r="W115" s="2">
        <v>45665.208333333336</v>
      </c>
      <c r="X115" s="3">
        <f t="shared" si="10"/>
        <v>20</v>
      </c>
      <c r="Y115">
        <f t="shared" si="11"/>
        <v>6</v>
      </c>
      <c r="Z115">
        <f t="shared" si="12"/>
        <v>26</v>
      </c>
      <c r="AA115">
        <f t="shared" si="13"/>
        <v>48.791666666664241</v>
      </c>
      <c r="AB115">
        <f t="shared" si="14"/>
        <v>22.791666666664241</v>
      </c>
      <c r="AC115">
        <f>IFERROR(_xlfn.XLOOKUP(B115, HoldSummary!$A:$A, HoldSummary!B:B), 0)</f>
        <v>0</v>
      </c>
      <c r="AD115">
        <f>IFERROR(_xlfn.XLOOKUP(B115, HoldSummary!$A:$A, HoldSummary!C:C), 0)</f>
        <v>3</v>
      </c>
      <c r="AE115">
        <f>IFERROR(_xlfn.XLOOKUP(B115, HoldSummary!$A:$A, HoldSummary!D:D), 0)</f>
        <v>0</v>
      </c>
      <c r="AF115">
        <f>IFERROR(_xlfn.XLOOKUP(B115, HoldSummary!$A:$A, HoldSummary!E:E), 0)</f>
        <v>0</v>
      </c>
      <c r="AG115">
        <f>IFERROR(_xlfn.XLOOKUP(B115, HoldSummary!$A:$A, HoldSummary!F:F), 0)</f>
        <v>0</v>
      </c>
      <c r="AH115">
        <f>IFERROR(_xlfn.XLOOKUP(B115, HoldSummary!$A:$A, HoldSummary!G:G), 0)</f>
        <v>0</v>
      </c>
      <c r="AI115">
        <f>IFERROR(_xlfn.XLOOKUP(B115, HoldSummary!$A:$A, HoldSummary!H:H), 0)</f>
        <v>0</v>
      </c>
      <c r="AJ115">
        <f>IFERROR(_xlfn.XLOOKUP(B115, HoldSummary!$A:$A, HoldSummary!I:I), 0)</f>
        <v>0</v>
      </c>
      <c r="AK115">
        <f t="shared" si="15"/>
        <v>3</v>
      </c>
      <c r="AL115">
        <f t="shared" si="16"/>
        <v>45.791666666664241</v>
      </c>
      <c r="AM115">
        <f t="shared" si="17"/>
        <v>19.791666666664241</v>
      </c>
      <c r="AN115" s="12">
        <f t="shared" si="18"/>
        <v>-1.2083333333357587</v>
      </c>
      <c r="AO115">
        <f t="shared" si="19"/>
        <v>1</v>
      </c>
    </row>
    <row r="116" spans="1:41" x14ac:dyDescent="0.35">
      <c r="A116" t="s">
        <v>23</v>
      </c>
      <c r="B116" t="s">
        <v>292</v>
      </c>
      <c r="C116" t="s">
        <v>54</v>
      </c>
      <c r="D116" t="s">
        <v>44</v>
      </c>
      <c r="E116" t="s">
        <v>44</v>
      </c>
      <c r="F116" t="s">
        <v>28</v>
      </c>
      <c r="G116">
        <v>1</v>
      </c>
      <c r="H116" t="s">
        <v>293</v>
      </c>
      <c r="I116" t="s">
        <v>30</v>
      </c>
      <c r="J116" t="s">
        <v>208</v>
      </c>
      <c r="K116" t="s">
        <v>48</v>
      </c>
      <c r="L116" t="s">
        <v>185</v>
      </c>
      <c r="M116" t="s">
        <v>33</v>
      </c>
      <c r="N116" s="2">
        <v>45615.208333333336</v>
      </c>
      <c r="O116" s="2">
        <v>45649.208333333336</v>
      </c>
      <c r="P116" s="2">
        <v>45685.208333333336</v>
      </c>
      <c r="Q116" s="2">
        <v>45681</v>
      </c>
      <c r="R116" s="2">
        <v>45685.590119085646</v>
      </c>
      <c r="S116" t="s">
        <v>294</v>
      </c>
      <c r="T116" s="2">
        <v>45630.208333333336</v>
      </c>
      <c r="U116" s="2">
        <v>45637.208333333336</v>
      </c>
      <c r="V116" s="2">
        <v>45637.208333333336</v>
      </c>
      <c r="W116" s="2">
        <v>45645.208333333336</v>
      </c>
      <c r="X116" s="3">
        <f t="shared" si="10"/>
        <v>7</v>
      </c>
      <c r="Y116">
        <f t="shared" si="11"/>
        <v>8</v>
      </c>
      <c r="Z116">
        <f t="shared" si="12"/>
        <v>15</v>
      </c>
      <c r="AA116">
        <f t="shared" si="13"/>
        <v>65.791666666664241</v>
      </c>
      <c r="AB116">
        <f t="shared" si="14"/>
        <v>50.791666666664241</v>
      </c>
      <c r="AC116">
        <f>IFERROR(_xlfn.XLOOKUP(B116, HoldSummary!$A:$A, HoldSummary!B:B), 0)</f>
        <v>0</v>
      </c>
      <c r="AD116">
        <f>IFERROR(_xlfn.XLOOKUP(B116, HoldSummary!$A:$A, HoldSummary!C:C), 0)</f>
        <v>0</v>
      </c>
      <c r="AE116">
        <f>IFERROR(_xlfn.XLOOKUP(B116, HoldSummary!$A:$A, HoldSummary!D:D), 0)</f>
        <v>0</v>
      </c>
      <c r="AF116">
        <f>IFERROR(_xlfn.XLOOKUP(B116, HoldSummary!$A:$A, HoldSummary!E:E), 0)</f>
        <v>0</v>
      </c>
      <c r="AG116">
        <f>IFERROR(_xlfn.XLOOKUP(B116, HoldSummary!$A:$A, HoldSummary!F:F), 0)</f>
        <v>0</v>
      </c>
      <c r="AH116">
        <f>IFERROR(_xlfn.XLOOKUP(B116, HoldSummary!$A:$A, HoldSummary!G:G), 0)</f>
        <v>0</v>
      </c>
      <c r="AI116">
        <f>IFERROR(_xlfn.XLOOKUP(B116, HoldSummary!$A:$A, HoldSummary!H:H), 0)</f>
        <v>0</v>
      </c>
      <c r="AJ116">
        <f>IFERROR(_xlfn.XLOOKUP(B116, HoldSummary!$A:$A, HoldSummary!I:I), 0)</f>
        <v>0</v>
      </c>
      <c r="AK116">
        <f t="shared" si="15"/>
        <v>0</v>
      </c>
      <c r="AL116">
        <f t="shared" si="16"/>
        <v>65.791666666664241</v>
      </c>
      <c r="AM116">
        <f t="shared" si="17"/>
        <v>50.791666666664241</v>
      </c>
      <c r="AN116" s="12">
        <f t="shared" si="18"/>
        <v>31.791666666664241</v>
      </c>
      <c r="AO116">
        <f t="shared" si="19"/>
        <v>0</v>
      </c>
    </row>
    <row r="117" spans="1:41" x14ac:dyDescent="0.35">
      <c r="A117" t="s">
        <v>23</v>
      </c>
      <c r="B117" t="s">
        <v>295</v>
      </c>
      <c r="C117" t="s">
        <v>36</v>
      </c>
      <c r="D117" t="s">
        <v>44</v>
      </c>
      <c r="E117" t="s">
        <v>44</v>
      </c>
      <c r="F117" t="s">
        <v>28</v>
      </c>
      <c r="G117">
        <v>1</v>
      </c>
      <c r="H117" t="s">
        <v>296</v>
      </c>
      <c r="I117" t="s">
        <v>30</v>
      </c>
      <c r="J117" t="s">
        <v>70</v>
      </c>
      <c r="K117" t="s">
        <v>48</v>
      </c>
      <c r="L117" t="s">
        <v>185</v>
      </c>
      <c r="N117" s="2">
        <v>45615.208333333336</v>
      </c>
      <c r="O117" s="2">
        <v>45679.208333333336</v>
      </c>
      <c r="P117" s="2">
        <v>45686.208333333336</v>
      </c>
      <c r="Q117" s="2">
        <v>45686</v>
      </c>
      <c r="R117" s="2">
        <v>45686.687582523147</v>
      </c>
      <c r="S117" t="s">
        <v>297</v>
      </c>
      <c r="T117" s="2"/>
      <c r="U117" s="2"/>
      <c r="V117" s="2"/>
      <c r="W117" s="2"/>
      <c r="X117" s="3" t="str">
        <f t="shared" si="10"/>
        <v/>
      </c>
      <c r="Y117" t="str">
        <f t="shared" si="11"/>
        <v/>
      </c>
      <c r="Z117">
        <f t="shared" si="12"/>
        <v>0</v>
      </c>
      <c r="AA117">
        <f t="shared" si="13"/>
        <v>70.791666666664241</v>
      </c>
      <c r="AB117">
        <f t="shared" si="14"/>
        <v>70.791666666664241</v>
      </c>
      <c r="AC117">
        <f>IFERROR(_xlfn.XLOOKUP(B117, HoldSummary!$A:$A, HoldSummary!B:B), 0)</f>
        <v>0</v>
      </c>
      <c r="AD117">
        <f>IFERROR(_xlfn.XLOOKUP(B117, HoldSummary!$A:$A, HoldSummary!C:C), 0)</f>
        <v>0</v>
      </c>
      <c r="AE117">
        <f>IFERROR(_xlfn.XLOOKUP(B117, HoldSummary!$A:$A, HoldSummary!D:D), 0)</f>
        <v>0</v>
      </c>
      <c r="AF117">
        <f>IFERROR(_xlfn.XLOOKUP(B117, HoldSummary!$A:$A, HoldSummary!E:E), 0)</f>
        <v>0</v>
      </c>
      <c r="AG117">
        <f>IFERROR(_xlfn.XLOOKUP(B117, HoldSummary!$A:$A, HoldSummary!F:F), 0)</f>
        <v>0</v>
      </c>
      <c r="AH117">
        <f>IFERROR(_xlfn.XLOOKUP(B117, HoldSummary!$A:$A, HoldSummary!G:G), 0)</f>
        <v>0</v>
      </c>
      <c r="AI117">
        <f>IFERROR(_xlfn.XLOOKUP(B117, HoldSummary!$A:$A, HoldSummary!H:H), 0)</f>
        <v>0</v>
      </c>
      <c r="AJ117">
        <f>IFERROR(_xlfn.XLOOKUP(B117, HoldSummary!$A:$A, HoldSummary!I:I), 0)</f>
        <v>0</v>
      </c>
      <c r="AK117">
        <f t="shared" si="15"/>
        <v>0</v>
      </c>
      <c r="AL117">
        <f t="shared" si="16"/>
        <v>70.791666666664241</v>
      </c>
      <c r="AM117">
        <f t="shared" si="17"/>
        <v>70.791666666664241</v>
      </c>
      <c r="AN117" s="12">
        <f t="shared" si="18"/>
        <v>6.7916666666642413</v>
      </c>
      <c r="AO117">
        <f t="shared" si="19"/>
        <v>0</v>
      </c>
    </row>
    <row r="118" spans="1:41" x14ac:dyDescent="0.35">
      <c r="A118" t="s">
        <v>23</v>
      </c>
      <c r="B118" t="s">
        <v>298</v>
      </c>
      <c r="C118" t="s">
        <v>36</v>
      </c>
      <c r="D118" t="s">
        <v>44</v>
      </c>
      <c r="E118" t="s">
        <v>44</v>
      </c>
      <c r="F118" t="s">
        <v>28</v>
      </c>
      <c r="G118">
        <v>1</v>
      </c>
      <c r="H118" t="s">
        <v>299</v>
      </c>
      <c r="I118" t="s">
        <v>30</v>
      </c>
      <c r="J118" t="s">
        <v>300</v>
      </c>
      <c r="K118" t="s">
        <v>48</v>
      </c>
      <c r="L118" t="s">
        <v>185</v>
      </c>
      <c r="N118" s="2">
        <v>45664.208333333336</v>
      </c>
      <c r="O118" s="2">
        <v>45687.208333333336</v>
      </c>
      <c r="P118" s="2">
        <v>45687.208333333336</v>
      </c>
      <c r="Q118" s="2">
        <v>45685</v>
      </c>
      <c r="R118" s="2">
        <v>45685.878012488429</v>
      </c>
      <c r="S118" t="s">
        <v>115</v>
      </c>
      <c r="T118" s="2"/>
      <c r="U118" s="2"/>
      <c r="V118" s="2"/>
      <c r="W118" s="2"/>
      <c r="X118" s="3" t="str">
        <f t="shared" si="10"/>
        <v/>
      </c>
      <c r="Y118" t="str">
        <f t="shared" si="11"/>
        <v/>
      </c>
      <c r="Z118">
        <f t="shared" si="12"/>
        <v>0</v>
      </c>
      <c r="AA118">
        <f t="shared" si="13"/>
        <v>20.791666666664241</v>
      </c>
      <c r="AB118">
        <f t="shared" si="14"/>
        <v>20.791666666664241</v>
      </c>
      <c r="AC118">
        <f>IFERROR(_xlfn.XLOOKUP(B118, HoldSummary!$A:$A, HoldSummary!B:B), 0)</f>
        <v>0</v>
      </c>
      <c r="AD118">
        <f>IFERROR(_xlfn.XLOOKUP(B118, HoldSummary!$A:$A, HoldSummary!C:C), 0)</f>
        <v>0</v>
      </c>
      <c r="AE118">
        <f>IFERROR(_xlfn.XLOOKUP(B118, HoldSummary!$A:$A, HoldSummary!D:D), 0)</f>
        <v>0</v>
      </c>
      <c r="AF118">
        <f>IFERROR(_xlfn.XLOOKUP(B118, HoldSummary!$A:$A, HoldSummary!E:E), 0)</f>
        <v>0</v>
      </c>
      <c r="AG118">
        <f>IFERROR(_xlfn.XLOOKUP(B118, HoldSummary!$A:$A, HoldSummary!F:F), 0)</f>
        <v>0</v>
      </c>
      <c r="AH118">
        <f>IFERROR(_xlfn.XLOOKUP(B118, HoldSummary!$A:$A, HoldSummary!G:G), 0)</f>
        <v>0</v>
      </c>
      <c r="AI118">
        <f>IFERROR(_xlfn.XLOOKUP(B118, HoldSummary!$A:$A, HoldSummary!H:H), 0)</f>
        <v>0</v>
      </c>
      <c r="AJ118">
        <f>IFERROR(_xlfn.XLOOKUP(B118, HoldSummary!$A:$A, HoldSummary!I:I), 0)</f>
        <v>0</v>
      </c>
      <c r="AK118">
        <f t="shared" si="15"/>
        <v>0</v>
      </c>
      <c r="AL118">
        <f t="shared" si="16"/>
        <v>20.791666666664241</v>
      </c>
      <c r="AM118">
        <f t="shared" si="17"/>
        <v>20.791666666664241</v>
      </c>
      <c r="AN118" s="12">
        <f t="shared" si="18"/>
        <v>-2.2083333333357587</v>
      </c>
      <c r="AO118">
        <f t="shared" si="19"/>
        <v>1</v>
      </c>
    </row>
    <row r="119" spans="1:41" x14ac:dyDescent="0.35">
      <c r="A119" t="s">
        <v>23</v>
      </c>
      <c r="B119" t="s">
        <v>301</v>
      </c>
      <c r="C119" t="s">
        <v>36</v>
      </c>
      <c r="D119" t="s">
        <v>44</v>
      </c>
      <c r="E119" t="s">
        <v>44</v>
      </c>
      <c r="F119" t="s">
        <v>28</v>
      </c>
      <c r="G119">
        <v>2</v>
      </c>
      <c r="H119" t="s">
        <v>302</v>
      </c>
      <c r="I119" t="s">
        <v>30</v>
      </c>
      <c r="J119" t="s">
        <v>70</v>
      </c>
      <c r="K119" t="s">
        <v>48</v>
      </c>
      <c r="L119" t="s">
        <v>185</v>
      </c>
      <c r="N119" s="2">
        <v>45002.166666666664</v>
      </c>
      <c r="O119" s="2">
        <v>45037.166666666664</v>
      </c>
      <c r="P119" s="2">
        <v>45695.208333333336</v>
      </c>
      <c r="Q119" s="2">
        <v>45694</v>
      </c>
      <c r="R119" s="2">
        <v>45694.790729340275</v>
      </c>
      <c r="S119" t="s">
        <v>303</v>
      </c>
      <c r="T119" s="2">
        <v>45020.166666666664</v>
      </c>
      <c r="U119" s="2">
        <v>45061.166666666664</v>
      </c>
      <c r="V119" s="2">
        <v>45061.166666666664</v>
      </c>
      <c r="W119" s="2">
        <v>45596.166666666664</v>
      </c>
      <c r="X119" s="3">
        <f t="shared" si="10"/>
        <v>41</v>
      </c>
      <c r="Y119">
        <f t="shared" si="11"/>
        <v>535</v>
      </c>
      <c r="Z119">
        <f t="shared" si="12"/>
        <v>576</v>
      </c>
      <c r="AA119">
        <f t="shared" si="13"/>
        <v>691.83333333333576</v>
      </c>
      <c r="AB119">
        <f t="shared" si="14"/>
        <v>115.83333333333576</v>
      </c>
      <c r="AC119">
        <f>IFERROR(_xlfn.XLOOKUP(B119, HoldSummary!$A:$A, HoldSummary!B:B), 0)</f>
        <v>0</v>
      </c>
      <c r="AD119">
        <f>IFERROR(_xlfn.XLOOKUP(B119, HoldSummary!$A:$A, HoldSummary!C:C), 0)</f>
        <v>0</v>
      </c>
      <c r="AE119">
        <f>IFERROR(_xlfn.XLOOKUP(B119, HoldSummary!$A:$A, HoldSummary!D:D), 0)</f>
        <v>0</v>
      </c>
      <c r="AF119">
        <f>IFERROR(_xlfn.XLOOKUP(B119, HoldSummary!$A:$A, HoldSummary!E:E), 0)</f>
        <v>0</v>
      </c>
      <c r="AG119">
        <f>IFERROR(_xlfn.XLOOKUP(B119, HoldSummary!$A:$A, HoldSummary!F:F), 0)</f>
        <v>0</v>
      </c>
      <c r="AH119">
        <f>IFERROR(_xlfn.XLOOKUP(B119, HoldSummary!$A:$A, HoldSummary!G:G), 0)</f>
        <v>25.01863765046437</v>
      </c>
      <c r="AI119">
        <f>IFERROR(_xlfn.XLOOKUP(B119, HoldSummary!$A:$A, HoldSummary!H:H), 0)</f>
        <v>401.08825248843641</v>
      </c>
      <c r="AJ119">
        <f>IFERROR(_xlfn.XLOOKUP(B119, HoldSummary!$A:$A, HoldSummary!I:I), 0)</f>
        <v>0</v>
      </c>
      <c r="AK119">
        <f t="shared" si="15"/>
        <v>426.10689013890078</v>
      </c>
      <c r="AL119">
        <f t="shared" si="16"/>
        <v>265.72644319443498</v>
      </c>
      <c r="AM119">
        <f t="shared" si="17"/>
        <v>-310.27355680556502</v>
      </c>
      <c r="AN119" s="12">
        <f t="shared" si="18"/>
        <v>656.83333333333576</v>
      </c>
      <c r="AO119">
        <f t="shared" si="19"/>
        <v>0</v>
      </c>
    </row>
    <row r="120" spans="1:41" x14ac:dyDescent="0.35">
      <c r="A120" t="s">
        <v>23</v>
      </c>
      <c r="B120" t="s">
        <v>304</v>
      </c>
      <c r="C120" t="s">
        <v>43</v>
      </c>
      <c r="D120" t="s">
        <v>44</v>
      </c>
      <c r="E120" t="s">
        <v>45</v>
      </c>
      <c r="F120" t="s">
        <v>28</v>
      </c>
      <c r="G120">
        <v>2</v>
      </c>
      <c r="H120" t="s">
        <v>305</v>
      </c>
      <c r="I120" t="s">
        <v>30</v>
      </c>
      <c r="J120" t="s">
        <v>70</v>
      </c>
      <c r="K120" t="s">
        <v>57</v>
      </c>
      <c r="L120" t="s">
        <v>53</v>
      </c>
      <c r="N120" s="2">
        <v>45062.726493055554</v>
      </c>
      <c r="O120" s="2">
        <v>45412.166666666664</v>
      </c>
      <c r="P120" s="2">
        <v>45450.166666666664</v>
      </c>
      <c r="Q120" s="2">
        <v>45449</v>
      </c>
      <c r="R120" s="2">
        <v>45449.840904895835</v>
      </c>
      <c r="S120" t="s">
        <v>306</v>
      </c>
      <c r="T120" s="2"/>
      <c r="U120" s="2"/>
      <c r="V120" s="2"/>
      <c r="W120" s="2"/>
      <c r="X120" s="3" t="str">
        <f t="shared" si="10"/>
        <v/>
      </c>
      <c r="Y120" t="str">
        <f t="shared" si="11"/>
        <v/>
      </c>
      <c r="Z120">
        <f t="shared" si="12"/>
        <v>0</v>
      </c>
      <c r="AA120">
        <f t="shared" si="13"/>
        <v>386.27350694444613</v>
      </c>
      <c r="AB120">
        <f t="shared" si="14"/>
        <v>386.27350694444613</v>
      </c>
      <c r="AC120">
        <f>IFERROR(_xlfn.XLOOKUP(B120, HoldSummary!$A:$A, HoldSummary!B:B), 0)</f>
        <v>0</v>
      </c>
      <c r="AD120">
        <f>IFERROR(_xlfn.XLOOKUP(B120, HoldSummary!$A:$A, HoldSummary!C:C), 0)</f>
        <v>0</v>
      </c>
      <c r="AE120">
        <f>IFERROR(_xlfn.XLOOKUP(B120, HoldSummary!$A:$A, HoldSummary!D:D), 0)</f>
        <v>0</v>
      </c>
      <c r="AF120">
        <f>IFERROR(_xlfn.XLOOKUP(B120, HoldSummary!$A:$A, HoldSummary!E:E), 0)</f>
        <v>0</v>
      </c>
      <c r="AG120">
        <f>IFERROR(_xlfn.XLOOKUP(B120, HoldSummary!$A:$A, HoldSummary!F:F), 0)</f>
        <v>0</v>
      </c>
      <c r="AH120">
        <f>IFERROR(_xlfn.XLOOKUP(B120, HoldSummary!$A:$A, HoldSummary!G:G), 0)</f>
        <v>0</v>
      </c>
      <c r="AI120">
        <f>IFERROR(_xlfn.XLOOKUP(B120, HoldSummary!$A:$A, HoldSummary!H:H), 0)</f>
        <v>0</v>
      </c>
      <c r="AJ120">
        <f>IFERROR(_xlfn.XLOOKUP(B120, HoldSummary!$A:$A, HoldSummary!I:I), 0)</f>
        <v>0</v>
      </c>
      <c r="AK120">
        <f t="shared" si="15"/>
        <v>0</v>
      </c>
      <c r="AL120">
        <f t="shared" si="16"/>
        <v>386.27350694444613</v>
      </c>
      <c r="AM120">
        <f t="shared" si="17"/>
        <v>386.27350694444613</v>
      </c>
      <c r="AN120" s="12">
        <f t="shared" si="18"/>
        <v>36.833333333335759</v>
      </c>
      <c r="AO120">
        <f t="shared" si="19"/>
        <v>0</v>
      </c>
    </row>
    <row r="121" spans="1:41" x14ac:dyDescent="0.35">
      <c r="A121" t="s">
        <v>23</v>
      </c>
      <c r="B121" t="s">
        <v>307</v>
      </c>
      <c r="C121" t="s">
        <v>76</v>
      </c>
      <c r="D121" t="s">
        <v>44</v>
      </c>
      <c r="E121" t="s">
        <v>45</v>
      </c>
      <c r="F121" t="s">
        <v>28</v>
      </c>
      <c r="G121">
        <v>2</v>
      </c>
      <c r="H121" t="s">
        <v>308</v>
      </c>
      <c r="I121" t="s">
        <v>30</v>
      </c>
      <c r="J121" t="s">
        <v>208</v>
      </c>
      <c r="K121" t="s">
        <v>48</v>
      </c>
      <c r="L121" t="s">
        <v>192</v>
      </c>
      <c r="N121" s="2">
        <v>45082.683657407404</v>
      </c>
      <c r="O121" s="2">
        <v>45177.166666666664</v>
      </c>
      <c r="P121" s="2">
        <v>45366.166666666664</v>
      </c>
      <c r="Q121" s="2">
        <v>45362</v>
      </c>
      <c r="R121" s="2">
        <v>45363.635021030095</v>
      </c>
      <c r="S121" t="s">
        <v>309</v>
      </c>
      <c r="T121" s="2">
        <v>45106.166666666664</v>
      </c>
      <c r="U121" s="2">
        <v>45118.166666666664</v>
      </c>
      <c r="V121" s="2">
        <v>45118.166666666664</v>
      </c>
      <c r="W121" s="2">
        <v>45274.208333333336</v>
      </c>
      <c r="X121" s="3">
        <f t="shared" si="10"/>
        <v>12</v>
      </c>
      <c r="Y121">
        <f t="shared" si="11"/>
        <v>156.04166666667152</v>
      </c>
      <c r="Z121">
        <f t="shared" si="12"/>
        <v>168.04166666667152</v>
      </c>
      <c r="AA121">
        <f t="shared" si="13"/>
        <v>279.3163425925959</v>
      </c>
      <c r="AB121">
        <f t="shared" si="14"/>
        <v>111.27467592592438</v>
      </c>
      <c r="AC121">
        <f>IFERROR(_xlfn.XLOOKUP(B121, HoldSummary!$A:$A, HoldSummary!B:B), 0)</f>
        <v>0</v>
      </c>
      <c r="AD121">
        <f>IFERROR(_xlfn.XLOOKUP(B121, HoldSummary!$A:$A, HoldSummary!C:C), 0)</f>
        <v>0</v>
      </c>
      <c r="AE121">
        <f>IFERROR(_xlfn.XLOOKUP(B121, HoldSummary!$A:$A, HoldSummary!D:D), 0)</f>
        <v>0</v>
      </c>
      <c r="AF121">
        <f>IFERROR(_xlfn.XLOOKUP(B121, HoldSummary!$A:$A, HoldSummary!E:E), 0)</f>
        <v>0</v>
      </c>
      <c r="AG121">
        <f>IFERROR(_xlfn.XLOOKUP(B121, HoldSummary!$A:$A, HoldSummary!F:F), 0)</f>
        <v>0</v>
      </c>
      <c r="AH121">
        <f>IFERROR(_xlfn.XLOOKUP(B121, HoldSummary!$A:$A, HoldSummary!G:G), 0)</f>
        <v>0</v>
      </c>
      <c r="AI121">
        <f>IFERROR(_xlfn.XLOOKUP(B121, HoldSummary!$A:$A, HoldSummary!H:H), 0)</f>
        <v>0</v>
      </c>
      <c r="AJ121">
        <f>IFERROR(_xlfn.XLOOKUP(B121, HoldSummary!$A:$A, HoldSummary!I:I), 0)</f>
        <v>39.948579178242653</v>
      </c>
      <c r="AK121">
        <f t="shared" si="15"/>
        <v>39.948579178242653</v>
      </c>
      <c r="AL121">
        <f t="shared" si="16"/>
        <v>239.36776341435325</v>
      </c>
      <c r="AM121">
        <f t="shared" si="17"/>
        <v>71.326096747681731</v>
      </c>
      <c r="AN121" s="12">
        <f t="shared" si="18"/>
        <v>184.83333333333576</v>
      </c>
      <c r="AO121">
        <f t="shared" si="19"/>
        <v>0</v>
      </c>
    </row>
    <row r="122" spans="1:41" x14ac:dyDescent="0.35">
      <c r="A122" t="s">
        <v>23</v>
      </c>
      <c r="B122" t="s">
        <v>310</v>
      </c>
      <c r="C122" t="s">
        <v>135</v>
      </c>
      <c r="D122" t="s">
        <v>44</v>
      </c>
      <c r="E122" t="s">
        <v>45</v>
      </c>
      <c r="F122" t="s">
        <v>28</v>
      </c>
      <c r="G122">
        <v>2</v>
      </c>
      <c r="H122" t="s">
        <v>311</v>
      </c>
      <c r="I122" t="s">
        <v>30</v>
      </c>
      <c r="J122" t="s">
        <v>70</v>
      </c>
      <c r="K122" t="s">
        <v>32</v>
      </c>
      <c r="L122" t="s">
        <v>32</v>
      </c>
      <c r="N122" s="2">
        <v>45078.638055555559</v>
      </c>
      <c r="O122" s="2">
        <v>45260.208333333336</v>
      </c>
      <c r="P122" s="2">
        <v>45491.166666666664</v>
      </c>
      <c r="Q122" s="2">
        <v>45484</v>
      </c>
      <c r="R122" s="2">
        <v>45491.14614203704</v>
      </c>
      <c r="S122" t="s">
        <v>215</v>
      </c>
      <c r="T122" s="2">
        <v>45204.166666666664</v>
      </c>
      <c r="U122" s="2">
        <v>45275.208333333336</v>
      </c>
      <c r="V122" s="2">
        <v>45275.208333333336</v>
      </c>
      <c r="W122" s="2">
        <v>45275.208333333336</v>
      </c>
      <c r="X122" s="3">
        <f t="shared" si="10"/>
        <v>71.041666666671517</v>
      </c>
      <c r="Y122">
        <f t="shared" si="11"/>
        <v>0</v>
      </c>
      <c r="Z122">
        <f t="shared" si="12"/>
        <v>71.041666666671517</v>
      </c>
      <c r="AA122">
        <f t="shared" si="13"/>
        <v>405.36194444444118</v>
      </c>
      <c r="AB122">
        <f t="shared" si="14"/>
        <v>334.32027777776966</v>
      </c>
      <c r="AC122">
        <f>IFERROR(_xlfn.XLOOKUP(B122, HoldSummary!$A:$A, HoldSummary!B:B), 0)</f>
        <v>0</v>
      </c>
      <c r="AD122">
        <f>IFERROR(_xlfn.XLOOKUP(B122, HoldSummary!$A:$A, HoldSummary!C:C), 0)</f>
        <v>0</v>
      </c>
      <c r="AE122">
        <f>IFERROR(_xlfn.XLOOKUP(B122, HoldSummary!$A:$A, HoldSummary!D:D), 0)</f>
        <v>0</v>
      </c>
      <c r="AF122">
        <f>IFERROR(_xlfn.XLOOKUP(B122, HoldSummary!$A:$A, HoldSummary!E:E), 0)</f>
        <v>0</v>
      </c>
      <c r="AG122">
        <f>IFERROR(_xlfn.XLOOKUP(B122, HoldSummary!$A:$A, HoldSummary!F:F), 0)</f>
        <v>0</v>
      </c>
      <c r="AH122">
        <f>IFERROR(_xlfn.XLOOKUP(B122, HoldSummary!$A:$A, HoldSummary!G:G), 0)</f>
        <v>0</v>
      </c>
      <c r="AI122">
        <f>IFERROR(_xlfn.XLOOKUP(B122, HoldSummary!$A:$A, HoldSummary!H:H), 0)</f>
        <v>0</v>
      </c>
      <c r="AJ122">
        <f>IFERROR(_xlfn.XLOOKUP(B122, HoldSummary!$A:$A, HoldSummary!I:I), 0)</f>
        <v>0</v>
      </c>
      <c r="AK122">
        <f t="shared" si="15"/>
        <v>0</v>
      </c>
      <c r="AL122">
        <f t="shared" si="16"/>
        <v>405.36194444444118</v>
      </c>
      <c r="AM122">
        <f t="shared" si="17"/>
        <v>334.32027777776966</v>
      </c>
      <c r="AN122" s="12">
        <f t="shared" si="18"/>
        <v>223.79166666666424</v>
      </c>
      <c r="AO122">
        <f t="shared" si="19"/>
        <v>0</v>
      </c>
    </row>
    <row r="123" spans="1:41" x14ac:dyDescent="0.35">
      <c r="A123" t="s">
        <v>23</v>
      </c>
      <c r="B123" t="s">
        <v>312</v>
      </c>
      <c r="C123" t="s">
        <v>54</v>
      </c>
      <c r="D123" t="s">
        <v>44</v>
      </c>
      <c r="E123" t="s">
        <v>45</v>
      </c>
      <c r="F123" t="s">
        <v>28</v>
      </c>
      <c r="G123">
        <v>2</v>
      </c>
      <c r="H123" t="s">
        <v>313</v>
      </c>
      <c r="I123" t="s">
        <v>30</v>
      </c>
      <c r="J123" t="s">
        <v>31</v>
      </c>
      <c r="K123" t="s">
        <v>38</v>
      </c>
      <c r="L123" t="s">
        <v>39</v>
      </c>
      <c r="N123" s="2">
        <v>44978.588275462964</v>
      </c>
      <c r="O123" s="2">
        <v>45219.166666666664</v>
      </c>
      <c r="P123" s="2">
        <v>45379.166666666664</v>
      </c>
      <c r="Q123" s="2">
        <v>45376</v>
      </c>
      <c r="R123" s="2">
        <v>45376.769152696761</v>
      </c>
      <c r="T123" s="2">
        <v>45166.166666666664</v>
      </c>
      <c r="U123" s="2">
        <v>45229.166666666664</v>
      </c>
      <c r="V123" s="2">
        <v>45229.166666666664</v>
      </c>
      <c r="W123" s="2">
        <v>45247.208333333336</v>
      </c>
      <c r="X123" s="3">
        <f t="shared" si="10"/>
        <v>63</v>
      </c>
      <c r="Y123">
        <f t="shared" si="11"/>
        <v>18.041666666671517</v>
      </c>
      <c r="Z123">
        <f t="shared" si="12"/>
        <v>81.041666666671517</v>
      </c>
      <c r="AA123">
        <f t="shared" si="13"/>
        <v>397.41172453703621</v>
      </c>
      <c r="AB123">
        <f t="shared" si="14"/>
        <v>316.37005787036469</v>
      </c>
      <c r="AC123">
        <f>IFERROR(_xlfn.XLOOKUP(B123, HoldSummary!$A:$A, HoldSummary!B:B), 0)</f>
        <v>0</v>
      </c>
      <c r="AD123">
        <f>IFERROR(_xlfn.XLOOKUP(B123, HoldSummary!$A:$A, HoldSummary!C:C), 0)</f>
        <v>0</v>
      </c>
      <c r="AE123">
        <f>IFERROR(_xlfn.XLOOKUP(B123, HoldSummary!$A:$A, HoldSummary!D:D), 0)</f>
        <v>0</v>
      </c>
      <c r="AF123">
        <f>IFERROR(_xlfn.XLOOKUP(B123, HoldSummary!$A:$A, HoldSummary!E:E), 0)</f>
        <v>0</v>
      </c>
      <c r="AG123">
        <f>IFERROR(_xlfn.XLOOKUP(B123, HoldSummary!$A:$A, HoldSummary!F:F), 0)</f>
        <v>0</v>
      </c>
      <c r="AH123">
        <f>IFERROR(_xlfn.XLOOKUP(B123, HoldSummary!$A:$A, HoldSummary!G:G), 0)</f>
        <v>0</v>
      </c>
      <c r="AI123">
        <f>IFERROR(_xlfn.XLOOKUP(B123, HoldSummary!$A:$A, HoldSummary!H:H), 0)</f>
        <v>0</v>
      </c>
      <c r="AJ123">
        <f>IFERROR(_xlfn.XLOOKUP(B123, HoldSummary!$A:$A, HoldSummary!I:I), 0)</f>
        <v>47</v>
      </c>
      <c r="AK123">
        <f t="shared" si="15"/>
        <v>47</v>
      </c>
      <c r="AL123">
        <f t="shared" si="16"/>
        <v>350.41172453703621</v>
      </c>
      <c r="AM123">
        <f t="shared" si="17"/>
        <v>269.37005787036469</v>
      </c>
      <c r="AN123" s="12">
        <f t="shared" si="18"/>
        <v>156.83333333333576</v>
      </c>
      <c r="AO123">
        <f t="shared" si="19"/>
        <v>0</v>
      </c>
    </row>
    <row r="124" spans="1:41" x14ac:dyDescent="0.35">
      <c r="A124" t="s">
        <v>23</v>
      </c>
      <c r="B124" t="s">
        <v>314</v>
      </c>
      <c r="C124" t="s">
        <v>54</v>
      </c>
      <c r="D124" t="s">
        <v>44</v>
      </c>
      <c r="E124" t="s">
        <v>45</v>
      </c>
      <c r="F124" t="s">
        <v>28</v>
      </c>
      <c r="G124">
        <v>2</v>
      </c>
      <c r="H124" t="s">
        <v>315</v>
      </c>
      <c r="I124" t="s">
        <v>30</v>
      </c>
      <c r="J124" t="s">
        <v>31</v>
      </c>
      <c r="K124" t="s">
        <v>38</v>
      </c>
      <c r="L124" t="s">
        <v>53</v>
      </c>
      <c r="N124" s="2">
        <v>45173.367071759261</v>
      </c>
      <c r="O124" s="2">
        <v>45240.208333333336</v>
      </c>
      <c r="P124" s="2">
        <v>45338.208333333336</v>
      </c>
      <c r="Q124" s="2">
        <v>45331</v>
      </c>
      <c r="R124" s="2">
        <v>45331.881713194445</v>
      </c>
      <c r="S124" t="s">
        <v>316</v>
      </c>
      <c r="T124" s="2">
        <v>45236.208333333336</v>
      </c>
      <c r="U124" s="2">
        <v>45268.208333333336</v>
      </c>
      <c r="V124" s="2">
        <v>45268.208333333336</v>
      </c>
      <c r="W124" s="2">
        <v>45278.208333333336</v>
      </c>
      <c r="X124" s="3">
        <f t="shared" si="10"/>
        <v>32</v>
      </c>
      <c r="Y124">
        <f t="shared" si="11"/>
        <v>10</v>
      </c>
      <c r="Z124">
        <f t="shared" si="12"/>
        <v>42</v>
      </c>
      <c r="AA124">
        <f t="shared" si="13"/>
        <v>157.63292824073869</v>
      </c>
      <c r="AB124">
        <f t="shared" si="14"/>
        <v>115.63292824073869</v>
      </c>
      <c r="AC124">
        <f>IFERROR(_xlfn.XLOOKUP(B124, HoldSummary!$A:$A, HoldSummary!B:B), 0)</f>
        <v>0</v>
      </c>
      <c r="AD124">
        <f>IFERROR(_xlfn.XLOOKUP(B124, HoldSummary!$A:$A, HoldSummary!C:C), 0)</f>
        <v>0</v>
      </c>
      <c r="AE124">
        <f>IFERROR(_xlfn.XLOOKUP(B124, HoldSummary!$A:$A, HoldSummary!D:D), 0)</f>
        <v>0</v>
      </c>
      <c r="AF124">
        <f>IFERROR(_xlfn.XLOOKUP(B124, HoldSummary!$A:$A, HoldSummary!E:E), 0)</f>
        <v>0</v>
      </c>
      <c r="AG124">
        <f>IFERROR(_xlfn.XLOOKUP(B124, HoldSummary!$A:$A, HoldSummary!F:F), 0)</f>
        <v>0</v>
      </c>
      <c r="AH124">
        <f>IFERROR(_xlfn.XLOOKUP(B124, HoldSummary!$A:$A, HoldSummary!G:G), 0)</f>
        <v>0</v>
      </c>
      <c r="AI124">
        <f>IFERROR(_xlfn.XLOOKUP(B124, HoldSummary!$A:$A, HoldSummary!H:H), 0)</f>
        <v>0</v>
      </c>
      <c r="AJ124">
        <f>IFERROR(_xlfn.XLOOKUP(B124, HoldSummary!$A:$A, HoldSummary!I:I), 0)</f>
        <v>0</v>
      </c>
      <c r="AK124">
        <f t="shared" si="15"/>
        <v>0</v>
      </c>
      <c r="AL124">
        <f t="shared" si="16"/>
        <v>157.63292824073869</v>
      </c>
      <c r="AM124">
        <f t="shared" si="17"/>
        <v>115.63292824073869</v>
      </c>
      <c r="AN124" s="12">
        <f t="shared" si="18"/>
        <v>90.791666666664241</v>
      </c>
      <c r="AO124">
        <f t="shared" si="19"/>
        <v>0</v>
      </c>
    </row>
    <row r="125" spans="1:41" x14ac:dyDescent="0.35">
      <c r="A125" t="s">
        <v>23</v>
      </c>
      <c r="B125" t="s">
        <v>317</v>
      </c>
      <c r="C125" t="s">
        <v>113</v>
      </c>
      <c r="D125" t="s">
        <v>44</v>
      </c>
      <c r="E125" t="s">
        <v>45</v>
      </c>
      <c r="F125" t="s">
        <v>28</v>
      </c>
      <c r="G125">
        <v>2</v>
      </c>
      <c r="H125" t="s">
        <v>318</v>
      </c>
      <c r="I125" t="s">
        <v>30</v>
      </c>
      <c r="J125" t="s">
        <v>31</v>
      </c>
      <c r="K125" t="s">
        <v>48</v>
      </c>
      <c r="L125" t="s">
        <v>192</v>
      </c>
      <c r="N125" s="2">
        <v>45205.825254629628</v>
      </c>
      <c r="O125" s="2">
        <v>45261.208333333336</v>
      </c>
      <c r="P125" s="2">
        <v>45317.208333333336</v>
      </c>
      <c r="Q125" s="2">
        <v>45314</v>
      </c>
      <c r="R125" s="2">
        <v>45314.812014270836</v>
      </c>
      <c r="S125" t="s">
        <v>319</v>
      </c>
      <c r="T125" s="2">
        <v>45238.208333333336</v>
      </c>
      <c r="U125" s="2">
        <v>45245.208333333336</v>
      </c>
      <c r="V125" s="2">
        <v>45245.208333333336</v>
      </c>
      <c r="W125" s="2">
        <v>45278.208333333336</v>
      </c>
      <c r="X125" s="3">
        <f t="shared" si="10"/>
        <v>7</v>
      </c>
      <c r="Y125">
        <f t="shared" si="11"/>
        <v>33</v>
      </c>
      <c r="Z125">
        <f t="shared" si="12"/>
        <v>40</v>
      </c>
      <c r="AA125">
        <f t="shared" si="13"/>
        <v>108.17474537037197</v>
      </c>
      <c r="AB125">
        <f t="shared" si="14"/>
        <v>68.174745370371966</v>
      </c>
      <c r="AC125">
        <f>IFERROR(_xlfn.XLOOKUP(B125, HoldSummary!$A:$A, HoldSummary!B:B), 0)</f>
        <v>0</v>
      </c>
      <c r="AD125">
        <f>IFERROR(_xlfn.XLOOKUP(B125, HoldSummary!$A:$A, HoldSummary!C:C), 0)</f>
        <v>0</v>
      </c>
      <c r="AE125">
        <f>IFERROR(_xlfn.XLOOKUP(B125, HoldSummary!$A:$A, HoldSummary!D:D), 0)</f>
        <v>0</v>
      </c>
      <c r="AF125">
        <f>IFERROR(_xlfn.XLOOKUP(B125, HoldSummary!$A:$A, HoldSummary!E:E), 0)</f>
        <v>0</v>
      </c>
      <c r="AG125">
        <f>IFERROR(_xlfn.XLOOKUP(B125, HoldSummary!$A:$A, HoldSummary!F:F), 0)</f>
        <v>0</v>
      </c>
      <c r="AH125">
        <f>IFERROR(_xlfn.XLOOKUP(B125, HoldSummary!$A:$A, HoldSummary!G:G), 0)</f>
        <v>6.9467028356448282</v>
      </c>
      <c r="AI125">
        <f>IFERROR(_xlfn.XLOOKUP(B125, HoldSummary!$A:$A, HoldSummary!H:H), 0)</f>
        <v>0</v>
      </c>
      <c r="AJ125">
        <f>IFERROR(_xlfn.XLOOKUP(B125, HoldSummary!$A:$A, HoldSummary!I:I), 0)</f>
        <v>0</v>
      </c>
      <c r="AK125">
        <f t="shared" si="15"/>
        <v>6.9467028356448282</v>
      </c>
      <c r="AL125">
        <f t="shared" si="16"/>
        <v>101.22804253472714</v>
      </c>
      <c r="AM125">
        <f t="shared" si="17"/>
        <v>61.228042534727138</v>
      </c>
      <c r="AN125" s="12">
        <f t="shared" si="18"/>
        <v>52.791666666664241</v>
      </c>
      <c r="AO125">
        <f t="shared" si="19"/>
        <v>0</v>
      </c>
    </row>
    <row r="126" spans="1:41" x14ac:dyDescent="0.35">
      <c r="A126" t="s">
        <v>23</v>
      </c>
      <c r="B126" t="s">
        <v>320</v>
      </c>
      <c r="C126" t="s">
        <v>54</v>
      </c>
      <c r="D126" t="s">
        <v>44</v>
      </c>
      <c r="E126" t="s">
        <v>45</v>
      </c>
      <c r="F126" t="s">
        <v>28</v>
      </c>
      <c r="G126">
        <v>2</v>
      </c>
      <c r="H126" t="s">
        <v>321</v>
      </c>
      <c r="I126" t="s">
        <v>30</v>
      </c>
      <c r="J126" t="s">
        <v>31</v>
      </c>
      <c r="K126" t="s">
        <v>57</v>
      </c>
      <c r="N126" s="2">
        <v>45238.530949074076</v>
      </c>
      <c r="O126" s="2">
        <v>45474.166666666664</v>
      </c>
      <c r="P126" s="2">
        <v>45559.166666666664</v>
      </c>
      <c r="Q126" s="2">
        <v>45555</v>
      </c>
      <c r="R126" s="2">
        <v>45558.049577905091</v>
      </c>
      <c r="S126" t="s">
        <v>322</v>
      </c>
      <c r="T126" s="2">
        <v>45352.208333333336</v>
      </c>
      <c r="U126" s="2">
        <v>45449.166666666664</v>
      </c>
      <c r="V126" s="2">
        <v>45449.166666666664</v>
      </c>
      <c r="W126" s="2">
        <v>45518.166666666664</v>
      </c>
      <c r="X126" s="3">
        <f t="shared" si="10"/>
        <v>96.958333333328483</v>
      </c>
      <c r="Y126">
        <f t="shared" si="11"/>
        <v>69</v>
      </c>
      <c r="Z126">
        <f t="shared" si="12"/>
        <v>165.95833333332848</v>
      </c>
      <c r="AA126">
        <f t="shared" si="13"/>
        <v>316.46905092592351</v>
      </c>
      <c r="AB126">
        <f t="shared" si="14"/>
        <v>150.51071759259503</v>
      </c>
      <c r="AC126">
        <f>IFERROR(_xlfn.XLOOKUP(B126, HoldSummary!$A:$A, HoldSummary!B:B), 0)</f>
        <v>0</v>
      </c>
      <c r="AD126">
        <f>IFERROR(_xlfn.XLOOKUP(B126, HoldSummary!$A:$A, HoldSummary!C:C), 0)</f>
        <v>0</v>
      </c>
      <c r="AE126">
        <f>IFERROR(_xlfn.XLOOKUP(B126, HoldSummary!$A:$A, HoldSummary!D:D), 0)</f>
        <v>0</v>
      </c>
      <c r="AF126">
        <f>IFERROR(_xlfn.XLOOKUP(B126, HoldSummary!$A:$A, HoldSummary!E:E), 0)</f>
        <v>0</v>
      </c>
      <c r="AG126">
        <f>IFERROR(_xlfn.XLOOKUP(B126, HoldSummary!$A:$A, HoldSummary!F:F), 0)</f>
        <v>0</v>
      </c>
      <c r="AH126">
        <f>IFERROR(_xlfn.XLOOKUP(B126, HoldSummary!$A:$A, HoldSummary!G:G), 0)</f>
        <v>0</v>
      </c>
      <c r="AI126">
        <f>IFERROR(_xlfn.XLOOKUP(B126, HoldSummary!$A:$A, HoldSummary!H:H), 0)</f>
        <v>0</v>
      </c>
      <c r="AJ126">
        <f>IFERROR(_xlfn.XLOOKUP(B126, HoldSummary!$A:$A, HoldSummary!I:I), 0)</f>
        <v>0</v>
      </c>
      <c r="AK126">
        <f t="shared" si="15"/>
        <v>0</v>
      </c>
      <c r="AL126">
        <f t="shared" si="16"/>
        <v>316.46905092592351</v>
      </c>
      <c r="AM126">
        <f t="shared" si="17"/>
        <v>150.51071759259503</v>
      </c>
      <c r="AN126" s="12">
        <f t="shared" si="18"/>
        <v>80.833333333335759</v>
      </c>
      <c r="AO126">
        <f t="shared" si="19"/>
        <v>0</v>
      </c>
    </row>
    <row r="127" spans="1:41" x14ac:dyDescent="0.35">
      <c r="A127" t="s">
        <v>23</v>
      </c>
      <c r="B127" t="s">
        <v>323</v>
      </c>
      <c r="C127" t="s">
        <v>43</v>
      </c>
      <c r="D127" t="s">
        <v>44</v>
      </c>
      <c r="E127" t="s">
        <v>45</v>
      </c>
      <c r="F127" t="s">
        <v>28</v>
      </c>
      <c r="G127">
        <v>2</v>
      </c>
      <c r="H127" t="s">
        <v>324</v>
      </c>
      <c r="I127" t="s">
        <v>30</v>
      </c>
      <c r="J127" t="s">
        <v>31</v>
      </c>
      <c r="K127" t="s">
        <v>48</v>
      </c>
      <c r="L127" t="s">
        <v>49</v>
      </c>
      <c r="N127" s="2">
        <v>45293.615983796299</v>
      </c>
      <c r="O127" s="2">
        <v>45310.208333333336</v>
      </c>
      <c r="P127" s="2">
        <v>45317.208333333336</v>
      </c>
      <c r="Q127" s="2">
        <v>45316</v>
      </c>
      <c r="R127" s="2">
        <v>45316.83961761574</v>
      </c>
      <c r="S127" t="s">
        <v>121</v>
      </c>
      <c r="T127" s="2">
        <v>45300.208333333336</v>
      </c>
      <c r="U127" s="2">
        <v>45315.208333333336</v>
      </c>
      <c r="V127" s="2">
        <v>45315.208333333336</v>
      </c>
      <c r="W127" s="2">
        <v>45315.208333333336</v>
      </c>
      <c r="X127" s="3">
        <f t="shared" si="10"/>
        <v>15</v>
      </c>
      <c r="Y127">
        <f t="shared" si="11"/>
        <v>0</v>
      </c>
      <c r="Z127">
        <f t="shared" si="12"/>
        <v>15</v>
      </c>
      <c r="AA127">
        <f t="shared" si="13"/>
        <v>22.384016203701322</v>
      </c>
      <c r="AB127">
        <f t="shared" si="14"/>
        <v>7.3840162037013215</v>
      </c>
      <c r="AC127">
        <f>IFERROR(_xlfn.XLOOKUP(B127, HoldSummary!$A:$A, HoldSummary!B:B), 0)</f>
        <v>0</v>
      </c>
      <c r="AD127">
        <f>IFERROR(_xlfn.XLOOKUP(B127, HoldSummary!$A:$A, HoldSummary!C:C), 0)</f>
        <v>0</v>
      </c>
      <c r="AE127">
        <f>IFERROR(_xlfn.XLOOKUP(B127, HoldSummary!$A:$A, HoldSummary!D:D), 0)</f>
        <v>0</v>
      </c>
      <c r="AF127">
        <f>IFERROR(_xlfn.XLOOKUP(B127, HoldSummary!$A:$A, HoldSummary!E:E), 0)</f>
        <v>0</v>
      </c>
      <c r="AG127">
        <f>IFERROR(_xlfn.XLOOKUP(B127, HoldSummary!$A:$A, HoldSummary!F:F), 0)</f>
        <v>0</v>
      </c>
      <c r="AH127">
        <f>IFERROR(_xlfn.XLOOKUP(B127, HoldSummary!$A:$A, HoldSummary!G:G), 0)</f>
        <v>0</v>
      </c>
      <c r="AI127">
        <f>IFERROR(_xlfn.XLOOKUP(B127, HoldSummary!$A:$A, HoldSummary!H:H), 0)</f>
        <v>0</v>
      </c>
      <c r="AJ127">
        <f>IFERROR(_xlfn.XLOOKUP(B127, HoldSummary!$A:$A, HoldSummary!I:I), 0)</f>
        <v>0</v>
      </c>
      <c r="AK127">
        <f t="shared" si="15"/>
        <v>0</v>
      </c>
      <c r="AL127">
        <f t="shared" si="16"/>
        <v>22.384016203701322</v>
      </c>
      <c r="AM127">
        <f t="shared" si="17"/>
        <v>7.3840162037013215</v>
      </c>
      <c r="AN127" s="12">
        <f t="shared" si="18"/>
        <v>5.7916666666642413</v>
      </c>
      <c r="AO127">
        <f t="shared" si="19"/>
        <v>0</v>
      </c>
    </row>
    <row r="128" spans="1:41" x14ac:dyDescent="0.35">
      <c r="A128" t="s">
        <v>23</v>
      </c>
      <c r="B128">
        <v>103225</v>
      </c>
      <c r="C128" t="s">
        <v>43</v>
      </c>
      <c r="D128" t="s">
        <v>44</v>
      </c>
      <c r="E128" t="s">
        <v>55</v>
      </c>
      <c r="F128" t="s">
        <v>28</v>
      </c>
      <c r="G128">
        <v>2</v>
      </c>
      <c r="H128" t="s">
        <v>325</v>
      </c>
      <c r="I128" t="s">
        <v>30</v>
      </c>
      <c r="J128" t="s">
        <v>31</v>
      </c>
      <c r="K128" t="s">
        <v>57</v>
      </c>
      <c r="L128" t="s">
        <v>39</v>
      </c>
      <c r="N128" s="2">
        <v>45295.208333333336</v>
      </c>
      <c r="O128" s="2">
        <v>45317.208333333336</v>
      </c>
      <c r="P128" s="2">
        <v>45322.208333333336</v>
      </c>
      <c r="Q128" s="2">
        <v>45322</v>
      </c>
      <c r="R128" s="2">
        <v>45322.686495023147</v>
      </c>
      <c r="S128" t="s">
        <v>121</v>
      </c>
      <c r="T128" s="2">
        <v>45309.208333333336</v>
      </c>
      <c r="U128" s="2">
        <v>45317.208333333336</v>
      </c>
      <c r="V128" s="2">
        <v>45317.208333333336</v>
      </c>
      <c r="W128" s="2">
        <v>45321.208333333336</v>
      </c>
      <c r="X128" s="3">
        <f t="shared" si="10"/>
        <v>8</v>
      </c>
      <c r="Y128">
        <f t="shared" si="11"/>
        <v>4</v>
      </c>
      <c r="Z128">
        <f t="shared" si="12"/>
        <v>12</v>
      </c>
      <c r="AA128">
        <f t="shared" si="13"/>
        <v>26.791666666664241</v>
      </c>
      <c r="AB128">
        <f t="shared" si="14"/>
        <v>14.791666666664241</v>
      </c>
      <c r="AC128">
        <f>IFERROR(_xlfn.XLOOKUP(B128, HoldSummary!$A:$A, HoldSummary!B:B), 0)</f>
        <v>0</v>
      </c>
      <c r="AD128">
        <f>IFERROR(_xlfn.XLOOKUP(B128, HoldSummary!$A:$A, HoldSummary!C:C), 0)</f>
        <v>0</v>
      </c>
      <c r="AE128">
        <f>IFERROR(_xlfn.XLOOKUP(B128, HoldSummary!$A:$A, HoldSummary!D:D), 0)</f>
        <v>0</v>
      </c>
      <c r="AF128">
        <f>IFERROR(_xlfn.XLOOKUP(B128, HoldSummary!$A:$A, HoldSummary!E:E), 0)</f>
        <v>0</v>
      </c>
      <c r="AG128">
        <f>IFERROR(_xlfn.XLOOKUP(B128, HoldSummary!$A:$A, HoldSummary!F:F), 0)</f>
        <v>0</v>
      </c>
      <c r="AH128">
        <f>IFERROR(_xlfn.XLOOKUP(B128, HoldSummary!$A:$A, HoldSummary!G:G), 0)</f>
        <v>0</v>
      </c>
      <c r="AI128">
        <f>IFERROR(_xlfn.XLOOKUP(B128, HoldSummary!$A:$A, HoldSummary!H:H), 0)</f>
        <v>0</v>
      </c>
      <c r="AJ128">
        <f>IFERROR(_xlfn.XLOOKUP(B128, HoldSummary!$A:$A, HoldSummary!I:I), 0)</f>
        <v>0</v>
      </c>
      <c r="AK128">
        <f t="shared" si="15"/>
        <v>0</v>
      </c>
      <c r="AL128">
        <f t="shared" si="16"/>
        <v>26.791666666664241</v>
      </c>
      <c r="AM128">
        <f t="shared" si="17"/>
        <v>14.791666666664241</v>
      </c>
      <c r="AN128" s="12">
        <f t="shared" si="18"/>
        <v>4.7916666666642413</v>
      </c>
      <c r="AO128">
        <f t="shared" si="19"/>
        <v>0</v>
      </c>
    </row>
    <row r="129" spans="1:41" x14ac:dyDescent="0.35">
      <c r="A129" t="s">
        <v>23</v>
      </c>
      <c r="B129" t="s">
        <v>326</v>
      </c>
      <c r="C129" t="s">
        <v>43</v>
      </c>
      <c r="D129" t="s">
        <v>44</v>
      </c>
      <c r="E129" t="s">
        <v>45</v>
      </c>
      <c r="F129" t="s">
        <v>28</v>
      </c>
      <c r="G129">
        <v>2</v>
      </c>
      <c r="H129" t="s">
        <v>327</v>
      </c>
      <c r="I129" t="s">
        <v>30</v>
      </c>
      <c r="J129" t="s">
        <v>300</v>
      </c>
      <c r="K129" t="s">
        <v>38</v>
      </c>
      <c r="L129" t="s">
        <v>39</v>
      </c>
      <c r="N129" s="2">
        <v>45330.688738425924</v>
      </c>
      <c r="O129" s="2">
        <v>45378.166666666664</v>
      </c>
      <c r="P129" s="2">
        <v>45490.166666666664</v>
      </c>
      <c r="Q129" s="2">
        <v>45489</v>
      </c>
      <c r="R129" s="2">
        <v>45489.620928124998</v>
      </c>
      <c r="S129" t="s">
        <v>215</v>
      </c>
      <c r="T129" s="2">
        <v>45343.208333333336</v>
      </c>
      <c r="U129" s="2">
        <v>45426.166666666664</v>
      </c>
      <c r="V129" s="2">
        <v>45426.166666666664</v>
      </c>
      <c r="W129" s="2">
        <v>45436.166666666664</v>
      </c>
      <c r="X129" s="3">
        <f t="shared" si="10"/>
        <v>82.958333333328483</v>
      </c>
      <c r="Y129">
        <f t="shared" si="11"/>
        <v>10</v>
      </c>
      <c r="Z129">
        <f t="shared" si="12"/>
        <v>92.958333333328483</v>
      </c>
      <c r="AA129">
        <f t="shared" si="13"/>
        <v>158.31126157407562</v>
      </c>
      <c r="AB129">
        <f t="shared" si="14"/>
        <v>65.352928240747133</v>
      </c>
      <c r="AC129">
        <f>IFERROR(_xlfn.XLOOKUP(B129, HoldSummary!$A:$A, HoldSummary!B:B), 0)</f>
        <v>0</v>
      </c>
      <c r="AD129">
        <f>IFERROR(_xlfn.XLOOKUP(B129, HoldSummary!$A:$A, HoldSummary!C:C), 0)</f>
        <v>0</v>
      </c>
      <c r="AE129">
        <f>IFERROR(_xlfn.XLOOKUP(B129, HoldSummary!$A:$A, HoldSummary!D:D), 0)</f>
        <v>0</v>
      </c>
      <c r="AF129">
        <f>IFERROR(_xlfn.XLOOKUP(B129, HoldSummary!$A:$A, HoldSummary!E:E), 0)</f>
        <v>0</v>
      </c>
      <c r="AG129">
        <f>IFERROR(_xlfn.XLOOKUP(B129, HoldSummary!$A:$A, HoldSummary!F:F), 0)</f>
        <v>0</v>
      </c>
      <c r="AH129">
        <f>IFERROR(_xlfn.XLOOKUP(B129, HoldSummary!$A:$A, HoldSummary!G:G), 0)</f>
        <v>0</v>
      </c>
      <c r="AI129">
        <f>IFERROR(_xlfn.XLOOKUP(B129, HoldSummary!$A:$A, HoldSummary!H:H), 0)</f>
        <v>0</v>
      </c>
      <c r="AJ129">
        <f>IFERROR(_xlfn.XLOOKUP(B129, HoldSummary!$A:$A, HoldSummary!I:I), 0)</f>
        <v>0</v>
      </c>
      <c r="AK129">
        <f t="shared" si="15"/>
        <v>0</v>
      </c>
      <c r="AL129">
        <f t="shared" si="16"/>
        <v>158.31126157407562</v>
      </c>
      <c r="AM129">
        <f t="shared" si="17"/>
        <v>65.352928240747133</v>
      </c>
      <c r="AN129" s="12">
        <f t="shared" si="18"/>
        <v>110.83333333333576</v>
      </c>
      <c r="AO129">
        <f t="shared" si="19"/>
        <v>0</v>
      </c>
    </row>
    <row r="130" spans="1:41" x14ac:dyDescent="0.35">
      <c r="A130" t="s">
        <v>23</v>
      </c>
      <c r="B130" t="s">
        <v>328</v>
      </c>
      <c r="C130" t="s">
        <v>43</v>
      </c>
      <c r="D130" t="s">
        <v>44</v>
      </c>
      <c r="E130" t="s">
        <v>45</v>
      </c>
      <c r="F130" t="s">
        <v>28</v>
      </c>
      <c r="G130">
        <v>2</v>
      </c>
      <c r="H130" t="s">
        <v>329</v>
      </c>
      <c r="I130" t="s">
        <v>30</v>
      </c>
      <c r="J130" t="s">
        <v>300</v>
      </c>
      <c r="K130" t="s">
        <v>38</v>
      </c>
      <c r="L130" t="s">
        <v>39</v>
      </c>
      <c r="N130" s="2">
        <v>45334.659236111111</v>
      </c>
      <c r="O130" s="2">
        <v>45412.166666666664</v>
      </c>
      <c r="P130" s="2">
        <v>45401.166666666664</v>
      </c>
      <c r="Q130" s="2">
        <v>45399</v>
      </c>
      <c r="R130" s="2">
        <v>45399.846585335647</v>
      </c>
      <c r="S130" t="s">
        <v>198</v>
      </c>
      <c r="T130" s="2">
        <v>45343.208333333336</v>
      </c>
      <c r="U130" s="2">
        <v>45372.166666666664</v>
      </c>
      <c r="V130" s="2">
        <v>45372.166666666664</v>
      </c>
      <c r="W130" s="2">
        <v>45379.166666666664</v>
      </c>
      <c r="X130" s="3">
        <f t="shared" si="10"/>
        <v>28.958333333328483</v>
      </c>
      <c r="Y130">
        <f t="shared" si="11"/>
        <v>7</v>
      </c>
      <c r="Z130">
        <f t="shared" si="12"/>
        <v>35.958333333328483</v>
      </c>
      <c r="AA130">
        <f t="shared" si="13"/>
        <v>64.340763888889342</v>
      </c>
      <c r="AB130">
        <f t="shared" si="14"/>
        <v>28.382430555560859</v>
      </c>
      <c r="AC130">
        <f>IFERROR(_xlfn.XLOOKUP(B130, HoldSummary!$A:$A, HoldSummary!B:B), 0)</f>
        <v>0</v>
      </c>
      <c r="AD130">
        <f>IFERROR(_xlfn.XLOOKUP(B130, HoldSummary!$A:$A, HoldSummary!C:C), 0)</f>
        <v>0</v>
      </c>
      <c r="AE130">
        <f>IFERROR(_xlfn.XLOOKUP(B130, HoldSummary!$A:$A, HoldSummary!D:D), 0)</f>
        <v>0</v>
      </c>
      <c r="AF130">
        <f>IFERROR(_xlfn.XLOOKUP(B130, HoldSummary!$A:$A, HoldSummary!E:E), 0)</f>
        <v>0</v>
      </c>
      <c r="AG130">
        <f>IFERROR(_xlfn.XLOOKUP(B130, HoldSummary!$A:$A, HoldSummary!F:F), 0)</f>
        <v>0</v>
      </c>
      <c r="AH130">
        <f>IFERROR(_xlfn.XLOOKUP(B130, HoldSummary!$A:$A, HoldSummary!G:G), 0)</f>
        <v>0</v>
      </c>
      <c r="AI130">
        <f>IFERROR(_xlfn.XLOOKUP(B130, HoldSummary!$A:$A, HoldSummary!H:H), 0)</f>
        <v>0</v>
      </c>
      <c r="AJ130">
        <f>IFERROR(_xlfn.XLOOKUP(B130, HoldSummary!$A:$A, HoldSummary!I:I), 0)</f>
        <v>0</v>
      </c>
      <c r="AK130">
        <f t="shared" si="15"/>
        <v>0</v>
      </c>
      <c r="AL130">
        <f t="shared" si="16"/>
        <v>64.340763888889342</v>
      </c>
      <c r="AM130">
        <f t="shared" si="17"/>
        <v>28.382430555560859</v>
      </c>
      <c r="AN130" s="12">
        <f t="shared" si="18"/>
        <v>-13.166666666664241</v>
      </c>
      <c r="AO130">
        <f t="shared" si="19"/>
        <v>1</v>
      </c>
    </row>
    <row r="131" spans="1:41" x14ac:dyDescent="0.35">
      <c r="A131" t="s">
        <v>23</v>
      </c>
      <c r="B131" t="s">
        <v>330</v>
      </c>
      <c r="C131" t="s">
        <v>51</v>
      </c>
      <c r="D131" t="s">
        <v>44</v>
      </c>
      <c r="E131" t="s">
        <v>44</v>
      </c>
      <c r="F131" t="s">
        <v>28</v>
      </c>
      <c r="G131">
        <v>2</v>
      </c>
      <c r="H131" t="s">
        <v>331</v>
      </c>
      <c r="I131" t="s">
        <v>30</v>
      </c>
      <c r="J131" t="s">
        <v>70</v>
      </c>
      <c r="K131" t="s">
        <v>48</v>
      </c>
      <c r="L131" t="s">
        <v>185</v>
      </c>
      <c r="N131" s="2">
        <v>45317.208333333336</v>
      </c>
      <c r="O131" s="2">
        <v>45545.166666666664</v>
      </c>
      <c r="P131" s="2">
        <v>45545.166666666664</v>
      </c>
      <c r="Q131" s="2">
        <v>45404</v>
      </c>
      <c r="R131" s="2">
        <v>45405.803660532409</v>
      </c>
      <c r="S131" t="s">
        <v>332</v>
      </c>
      <c r="T131" s="2"/>
      <c r="U131" s="2"/>
      <c r="V131" s="2"/>
      <c r="W131" s="2"/>
      <c r="X131" s="3" t="str">
        <f t="shared" ref="X131:X194" si="20">IF(OR(ISBLANK(T131), ISBLANK(U131)), "", U131 - T131)</f>
        <v/>
      </c>
      <c r="Y131" t="str">
        <f t="shared" ref="Y131:Y194" si="21">IF(OR(ISBLANK(V131), ISBLANK(W131)), "", W131 - V131)</f>
        <v/>
      </c>
      <c r="Z131">
        <f t="shared" ref="Z131:Z194" si="22">N(X131) + N(Y131)</f>
        <v>0</v>
      </c>
      <c r="AA131">
        <f t="shared" ref="AA131:AA194" si="23">IF(OR(ISBLANK(N131), ISBLANK(Q131)), "", Q131 - N131)</f>
        <v>86.791666666664241</v>
      </c>
      <c r="AB131">
        <f t="shared" ref="AB131:AB194" si="24">IF(AA131="", "", AA131 - Z131)</f>
        <v>86.791666666664241</v>
      </c>
      <c r="AC131">
        <f>IFERROR(_xlfn.XLOOKUP(B131, HoldSummary!$A:$A, HoldSummary!B:B), 0)</f>
        <v>0</v>
      </c>
      <c r="AD131">
        <f>IFERROR(_xlfn.XLOOKUP(B131, HoldSummary!$A:$A, HoldSummary!C:C), 0)</f>
        <v>0</v>
      </c>
      <c r="AE131">
        <f>IFERROR(_xlfn.XLOOKUP(B131, HoldSummary!$A:$A, HoldSummary!D:D), 0)</f>
        <v>0</v>
      </c>
      <c r="AF131">
        <f>IFERROR(_xlfn.XLOOKUP(B131, HoldSummary!$A:$A, HoldSummary!E:E), 0)</f>
        <v>0</v>
      </c>
      <c r="AG131">
        <f>IFERROR(_xlfn.XLOOKUP(B131, HoldSummary!$A:$A, HoldSummary!F:F), 0)</f>
        <v>0</v>
      </c>
      <c r="AH131">
        <f>IFERROR(_xlfn.XLOOKUP(B131, HoldSummary!$A:$A, HoldSummary!G:G), 0)</f>
        <v>0</v>
      </c>
      <c r="AI131">
        <f>IFERROR(_xlfn.XLOOKUP(B131, HoldSummary!$A:$A, HoldSummary!H:H), 0)</f>
        <v>0</v>
      </c>
      <c r="AJ131">
        <f>IFERROR(_xlfn.XLOOKUP(B131, HoldSummary!$A:$A, HoldSummary!I:I), 0)</f>
        <v>0</v>
      </c>
      <c r="AK131">
        <f t="shared" ref="AK131:AK194" si="25">SUM(AC131:AJ131)</f>
        <v>0</v>
      </c>
      <c r="AL131">
        <f t="shared" ref="AL131:AL194" si="26">IF(AA131="", "", AA131 - AK131)</f>
        <v>86.791666666664241</v>
      </c>
      <c r="AM131">
        <f t="shared" ref="AM131:AM194" si="27">IF(OR(AK131="", AB131=""), "", AB131 - AK131)</f>
        <v>86.791666666664241</v>
      </c>
      <c r="AN131" s="12">
        <f t="shared" ref="AN131:AN194" si="28">Q131-O131</f>
        <v>-141.16666666666424</v>
      </c>
      <c r="AO131">
        <f t="shared" ref="AO131:AO194" si="29">IF(OR(ISBLANK(O131), ISBLANK(Q131)), 1, IF(AN131&lt;=0,1,0))</f>
        <v>1</v>
      </c>
    </row>
    <row r="132" spans="1:41" x14ac:dyDescent="0.35">
      <c r="A132" t="s">
        <v>23</v>
      </c>
      <c r="B132" t="s">
        <v>333</v>
      </c>
      <c r="C132" t="s">
        <v>43</v>
      </c>
      <c r="D132" t="s">
        <v>44</v>
      </c>
      <c r="E132" t="s">
        <v>45</v>
      </c>
      <c r="F132" t="s">
        <v>28</v>
      </c>
      <c r="G132">
        <v>2</v>
      </c>
      <c r="H132" t="s">
        <v>334</v>
      </c>
      <c r="I132" t="s">
        <v>30</v>
      </c>
      <c r="J132" t="s">
        <v>31</v>
      </c>
      <c r="K132" t="s">
        <v>48</v>
      </c>
      <c r="L132" t="s">
        <v>192</v>
      </c>
      <c r="M132" t="s">
        <v>33</v>
      </c>
      <c r="N132" s="2">
        <v>45404.602187500001</v>
      </c>
      <c r="O132" s="2">
        <v>45443.166666666664</v>
      </c>
      <c r="P132" s="2">
        <v>45442.166666666664</v>
      </c>
      <c r="Q132" s="2">
        <v>45447</v>
      </c>
      <c r="R132" s="2">
        <v>45448.502036261576</v>
      </c>
      <c r="S132" t="s">
        <v>335</v>
      </c>
      <c r="T132" s="2">
        <v>45413.166666666664</v>
      </c>
      <c r="U132" s="2">
        <v>45414.166666666664</v>
      </c>
      <c r="V132" s="2">
        <v>45414.166666666664</v>
      </c>
      <c r="W132" s="2">
        <v>45435.166666666664</v>
      </c>
      <c r="X132" s="3">
        <f t="shared" si="20"/>
        <v>1</v>
      </c>
      <c r="Y132">
        <f t="shared" si="21"/>
        <v>21</v>
      </c>
      <c r="Z132">
        <f t="shared" si="22"/>
        <v>22</v>
      </c>
      <c r="AA132">
        <f t="shared" si="23"/>
        <v>42.397812499999418</v>
      </c>
      <c r="AB132">
        <f t="shared" si="24"/>
        <v>20.397812499999418</v>
      </c>
      <c r="AC132">
        <f>IFERROR(_xlfn.XLOOKUP(B132, HoldSummary!$A:$A, HoldSummary!B:B), 0)</f>
        <v>0</v>
      </c>
      <c r="AD132">
        <f>IFERROR(_xlfn.XLOOKUP(B132, HoldSummary!$A:$A, HoldSummary!C:C), 0)</f>
        <v>0</v>
      </c>
      <c r="AE132">
        <f>IFERROR(_xlfn.XLOOKUP(B132, HoldSummary!$A:$A, HoldSummary!D:D), 0)</f>
        <v>0</v>
      </c>
      <c r="AF132">
        <f>IFERROR(_xlfn.XLOOKUP(B132, HoldSummary!$A:$A, HoldSummary!E:E), 0)</f>
        <v>0</v>
      </c>
      <c r="AG132">
        <f>IFERROR(_xlfn.XLOOKUP(B132, HoldSummary!$A:$A, HoldSummary!F:F), 0)</f>
        <v>0</v>
      </c>
      <c r="AH132">
        <f>IFERROR(_xlfn.XLOOKUP(B132, HoldSummary!$A:$A, HoldSummary!G:G), 0)</f>
        <v>0</v>
      </c>
      <c r="AI132">
        <f>IFERROR(_xlfn.XLOOKUP(B132, HoldSummary!$A:$A, HoldSummary!H:H), 0)</f>
        <v>0</v>
      </c>
      <c r="AJ132">
        <f>IFERROR(_xlfn.XLOOKUP(B132, HoldSummary!$A:$A, HoldSummary!I:I), 0)</f>
        <v>0</v>
      </c>
      <c r="AK132">
        <f t="shared" si="25"/>
        <v>0</v>
      </c>
      <c r="AL132">
        <f t="shared" si="26"/>
        <v>42.397812499999418</v>
      </c>
      <c r="AM132">
        <f t="shared" si="27"/>
        <v>20.397812499999418</v>
      </c>
      <c r="AN132" s="12">
        <f t="shared" si="28"/>
        <v>3.8333333333357587</v>
      </c>
      <c r="AO132">
        <f t="shared" si="29"/>
        <v>0</v>
      </c>
    </row>
    <row r="133" spans="1:41" x14ac:dyDescent="0.35">
      <c r="A133" t="s">
        <v>23</v>
      </c>
      <c r="B133">
        <v>105640</v>
      </c>
      <c r="C133" t="s">
        <v>43</v>
      </c>
      <c r="D133" t="s">
        <v>44</v>
      </c>
      <c r="E133" t="s">
        <v>55</v>
      </c>
      <c r="F133" t="s">
        <v>28</v>
      </c>
      <c r="G133">
        <v>2</v>
      </c>
      <c r="H133" t="s">
        <v>336</v>
      </c>
      <c r="I133" t="s">
        <v>30</v>
      </c>
      <c r="J133" t="s">
        <v>300</v>
      </c>
      <c r="K133" t="s">
        <v>57</v>
      </c>
      <c r="L133" t="s">
        <v>58</v>
      </c>
      <c r="N133" s="2">
        <v>45412.166666666664</v>
      </c>
      <c r="O133" s="2">
        <v>45442.166666666664</v>
      </c>
      <c r="P133" s="2">
        <v>45576.166666666664</v>
      </c>
      <c r="Q133" s="2">
        <v>45566</v>
      </c>
      <c r="R133" s="2">
        <v>45567.78456565972</v>
      </c>
      <c r="S133" t="s">
        <v>231</v>
      </c>
      <c r="T133" s="2">
        <v>45488.166666666664</v>
      </c>
      <c r="U133" s="2">
        <v>45489.166666666664</v>
      </c>
      <c r="V133" s="2">
        <v>45489.166666666664</v>
      </c>
      <c r="W133" s="2">
        <v>45519.166666666664</v>
      </c>
      <c r="X133" s="3">
        <f t="shared" si="20"/>
        <v>1</v>
      </c>
      <c r="Y133">
        <f t="shared" si="21"/>
        <v>30</v>
      </c>
      <c r="Z133">
        <f t="shared" si="22"/>
        <v>31</v>
      </c>
      <c r="AA133">
        <f t="shared" si="23"/>
        <v>153.83333333333576</v>
      </c>
      <c r="AB133">
        <f t="shared" si="24"/>
        <v>122.83333333333576</v>
      </c>
      <c r="AC133">
        <f>IFERROR(_xlfn.XLOOKUP(B133, HoldSummary!$A:$A, HoldSummary!B:B), 0)</f>
        <v>0</v>
      </c>
      <c r="AD133">
        <f>IFERROR(_xlfn.XLOOKUP(B133, HoldSummary!$A:$A, HoldSummary!C:C), 0)</f>
        <v>0</v>
      </c>
      <c r="AE133">
        <f>IFERROR(_xlfn.XLOOKUP(B133, HoldSummary!$A:$A, HoldSummary!D:D), 0)</f>
        <v>0</v>
      </c>
      <c r="AF133">
        <f>IFERROR(_xlfn.XLOOKUP(B133, HoldSummary!$A:$A, HoldSummary!E:E), 0)</f>
        <v>0</v>
      </c>
      <c r="AG133">
        <f>IFERROR(_xlfn.XLOOKUP(B133, HoldSummary!$A:$A, HoldSummary!F:F), 0)</f>
        <v>0</v>
      </c>
      <c r="AH133">
        <f>IFERROR(_xlfn.XLOOKUP(B133, HoldSummary!$A:$A, HoldSummary!G:G), 0)</f>
        <v>0</v>
      </c>
      <c r="AI133">
        <f>IFERROR(_xlfn.XLOOKUP(B133, HoldSummary!$A:$A, HoldSummary!H:H), 0)</f>
        <v>0</v>
      </c>
      <c r="AJ133">
        <f>IFERROR(_xlfn.XLOOKUP(B133, HoldSummary!$A:$A, HoldSummary!I:I), 0)</f>
        <v>0</v>
      </c>
      <c r="AK133">
        <f t="shared" si="25"/>
        <v>0</v>
      </c>
      <c r="AL133">
        <f t="shared" si="26"/>
        <v>153.83333333333576</v>
      </c>
      <c r="AM133">
        <f t="shared" si="27"/>
        <v>122.83333333333576</v>
      </c>
      <c r="AN133" s="12">
        <f t="shared" si="28"/>
        <v>123.83333333333576</v>
      </c>
      <c r="AO133">
        <f t="shared" si="29"/>
        <v>0</v>
      </c>
    </row>
    <row r="134" spans="1:41" x14ac:dyDescent="0.35">
      <c r="A134" t="s">
        <v>23</v>
      </c>
      <c r="B134" t="s">
        <v>337</v>
      </c>
      <c r="C134" t="s">
        <v>43</v>
      </c>
      <c r="D134" t="s">
        <v>44</v>
      </c>
      <c r="E134" t="s">
        <v>45</v>
      </c>
      <c r="F134" t="s">
        <v>28</v>
      </c>
      <c r="G134">
        <v>2</v>
      </c>
      <c r="H134" t="s">
        <v>338</v>
      </c>
      <c r="I134" t="s">
        <v>30</v>
      </c>
      <c r="J134" t="s">
        <v>300</v>
      </c>
      <c r="K134" t="s">
        <v>38</v>
      </c>
      <c r="L134" t="s">
        <v>39</v>
      </c>
      <c r="M134" t="s">
        <v>81</v>
      </c>
      <c r="N134" s="2">
        <v>45414.72797453704</v>
      </c>
      <c r="O134" s="2">
        <v>45498.166666666664</v>
      </c>
      <c r="P134" s="2">
        <v>45520.166666666664</v>
      </c>
      <c r="Q134" s="2">
        <v>45517</v>
      </c>
      <c r="R134" s="2">
        <v>45518.517820092595</v>
      </c>
      <c r="S134" t="s">
        <v>63</v>
      </c>
      <c r="T134" s="2"/>
      <c r="U134" s="2"/>
      <c r="V134" s="2"/>
      <c r="W134" s="2"/>
      <c r="X134" s="3" t="str">
        <f t="shared" si="20"/>
        <v/>
      </c>
      <c r="Y134" t="str">
        <f t="shared" si="21"/>
        <v/>
      </c>
      <c r="Z134">
        <f t="shared" si="22"/>
        <v>0</v>
      </c>
      <c r="AA134">
        <f t="shared" si="23"/>
        <v>102.2720254629603</v>
      </c>
      <c r="AB134">
        <f t="shared" si="24"/>
        <v>102.2720254629603</v>
      </c>
      <c r="AC134">
        <f>IFERROR(_xlfn.XLOOKUP(B134, HoldSummary!$A:$A, HoldSummary!B:B), 0)</f>
        <v>0</v>
      </c>
      <c r="AD134">
        <f>IFERROR(_xlfn.XLOOKUP(B134, HoldSummary!$A:$A, HoldSummary!C:C), 0)</f>
        <v>0</v>
      </c>
      <c r="AE134">
        <f>IFERROR(_xlfn.XLOOKUP(B134, HoldSummary!$A:$A, HoldSummary!D:D), 0)</f>
        <v>0</v>
      </c>
      <c r="AF134">
        <f>IFERROR(_xlfn.XLOOKUP(B134, HoldSummary!$A:$A, HoldSummary!E:E), 0)</f>
        <v>0</v>
      </c>
      <c r="AG134">
        <f>IFERROR(_xlfn.XLOOKUP(B134, HoldSummary!$A:$A, HoldSummary!F:F), 0)</f>
        <v>0</v>
      </c>
      <c r="AH134">
        <f>IFERROR(_xlfn.XLOOKUP(B134, HoldSummary!$A:$A, HoldSummary!G:G), 0)</f>
        <v>0</v>
      </c>
      <c r="AI134">
        <f>IFERROR(_xlfn.XLOOKUP(B134, HoldSummary!$A:$A, HoldSummary!H:H), 0)</f>
        <v>0</v>
      </c>
      <c r="AJ134">
        <f>IFERROR(_xlfn.XLOOKUP(B134, HoldSummary!$A:$A, HoldSummary!I:I), 0)</f>
        <v>0</v>
      </c>
      <c r="AK134">
        <f t="shared" si="25"/>
        <v>0</v>
      </c>
      <c r="AL134">
        <f t="shared" si="26"/>
        <v>102.2720254629603</v>
      </c>
      <c r="AM134">
        <f t="shared" si="27"/>
        <v>102.2720254629603</v>
      </c>
      <c r="AN134" s="12">
        <f t="shared" si="28"/>
        <v>18.833333333335759</v>
      </c>
      <c r="AO134">
        <f t="shared" si="29"/>
        <v>0</v>
      </c>
    </row>
    <row r="135" spans="1:41" x14ac:dyDescent="0.35">
      <c r="A135" t="s">
        <v>23</v>
      </c>
      <c r="B135" t="s">
        <v>339</v>
      </c>
      <c r="C135" t="s">
        <v>54</v>
      </c>
      <c r="D135" t="s">
        <v>44</v>
      </c>
      <c r="E135" t="s">
        <v>45</v>
      </c>
      <c r="F135" t="s">
        <v>28</v>
      </c>
      <c r="G135">
        <v>2</v>
      </c>
      <c r="H135" t="s">
        <v>340</v>
      </c>
      <c r="I135" t="s">
        <v>30</v>
      </c>
      <c r="J135" t="s">
        <v>31</v>
      </c>
      <c r="K135" t="s">
        <v>38</v>
      </c>
      <c r="L135" t="s">
        <v>53</v>
      </c>
      <c r="M135" t="s">
        <v>33</v>
      </c>
      <c r="N135" s="2">
        <v>45497.940810185188</v>
      </c>
      <c r="O135" s="2">
        <v>45548.166666666664</v>
      </c>
      <c r="P135" s="2">
        <v>45519.166666666664</v>
      </c>
      <c r="Q135" s="2">
        <v>45504</v>
      </c>
      <c r="R135" s="2">
        <v>45504.830813842593</v>
      </c>
      <c r="T135" s="2">
        <v>45503.166666666664</v>
      </c>
      <c r="U135" s="2">
        <v>45503.166666666664</v>
      </c>
      <c r="V135" s="2">
        <v>45503.166666666664</v>
      </c>
      <c r="W135" s="2">
        <v>45503.166666666664</v>
      </c>
      <c r="X135" s="3">
        <f t="shared" si="20"/>
        <v>0</v>
      </c>
      <c r="Y135">
        <f t="shared" si="21"/>
        <v>0</v>
      </c>
      <c r="Z135">
        <f t="shared" si="22"/>
        <v>0</v>
      </c>
      <c r="AA135">
        <f t="shared" si="23"/>
        <v>6.0591898148122709</v>
      </c>
      <c r="AB135">
        <f t="shared" si="24"/>
        <v>6.0591898148122709</v>
      </c>
      <c r="AC135">
        <f>IFERROR(_xlfn.XLOOKUP(B135, HoldSummary!$A:$A, HoldSummary!B:B), 0)</f>
        <v>0</v>
      </c>
      <c r="AD135">
        <f>IFERROR(_xlfn.XLOOKUP(B135, HoldSummary!$A:$A, HoldSummary!C:C), 0)</f>
        <v>0</v>
      </c>
      <c r="AE135">
        <f>IFERROR(_xlfn.XLOOKUP(B135, HoldSummary!$A:$A, HoldSummary!D:D), 0)</f>
        <v>0</v>
      </c>
      <c r="AF135">
        <f>IFERROR(_xlfn.XLOOKUP(B135, HoldSummary!$A:$A, HoldSummary!E:E), 0)</f>
        <v>0</v>
      </c>
      <c r="AG135">
        <f>IFERROR(_xlfn.XLOOKUP(B135, HoldSummary!$A:$A, HoldSummary!F:F), 0)</f>
        <v>0</v>
      </c>
      <c r="AH135">
        <f>IFERROR(_xlfn.XLOOKUP(B135, HoldSummary!$A:$A, HoldSummary!G:G), 0)</f>
        <v>0</v>
      </c>
      <c r="AI135">
        <f>IFERROR(_xlfn.XLOOKUP(B135, HoldSummary!$A:$A, HoldSummary!H:H), 0)</f>
        <v>0</v>
      </c>
      <c r="AJ135">
        <f>IFERROR(_xlfn.XLOOKUP(B135, HoldSummary!$A:$A, HoldSummary!I:I), 0)</f>
        <v>0</v>
      </c>
      <c r="AK135">
        <f t="shared" si="25"/>
        <v>0</v>
      </c>
      <c r="AL135">
        <f t="shared" si="26"/>
        <v>6.0591898148122709</v>
      </c>
      <c r="AM135">
        <f t="shared" si="27"/>
        <v>6.0591898148122709</v>
      </c>
      <c r="AN135" s="12">
        <f t="shared" si="28"/>
        <v>-44.166666666664241</v>
      </c>
      <c r="AO135">
        <f t="shared" si="29"/>
        <v>1</v>
      </c>
    </row>
    <row r="136" spans="1:41" x14ac:dyDescent="0.35">
      <c r="A136" t="s">
        <v>23</v>
      </c>
      <c r="B136" t="s">
        <v>341</v>
      </c>
      <c r="C136" t="s">
        <v>54</v>
      </c>
      <c r="D136" t="s">
        <v>44</v>
      </c>
      <c r="E136" t="s">
        <v>44</v>
      </c>
      <c r="F136" t="s">
        <v>28</v>
      </c>
      <c r="G136">
        <v>2</v>
      </c>
      <c r="H136" t="s">
        <v>342</v>
      </c>
      <c r="I136" t="s">
        <v>30</v>
      </c>
      <c r="J136" t="s">
        <v>70</v>
      </c>
      <c r="K136" t="s">
        <v>48</v>
      </c>
      <c r="L136" t="s">
        <v>185</v>
      </c>
      <c r="N136" s="2">
        <v>45457.166666666664</v>
      </c>
      <c r="O136" s="2">
        <v>45596.166666666664</v>
      </c>
      <c r="P136" s="2">
        <v>45596.166666666664</v>
      </c>
      <c r="Q136" s="2">
        <v>45593</v>
      </c>
      <c r="R136" s="2">
        <v>45593.611743148147</v>
      </c>
      <c r="S136" t="s">
        <v>343</v>
      </c>
      <c r="T136" s="2"/>
      <c r="U136" s="2"/>
      <c r="V136" s="2"/>
      <c r="W136" s="2"/>
      <c r="X136" s="3" t="str">
        <f t="shared" si="20"/>
        <v/>
      </c>
      <c r="Y136" t="str">
        <f t="shared" si="21"/>
        <v/>
      </c>
      <c r="Z136">
        <f t="shared" si="22"/>
        <v>0</v>
      </c>
      <c r="AA136">
        <f t="shared" si="23"/>
        <v>135.83333333333576</v>
      </c>
      <c r="AB136">
        <f t="shared" si="24"/>
        <v>135.83333333333576</v>
      </c>
      <c r="AC136">
        <f>IFERROR(_xlfn.XLOOKUP(B136, HoldSummary!$A:$A, HoldSummary!B:B), 0)</f>
        <v>0</v>
      </c>
      <c r="AD136">
        <f>IFERROR(_xlfn.XLOOKUP(B136, HoldSummary!$A:$A, HoldSummary!C:C), 0)</f>
        <v>0</v>
      </c>
      <c r="AE136">
        <f>IFERROR(_xlfn.XLOOKUP(B136, HoldSummary!$A:$A, HoldSummary!D:D), 0)</f>
        <v>0</v>
      </c>
      <c r="AF136">
        <f>IFERROR(_xlfn.XLOOKUP(B136, HoldSummary!$A:$A, HoldSummary!E:E), 0)</f>
        <v>0</v>
      </c>
      <c r="AG136">
        <f>IFERROR(_xlfn.XLOOKUP(B136, HoldSummary!$A:$A, HoldSummary!F:F), 0)</f>
        <v>0</v>
      </c>
      <c r="AH136">
        <f>IFERROR(_xlfn.XLOOKUP(B136, HoldSummary!$A:$A, HoldSummary!G:G), 0)</f>
        <v>0</v>
      </c>
      <c r="AI136">
        <f>IFERROR(_xlfn.XLOOKUP(B136, HoldSummary!$A:$A, HoldSummary!H:H), 0)</f>
        <v>0</v>
      </c>
      <c r="AJ136">
        <f>IFERROR(_xlfn.XLOOKUP(B136, HoldSummary!$A:$A, HoldSummary!I:I), 0)</f>
        <v>0</v>
      </c>
      <c r="AK136">
        <f t="shared" si="25"/>
        <v>0</v>
      </c>
      <c r="AL136">
        <f t="shared" si="26"/>
        <v>135.83333333333576</v>
      </c>
      <c r="AM136">
        <f t="shared" si="27"/>
        <v>135.83333333333576</v>
      </c>
      <c r="AN136" s="12">
        <f t="shared" si="28"/>
        <v>-3.1666666666642413</v>
      </c>
      <c r="AO136">
        <f t="shared" si="29"/>
        <v>1</v>
      </c>
    </row>
    <row r="137" spans="1:41" x14ac:dyDescent="0.35">
      <c r="A137" t="s">
        <v>23</v>
      </c>
      <c r="B137" t="s">
        <v>344</v>
      </c>
      <c r="C137" t="s">
        <v>36</v>
      </c>
      <c r="D137" t="s">
        <v>44</v>
      </c>
      <c r="E137" t="s">
        <v>44</v>
      </c>
      <c r="F137" t="s">
        <v>28</v>
      </c>
      <c r="G137">
        <v>2</v>
      </c>
      <c r="H137" t="s">
        <v>345</v>
      </c>
      <c r="I137" t="s">
        <v>30</v>
      </c>
      <c r="J137" t="s">
        <v>70</v>
      </c>
      <c r="K137" t="s">
        <v>48</v>
      </c>
      <c r="L137" t="s">
        <v>185</v>
      </c>
      <c r="N137" s="2">
        <v>45667.208333333336</v>
      </c>
      <c r="O137" s="2">
        <v>45684.208333333336</v>
      </c>
      <c r="P137" s="2">
        <v>45700.208333333336</v>
      </c>
      <c r="Q137" s="2">
        <v>45700</v>
      </c>
      <c r="R137" s="2">
        <v>45700.570005995367</v>
      </c>
      <c r="S137" t="s">
        <v>346</v>
      </c>
      <c r="T137" s="2">
        <v>45671.208333333336</v>
      </c>
      <c r="U137" s="2">
        <v>45689.208333333336</v>
      </c>
      <c r="V137" s="2">
        <v>45689.208333333336</v>
      </c>
      <c r="W137" s="2">
        <v>45698.208333333336</v>
      </c>
      <c r="X137" s="3">
        <f t="shared" si="20"/>
        <v>18</v>
      </c>
      <c r="Y137">
        <f t="shared" si="21"/>
        <v>9</v>
      </c>
      <c r="Z137">
        <f t="shared" si="22"/>
        <v>27</v>
      </c>
      <c r="AA137">
        <f t="shared" si="23"/>
        <v>32.791666666664241</v>
      </c>
      <c r="AB137">
        <f t="shared" si="24"/>
        <v>5.7916666666642413</v>
      </c>
      <c r="AC137">
        <f>IFERROR(_xlfn.XLOOKUP(B137, HoldSummary!$A:$A, HoldSummary!B:B), 0)</f>
        <v>0</v>
      </c>
      <c r="AD137">
        <f>IFERROR(_xlfn.XLOOKUP(B137, HoldSummary!$A:$A, HoldSummary!C:C), 0)</f>
        <v>0</v>
      </c>
      <c r="AE137">
        <f>IFERROR(_xlfn.XLOOKUP(B137, HoldSummary!$A:$A, HoldSummary!D:D), 0)</f>
        <v>0</v>
      </c>
      <c r="AF137">
        <f>IFERROR(_xlfn.XLOOKUP(B137, HoldSummary!$A:$A, HoldSummary!E:E), 0)</f>
        <v>0</v>
      </c>
      <c r="AG137">
        <f>IFERROR(_xlfn.XLOOKUP(B137, HoldSummary!$A:$A, HoldSummary!F:F), 0)</f>
        <v>0</v>
      </c>
      <c r="AH137">
        <f>IFERROR(_xlfn.XLOOKUP(B137, HoldSummary!$A:$A, HoldSummary!G:G), 0)</f>
        <v>0</v>
      </c>
      <c r="AI137">
        <f>IFERROR(_xlfn.XLOOKUP(B137, HoldSummary!$A:$A, HoldSummary!H:H), 0)</f>
        <v>0</v>
      </c>
      <c r="AJ137">
        <f>IFERROR(_xlfn.XLOOKUP(B137, HoldSummary!$A:$A, HoldSummary!I:I), 0)</f>
        <v>0</v>
      </c>
      <c r="AK137">
        <f t="shared" si="25"/>
        <v>0</v>
      </c>
      <c r="AL137">
        <f t="shared" si="26"/>
        <v>32.791666666664241</v>
      </c>
      <c r="AM137">
        <f t="shared" si="27"/>
        <v>5.7916666666642413</v>
      </c>
      <c r="AN137" s="12">
        <f t="shared" si="28"/>
        <v>15.791666666664241</v>
      </c>
      <c r="AO137">
        <f t="shared" si="29"/>
        <v>0</v>
      </c>
    </row>
    <row r="138" spans="1:41" x14ac:dyDescent="0.35">
      <c r="A138" t="s">
        <v>23</v>
      </c>
      <c r="B138" t="s">
        <v>347</v>
      </c>
      <c r="C138" t="s">
        <v>54</v>
      </c>
      <c r="D138" t="s">
        <v>44</v>
      </c>
      <c r="E138" t="s">
        <v>45</v>
      </c>
      <c r="F138" t="s">
        <v>28</v>
      </c>
      <c r="G138">
        <v>3</v>
      </c>
      <c r="H138" t="s">
        <v>348</v>
      </c>
      <c r="I138" t="s">
        <v>30</v>
      </c>
      <c r="J138" t="s">
        <v>70</v>
      </c>
      <c r="K138" t="s">
        <v>349</v>
      </c>
      <c r="N138" s="2">
        <v>44692.877291666664</v>
      </c>
      <c r="O138" s="2">
        <v>44915.208333333336</v>
      </c>
      <c r="P138" s="2">
        <v>45296.208333333336</v>
      </c>
      <c r="Q138" s="2">
        <v>45296</v>
      </c>
      <c r="R138" s="2">
        <v>45299.541135659725</v>
      </c>
      <c r="T138" s="2">
        <v>44847.166666666664</v>
      </c>
      <c r="U138" s="2">
        <v>45008.166666666664</v>
      </c>
      <c r="V138" s="2">
        <v>45008.166666666664</v>
      </c>
      <c r="W138" s="2">
        <v>45167.166666666664</v>
      </c>
      <c r="X138" s="3">
        <f t="shared" si="20"/>
        <v>161</v>
      </c>
      <c r="Y138">
        <f t="shared" si="21"/>
        <v>159</v>
      </c>
      <c r="Z138">
        <f t="shared" si="22"/>
        <v>320</v>
      </c>
      <c r="AA138">
        <f t="shared" si="23"/>
        <v>603.12270833333605</v>
      </c>
      <c r="AB138">
        <f t="shared" si="24"/>
        <v>283.12270833333605</v>
      </c>
      <c r="AC138">
        <f>IFERROR(_xlfn.XLOOKUP(B138, HoldSummary!$A:$A, HoldSummary!B:B), 0)</f>
        <v>0</v>
      </c>
      <c r="AD138">
        <f>IFERROR(_xlfn.XLOOKUP(B138, HoldSummary!$A:$A, HoldSummary!C:C), 0)</f>
        <v>0</v>
      </c>
      <c r="AE138">
        <f>IFERROR(_xlfn.XLOOKUP(B138, HoldSummary!$A:$A, HoldSummary!D:D), 0)</f>
        <v>0</v>
      </c>
      <c r="AF138">
        <f>IFERROR(_xlfn.XLOOKUP(B138, HoldSummary!$A:$A, HoldSummary!E:E), 0)</f>
        <v>0</v>
      </c>
      <c r="AG138">
        <f>IFERROR(_xlfn.XLOOKUP(B138, HoldSummary!$A:$A, HoldSummary!F:F), 0)</f>
        <v>0</v>
      </c>
      <c r="AH138">
        <f>IFERROR(_xlfn.XLOOKUP(B138, HoldSummary!$A:$A, HoldSummary!G:G), 0)</f>
        <v>0</v>
      </c>
      <c r="AI138">
        <f>IFERROR(_xlfn.XLOOKUP(B138, HoldSummary!$A:$A, HoldSummary!H:H), 0)</f>
        <v>0</v>
      </c>
      <c r="AJ138">
        <f>IFERROR(_xlfn.XLOOKUP(B138, HoldSummary!$A:$A, HoldSummary!I:I), 0)</f>
        <v>0</v>
      </c>
      <c r="AK138">
        <f t="shared" si="25"/>
        <v>0</v>
      </c>
      <c r="AL138">
        <f t="shared" si="26"/>
        <v>603.12270833333605</v>
      </c>
      <c r="AM138">
        <f t="shared" si="27"/>
        <v>283.12270833333605</v>
      </c>
      <c r="AN138" s="12">
        <f t="shared" si="28"/>
        <v>380.79166666666424</v>
      </c>
      <c r="AO138">
        <f t="shared" si="29"/>
        <v>0</v>
      </c>
    </row>
    <row r="139" spans="1:41" x14ac:dyDescent="0.35">
      <c r="A139" t="s">
        <v>23</v>
      </c>
      <c r="B139" t="s">
        <v>350</v>
      </c>
      <c r="C139" t="s">
        <v>269</v>
      </c>
      <c r="D139" t="s">
        <v>44</v>
      </c>
      <c r="E139" t="s">
        <v>45</v>
      </c>
      <c r="F139" t="s">
        <v>28</v>
      </c>
      <c r="G139">
        <v>3</v>
      </c>
      <c r="H139" t="s">
        <v>351</v>
      </c>
      <c r="I139" t="s">
        <v>30</v>
      </c>
      <c r="J139" t="s">
        <v>70</v>
      </c>
      <c r="K139" t="s">
        <v>48</v>
      </c>
      <c r="L139" t="s">
        <v>192</v>
      </c>
      <c r="N139" s="2">
        <v>44824.856886574074</v>
      </c>
      <c r="O139" s="2">
        <v>44894.208333333336</v>
      </c>
      <c r="P139" s="2">
        <v>45457.166666666664</v>
      </c>
      <c r="Q139" s="2">
        <v>45455</v>
      </c>
      <c r="R139" s="2">
        <v>45457.742271932868</v>
      </c>
      <c r="S139" t="s">
        <v>352</v>
      </c>
      <c r="T139" s="2"/>
      <c r="U139" s="2"/>
      <c r="V139" s="2"/>
      <c r="W139" s="2"/>
      <c r="X139" s="3" t="str">
        <f t="shared" si="20"/>
        <v/>
      </c>
      <c r="Y139" t="str">
        <f t="shared" si="21"/>
        <v/>
      </c>
      <c r="Z139">
        <f t="shared" si="22"/>
        <v>0</v>
      </c>
      <c r="AA139">
        <f t="shared" si="23"/>
        <v>630.14311342592555</v>
      </c>
      <c r="AB139">
        <f t="shared" si="24"/>
        <v>630.14311342592555</v>
      </c>
      <c r="AC139">
        <f>IFERROR(_xlfn.XLOOKUP(B139, HoldSummary!$A:$A, HoldSummary!B:B), 0)</f>
        <v>0</v>
      </c>
      <c r="AD139">
        <f>IFERROR(_xlfn.XLOOKUP(B139, HoldSummary!$A:$A, HoldSummary!C:C), 0)</f>
        <v>0</v>
      </c>
      <c r="AE139">
        <f>IFERROR(_xlfn.XLOOKUP(B139, HoldSummary!$A:$A, HoldSummary!D:D), 0)</f>
        <v>0</v>
      </c>
      <c r="AF139">
        <f>IFERROR(_xlfn.XLOOKUP(B139, HoldSummary!$A:$A, HoldSummary!E:E), 0)</f>
        <v>0</v>
      </c>
      <c r="AG139">
        <f>IFERROR(_xlfn.XLOOKUP(B139, HoldSummary!$A:$A, HoldSummary!F:F), 0)</f>
        <v>0</v>
      </c>
      <c r="AH139">
        <f>IFERROR(_xlfn.XLOOKUP(B139, HoldSummary!$A:$A, HoldSummary!G:G), 0)</f>
        <v>0</v>
      </c>
      <c r="AI139">
        <f>IFERROR(_xlfn.XLOOKUP(B139, HoldSummary!$A:$A, HoldSummary!H:H), 0)</f>
        <v>0</v>
      </c>
      <c r="AJ139">
        <f>IFERROR(_xlfn.XLOOKUP(B139, HoldSummary!$A:$A, HoldSummary!I:I), 0)</f>
        <v>188.22325593749702</v>
      </c>
      <c r="AK139">
        <f t="shared" si="25"/>
        <v>188.22325593749702</v>
      </c>
      <c r="AL139">
        <f t="shared" si="26"/>
        <v>441.91985748842853</v>
      </c>
      <c r="AM139">
        <f t="shared" si="27"/>
        <v>441.91985748842853</v>
      </c>
      <c r="AN139" s="12">
        <f t="shared" si="28"/>
        <v>560.79166666666424</v>
      </c>
      <c r="AO139">
        <f t="shared" si="29"/>
        <v>0</v>
      </c>
    </row>
    <row r="140" spans="1:41" x14ac:dyDescent="0.35">
      <c r="A140" t="s">
        <v>23</v>
      </c>
      <c r="B140" t="s">
        <v>353</v>
      </c>
      <c r="C140" t="s">
        <v>113</v>
      </c>
      <c r="D140" t="s">
        <v>44</v>
      </c>
      <c r="E140" t="s">
        <v>45</v>
      </c>
      <c r="F140" t="s">
        <v>28</v>
      </c>
      <c r="G140">
        <v>3</v>
      </c>
      <c r="H140" t="s">
        <v>354</v>
      </c>
      <c r="I140" t="s">
        <v>30</v>
      </c>
      <c r="J140" t="s">
        <v>31</v>
      </c>
      <c r="K140" t="s">
        <v>48</v>
      </c>
      <c r="L140" t="s">
        <v>192</v>
      </c>
      <c r="N140" s="2">
        <v>44925.794733796298</v>
      </c>
      <c r="O140" s="2">
        <v>45044.166666666664</v>
      </c>
      <c r="P140" s="2">
        <v>45373.166666666664</v>
      </c>
      <c r="Q140" s="2">
        <v>45371</v>
      </c>
      <c r="R140" s="2">
        <v>45373.678220902781</v>
      </c>
      <c r="S140" t="s">
        <v>355</v>
      </c>
      <c r="T140" s="2">
        <v>45008.166666666664</v>
      </c>
      <c r="U140" s="2">
        <v>45021.166666666664</v>
      </c>
      <c r="V140" s="2">
        <v>45021.166666666664</v>
      </c>
      <c r="W140" s="2">
        <v>45198.166666666664</v>
      </c>
      <c r="X140" s="3">
        <f t="shared" si="20"/>
        <v>13</v>
      </c>
      <c r="Y140">
        <f t="shared" si="21"/>
        <v>177</v>
      </c>
      <c r="Z140">
        <f t="shared" si="22"/>
        <v>190</v>
      </c>
      <c r="AA140">
        <f t="shared" si="23"/>
        <v>445.20526620370219</v>
      </c>
      <c r="AB140">
        <f t="shared" si="24"/>
        <v>255.20526620370219</v>
      </c>
      <c r="AC140">
        <f>IFERROR(_xlfn.XLOOKUP(B140, HoldSummary!$A:$A, HoldSummary!B:B), 0)</f>
        <v>0</v>
      </c>
      <c r="AD140">
        <f>IFERROR(_xlfn.XLOOKUP(B140, HoldSummary!$A:$A, HoldSummary!C:C), 0)</f>
        <v>0</v>
      </c>
      <c r="AE140">
        <f>IFERROR(_xlfn.XLOOKUP(B140, HoldSummary!$A:$A, HoldSummary!D:D), 0)</f>
        <v>0</v>
      </c>
      <c r="AF140">
        <f>IFERROR(_xlfn.XLOOKUP(B140, HoldSummary!$A:$A, HoldSummary!E:E), 0)</f>
        <v>0</v>
      </c>
      <c r="AG140">
        <f>IFERROR(_xlfn.XLOOKUP(B140, HoldSummary!$A:$A, HoldSummary!F:F), 0)</f>
        <v>0</v>
      </c>
      <c r="AH140">
        <f>IFERROR(_xlfn.XLOOKUP(B140, HoldSummary!$A:$A, HoldSummary!G:G), 0)</f>
        <v>0</v>
      </c>
      <c r="AI140">
        <f>IFERROR(_xlfn.XLOOKUP(B140, HoldSummary!$A:$A, HoldSummary!H:H), 0)</f>
        <v>0</v>
      </c>
      <c r="AJ140">
        <f>IFERROR(_xlfn.XLOOKUP(B140, HoldSummary!$A:$A, HoldSummary!I:I), 0)</f>
        <v>0.90879208333353745</v>
      </c>
      <c r="AK140">
        <f t="shared" si="25"/>
        <v>0.90879208333353745</v>
      </c>
      <c r="AL140">
        <f t="shared" si="26"/>
        <v>444.29647412036866</v>
      </c>
      <c r="AM140">
        <f t="shared" si="27"/>
        <v>254.29647412036866</v>
      </c>
      <c r="AN140" s="12">
        <f t="shared" si="28"/>
        <v>326.83333333333576</v>
      </c>
      <c r="AO140">
        <f t="shared" si="29"/>
        <v>0</v>
      </c>
    </row>
    <row r="141" spans="1:41" x14ac:dyDescent="0.35">
      <c r="A141" t="s">
        <v>23</v>
      </c>
      <c r="B141" t="s">
        <v>356</v>
      </c>
      <c r="C141" t="s">
        <v>43</v>
      </c>
      <c r="D141" t="s">
        <v>44</v>
      </c>
      <c r="E141" t="s">
        <v>45</v>
      </c>
      <c r="F141" t="s">
        <v>28</v>
      </c>
      <c r="G141">
        <v>3</v>
      </c>
      <c r="H141" t="s">
        <v>357</v>
      </c>
      <c r="I141" t="s">
        <v>30</v>
      </c>
      <c r="J141" t="s">
        <v>31</v>
      </c>
      <c r="K141" t="s">
        <v>57</v>
      </c>
      <c r="L141" t="s">
        <v>53</v>
      </c>
      <c r="N141" s="2">
        <v>45015.842569444445</v>
      </c>
      <c r="O141" s="2">
        <v>45282.208333333336</v>
      </c>
      <c r="P141" s="2">
        <v>45322.208333333336</v>
      </c>
      <c r="Q141" s="2">
        <v>45307</v>
      </c>
      <c r="R141" s="2">
        <v>45307.627409386572</v>
      </c>
      <c r="S141" t="s">
        <v>121</v>
      </c>
      <c r="T141" s="2">
        <v>45090.166666666664</v>
      </c>
      <c r="U141" s="2">
        <v>45091.166666666664</v>
      </c>
      <c r="V141" s="2">
        <v>45091.166666666664</v>
      </c>
      <c r="W141" s="2">
        <v>45105.166666666664</v>
      </c>
      <c r="X141" s="3">
        <f t="shared" si="20"/>
        <v>1</v>
      </c>
      <c r="Y141">
        <f t="shared" si="21"/>
        <v>14</v>
      </c>
      <c r="Z141">
        <f t="shared" si="22"/>
        <v>15</v>
      </c>
      <c r="AA141">
        <f t="shared" si="23"/>
        <v>291.15743055555504</v>
      </c>
      <c r="AB141">
        <f t="shared" si="24"/>
        <v>276.15743055555504</v>
      </c>
      <c r="AC141">
        <f>IFERROR(_xlfn.XLOOKUP(B141, HoldSummary!$A:$A, HoldSummary!B:B), 0)</f>
        <v>0</v>
      </c>
      <c r="AD141">
        <f>IFERROR(_xlfn.XLOOKUP(B141, HoldSummary!$A:$A, HoldSummary!C:C), 0)</f>
        <v>0</v>
      </c>
      <c r="AE141">
        <f>IFERROR(_xlfn.XLOOKUP(B141, HoldSummary!$A:$A, HoldSummary!D:D), 0)</f>
        <v>0</v>
      </c>
      <c r="AF141">
        <f>IFERROR(_xlfn.XLOOKUP(B141, HoldSummary!$A:$A, HoldSummary!E:E), 0)</f>
        <v>0</v>
      </c>
      <c r="AG141">
        <f>IFERROR(_xlfn.XLOOKUP(B141, HoldSummary!$A:$A, HoldSummary!F:F), 0)</f>
        <v>0</v>
      </c>
      <c r="AH141">
        <f>IFERROR(_xlfn.XLOOKUP(B141, HoldSummary!$A:$A, HoldSummary!G:G), 0)</f>
        <v>0</v>
      </c>
      <c r="AI141">
        <f>IFERROR(_xlfn.XLOOKUP(B141, HoldSummary!$A:$A, HoldSummary!H:H), 0)</f>
        <v>0</v>
      </c>
      <c r="AJ141">
        <f>IFERROR(_xlfn.XLOOKUP(B141, HoldSummary!$A:$A, HoldSummary!I:I), 0)</f>
        <v>0</v>
      </c>
      <c r="AK141">
        <f t="shared" si="25"/>
        <v>0</v>
      </c>
      <c r="AL141">
        <f t="shared" si="26"/>
        <v>291.15743055555504</v>
      </c>
      <c r="AM141">
        <f t="shared" si="27"/>
        <v>276.15743055555504</v>
      </c>
      <c r="AN141" s="12">
        <f t="shared" si="28"/>
        <v>24.791666666664241</v>
      </c>
      <c r="AO141">
        <f t="shared" si="29"/>
        <v>0</v>
      </c>
    </row>
    <row r="142" spans="1:41" x14ac:dyDescent="0.35">
      <c r="A142" t="s">
        <v>23</v>
      </c>
      <c r="B142" t="s">
        <v>358</v>
      </c>
      <c r="C142" t="s">
        <v>51</v>
      </c>
      <c r="D142" t="s">
        <v>44</v>
      </c>
      <c r="E142" t="s">
        <v>44</v>
      </c>
      <c r="F142" t="s">
        <v>28</v>
      </c>
      <c r="G142">
        <v>3</v>
      </c>
      <c r="H142" t="s">
        <v>359</v>
      </c>
      <c r="I142" t="s">
        <v>30</v>
      </c>
      <c r="J142" t="s">
        <v>31</v>
      </c>
      <c r="K142" t="s">
        <v>38</v>
      </c>
      <c r="L142" t="s">
        <v>53</v>
      </c>
      <c r="N142" s="2">
        <v>45058.166666666664</v>
      </c>
      <c r="O142" s="2">
        <v>45261.208333333336</v>
      </c>
      <c r="P142" s="2">
        <v>45447.166666666664</v>
      </c>
      <c r="Q142" s="2">
        <v>45413</v>
      </c>
      <c r="R142" s="2">
        <v>45414.610516134257</v>
      </c>
      <c r="S142" t="s">
        <v>360</v>
      </c>
      <c r="T142" s="2">
        <v>45064.166666666664</v>
      </c>
      <c r="U142" s="2">
        <v>45405.166666666664</v>
      </c>
      <c r="V142" s="2">
        <v>45405.166666666664</v>
      </c>
      <c r="W142" s="2">
        <v>45405.166666666664</v>
      </c>
      <c r="X142" s="3">
        <f t="shared" si="20"/>
        <v>341</v>
      </c>
      <c r="Y142">
        <f t="shared" si="21"/>
        <v>0</v>
      </c>
      <c r="Z142">
        <f t="shared" si="22"/>
        <v>341</v>
      </c>
      <c r="AA142">
        <f t="shared" si="23"/>
        <v>354.83333333333576</v>
      </c>
      <c r="AB142">
        <f t="shared" si="24"/>
        <v>13.833333333335759</v>
      </c>
      <c r="AC142">
        <f>IFERROR(_xlfn.XLOOKUP(B142, HoldSummary!$A:$A, HoldSummary!B:B), 0)</f>
        <v>0</v>
      </c>
      <c r="AD142">
        <f>IFERROR(_xlfn.XLOOKUP(B142, HoldSummary!$A:$A, HoldSummary!C:C), 0)</f>
        <v>0</v>
      </c>
      <c r="AE142">
        <f>IFERROR(_xlfn.XLOOKUP(B142, HoldSummary!$A:$A, HoldSummary!D:D), 0)</f>
        <v>0</v>
      </c>
      <c r="AF142">
        <f>IFERROR(_xlfn.XLOOKUP(B142, HoldSummary!$A:$A, HoldSummary!E:E), 0)</f>
        <v>0</v>
      </c>
      <c r="AG142">
        <f>IFERROR(_xlfn.XLOOKUP(B142, HoldSummary!$A:$A, HoldSummary!F:F), 0)</f>
        <v>0</v>
      </c>
      <c r="AH142">
        <f>IFERROR(_xlfn.XLOOKUP(B142, HoldSummary!$A:$A, HoldSummary!G:G), 0)</f>
        <v>0</v>
      </c>
      <c r="AI142">
        <f>IFERROR(_xlfn.XLOOKUP(B142, HoldSummary!$A:$A, HoldSummary!H:H), 0)</f>
        <v>0</v>
      </c>
      <c r="AJ142">
        <f>IFERROR(_xlfn.XLOOKUP(B142, HoldSummary!$A:$A, HoldSummary!I:I), 0)</f>
        <v>0</v>
      </c>
      <c r="AK142">
        <f t="shared" si="25"/>
        <v>0</v>
      </c>
      <c r="AL142">
        <f t="shared" si="26"/>
        <v>354.83333333333576</v>
      </c>
      <c r="AM142">
        <f t="shared" si="27"/>
        <v>13.833333333335759</v>
      </c>
      <c r="AN142" s="12">
        <f t="shared" si="28"/>
        <v>151.79166666666424</v>
      </c>
      <c r="AO142">
        <f t="shared" si="29"/>
        <v>0</v>
      </c>
    </row>
    <row r="143" spans="1:41" x14ac:dyDescent="0.35">
      <c r="A143" t="s">
        <v>23</v>
      </c>
      <c r="B143" t="s">
        <v>361</v>
      </c>
      <c r="C143" t="s">
        <v>76</v>
      </c>
      <c r="D143" t="s">
        <v>44</v>
      </c>
      <c r="E143" t="s">
        <v>27</v>
      </c>
      <c r="F143" t="s">
        <v>28</v>
      </c>
      <c r="G143">
        <v>3</v>
      </c>
      <c r="H143" t="s">
        <v>362</v>
      </c>
      <c r="I143" t="s">
        <v>30</v>
      </c>
      <c r="J143" t="s">
        <v>31</v>
      </c>
      <c r="K143" t="s">
        <v>38</v>
      </c>
      <c r="L143" t="s">
        <v>39</v>
      </c>
      <c r="N143" s="2">
        <v>45077.570277777777</v>
      </c>
      <c r="O143" s="2">
        <v>45272.208333333336</v>
      </c>
      <c r="P143" s="2">
        <v>45338.208333333336</v>
      </c>
      <c r="Q143" s="2">
        <v>45334</v>
      </c>
      <c r="R143" s="2">
        <v>45334.783459039354</v>
      </c>
      <c r="S143" t="s">
        <v>119</v>
      </c>
      <c r="T143" s="2">
        <v>45260.208333333336</v>
      </c>
      <c r="U143" s="2">
        <v>45261.208333333336</v>
      </c>
      <c r="V143" s="2">
        <v>45261.208333333336</v>
      </c>
      <c r="W143" s="2">
        <v>45310.208333333336</v>
      </c>
      <c r="X143" s="3">
        <f t="shared" si="20"/>
        <v>1</v>
      </c>
      <c r="Y143">
        <f t="shared" si="21"/>
        <v>49</v>
      </c>
      <c r="Z143">
        <f t="shared" si="22"/>
        <v>50</v>
      </c>
      <c r="AA143">
        <f t="shared" si="23"/>
        <v>256.42972222222306</v>
      </c>
      <c r="AB143">
        <f t="shared" si="24"/>
        <v>206.42972222222306</v>
      </c>
      <c r="AC143">
        <f>IFERROR(_xlfn.XLOOKUP(B143, HoldSummary!$A:$A, HoldSummary!B:B), 0)</f>
        <v>0</v>
      </c>
      <c r="AD143">
        <f>IFERROR(_xlfn.XLOOKUP(B143, HoldSummary!$A:$A, HoldSummary!C:C), 0)</f>
        <v>0</v>
      </c>
      <c r="AE143">
        <f>IFERROR(_xlfn.XLOOKUP(B143, HoldSummary!$A:$A, HoldSummary!D:D), 0)</f>
        <v>0</v>
      </c>
      <c r="AF143">
        <f>IFERROR(_xlfn.XLOOKUP(B143, HoldSummary!$A:$A, HoldSummary!E:E), 0)</f>
        <v>0</v>
      </c>
      <c r="AG143">
        <f>IFERROR(_xlfn.XLOOKUP(B143, HoldSummary!$A:$A, HoldSummary!F:F), 0)</f>
        <v>0</v>
      </c>
      <c r="AH143">
        <f>IFERROR(_xlfn.XLOOKUP(B143, HoldSummary!$A:$A, HoldSummary!G:G), 0)</f>
        <v>0</v>
      </c>
      <c r="AI143">
        <f>IFERROR(_xlfn.XLOOKUP(B143, HoldSummary!$A:$A, HoldSummary!H:H), 0)</f>
        <v>0</v>
      </c>
      <c r="AJ143">
        <f>IFERROR(_xlfn.XLOOKUP(B143, HoldSummary!$A:$A, HoldSummary!I:I), 0)</f>
        <v>0</v>
      </c>
      <c r="AK143">
        <f t="shared" si="25"/>
        <v>0</v>
      </c>
      <c r="AL143">
        <f t="shared" si="26"/>
        <v>256.42972222222306</v>
      </c>
      <c r="AM143">
        <f t="shared" si="27"/>
        <v>206.42972222222306</v>
      </c>
      <c r="AN143" s="12">
        <f t="shared" si="28"/>
        <v>61.791666666664241</v>
      </c>
      <c r="AO143">
        <f t="shared" si="29"/>
        <v>0</v>
      </c>
    </row>
    <row r="144" spans="1:41" x14ac:dyDescent="0.35">
      <c r="A144" t="s">
        <v>23</v>
      </c>
      <c r="B144" t="s">
        <v>363</v>
      </c>
      <c r="C144" t="s">
        <v>54</v>
      </c>
      <c r="D144" t="s">
        <v>44</v>
      </c>
      <c r="E144" t="s">
        <v>45</v>
      </c>
      <c r="F144" t="s">
        <v>28</v>
      </c>
      <c r="G144">
        <v>3</v>
      </c>
      <c r="H144" t="s">
        <v>364</v>
      </c>
      <c r="I144" t="s">
        <v>30</v>
      </c>
      <c r="J144" t="s">
        <v>70</v>
      </c>
      <c r="K144" t="s">
        <v>174</v>
      </c>
      <c r="L144" t="s">
        <v>174</v>
      </c>
      <c r="N144" s="2">
        <v>45070.46597222222</v>
      </c>
      <c r="O144" s="2">
        <v>45261.208333333336</v>
      </c>
      <c r="P144" s="2">
        <v>45469.166666666664</v>
      </c>
      <c r="Q144" s="2">
        <v>45453</v>
      </c>
      <c r="R144" s="2">
        <v>45454.541688935184</v>
      </c>
      <c r="S144" t="s">
        <v>306</v>
      </c>
      <c r="T144" s="2">
        <v>45183.166666666664</v>
      </c>
      <c r="U144" s="2">
        <v>45187.166666666664</v>
      </c>
      <c r="V144" s="2">
        <v>45187.166666666664</v>
      </c>
      <c r="W144" s="2">
        <v>45322.208333333336</v>
      </c>
      <c r="X144" s="3">
        <f t="shared" si="20"/>
        <v>4</v>
      </c>
      <c r="Y144">
        <f t="shared" si="21"/>
        <v>135.04166666667152</v>
      </c>
      <c r="Z144">
        <f t="shared" si="22"/>
        <v>139.04166666667152</v>
      </c>
      <c r="AA144">
        <f t="shared" si="23"/>
        <v>382.53402777777956</v>
      </c>
      <c r="AB144">
        <f t="shared" si="24"/>
        <v>243.49236111110804</v>
      </c>
      <c r="AC144">
        <f>IFERROR(_xlfn.XLOOKUP(B144, HoldSummary!$A:$A, HoldSummary!B:B), 0)</f>
        <v>0</v>
      </c>
      <c r="AD144">
        <f>IFERROR(_xlfn.XLOOKUP(B144, HoldSummary!$A:$A, HoldSummary!C:C), 0)</f>
        <v>0</v>
      </c>
      <c r="AE144">
        <f>IFERROR(_xlfn.XLOOKUP(B144, HoldSummary!$A:$A, HoldSummary!D:D), 0)</f>
        <v>0</v>
      </c>
      <c r="AF144">
        <f>IFERROR(_xlfn.XLOOKUP(B144, HoldSummary!$A:$A, HoldSummary!E:E), 0)</f>
        <v>0</v>
      </c>
      <c r="AG144">
        <f>IFERROR(_xlfn.XLOOKUP(B144, HoldSummary!$A:$A, HoldSummary!F:F), 0)</f>
        <v>0</v>
      </c>
      <c r="AH144">
        <f>IFERROR(_xlfn.XLOOKUP(B144, HoldSummary!$A:$A, HoldSummary!G:G), 0)</f>
        <v>0</v>
      </c>
      <c r="AI144">
        <f>IFERROR(_xlfn.XLOOKUP(B144, HoldSummary!$A:$A, HoldSummary!H:H), 0)</f>
        <v>0</v>
      </c>
      <c r="AJ144">
        <f>IFERROR(_xlfn.XLOOKUP(B144, HoldSummary!$A:$A, HoldSummary!I:I), 0)</f>
        <v>0</v>
      </c>
      <c r="AK144">
        <f t="shared" si="25"/>
        <v>0</v>
      </c>
      <c r="AL144">
        <f t="shared" si="26"/>
        <v>382.53402777777956</v>
      </c>
      <c r="AM144">
        <f t="shared" si="27"/>
        <v>243.49236111110804</v>
      </c>
      <c r="AN144" s="12">
        <f t="shared" si="28"/>
        <v>191.79166666666424</v>
      </c>
      <c r="AO144">
        <f t="shared" si="29"/>
        <v>0</v>
      </c>
    </row>
    <row r="145" spans="1:41" x14ac:dyDescent="0.35">
      <c r="A145" t="s">
        <v>23</v>
      </c>
      <c r="B145" t="s">
        <v>365</v>
      </c>
      <c r="C145" t="s">
        <v>43</v>
      </c>
      <c r="D145" t="s">
        <v>44</v>
      </c>
      <c r="E145" t="s">
        <v>45</v>
      </c>
      <c r="F145" t="s">
        <v>28</v>
      </c>
      <c r="G145">
        <v>3</v>
      </c>
      <c r="H145" t="s">
        <v>366</v>
      </c>
      <c r="I145" t="s">
        <v>30</v>
      </c>
      <c r="J145" t="s">
        <v>70</v>
      </c>
      <c r="K145" t="s">
        <v>48</v>
      </c>
      <c r="L145" t="s">
        <v>192</v>
      </c>
      <c r="N145" s="2">
        <v>45323.779270833336</v>
      </c>
      <c r="O145" s="2">
        <v>45394.166666666664</v>
      </c>
      <c r="P145" s="2">
        <v>45387.166666666664</v>
      </c>
      <c r="Q145" s="2">
        <v>45387</v>
      </c>
      <c r="R145" s="2">
        <v>45387.567435798614</v>
      </c>
      <c r="S145" t="s">
        <v>367</v>
      </c>
      <c r="T145" s="2"/>
      <c r="U145" s="2"/>
      <c r="V145" s="2"/>
      <c r="W145" s="2"/>
      <c r="X145" s="3" t="str">
        <f t="shared" si="20"/>
        <v/>
      </c>
      <c r="Y145" t="str">
        <f t="shared" si="21"/>
        <v/>
      </c>
      <c r="Z145">
        <f t="shared" si="22"/>
        <v>0</v>
      </c>
      <c r="AA145">
        <f t="shared" si="23"/>
        <v>63.220729166663659</v>
      </c>
      <c r="AB145">
        <f t="shared" si="24"/>
        <v>63.220729166663659</v>
      </c>
      <c r="AC145">
        <f>IFERROR(_xlfn.XLOOKUP(B145, HoldSummary!$A:$A, HoldSummary!B:B), 0)</f>
        <v>0</v>
      </c>
      <c r="AD145">
        <f>IFERROR(_xlfn.XLOOKUP(B145, HoldSummary!$A:$A, HoldSummary!C:C), 0)</f>
        <v>0</v>
      </c>
      <c r="AE145">
        <f>IFERROR(_xlfn.XLOOKUP(B145, HoldSummary!$A:$A, HoldSummary!D:D), 0)</f>
        <v>0</v>
      </c>
      <c r="AF145">
        <f>IFERROR(_xlfn.XLOOKUP(B145, HoldSummary!$A:$A, HoldSummary!E:E), 0)</f>
        <v>0</v>
      </c>
      <c r="AG145">
        <f>IFERROR(_xlfn.XLOOKUP(B145, HoldSummary!$A:$A, HoldSummary!F:F), 0)</f>
        <v>0</v>
      </c>
      <c r="AH145">
        <f>IFERROR(_xlfn.XLOOKUP(B145, HoldSummary!$A:$A, HoldSummary!G:G), 0)</f>
        <v>0</v>
      </c>
      <c r="AI145">
        <f>IFERROR(_xlfn.XLOOKUP(B145, HoldSummary!$A:$A, HoldSummary!H:H), 0)</f>
        <v>0</v>
      </c>
      <c r="AJ145">
        <f>IFERROR(_xlfn.XLOOKUP(B145, HoldSummary!$A:$A, HoldSummary!I:I), 0)</f>
        <v>0</v>
      </c>
      <c r="AK145">
        <f t="shared" si="25"/>
        <v>0</v>
      </c>
      <c r="AL145">
        <f t="shared" si="26"/>
        <v>63.220729166663659</v>
      </c>
      <c r="AM145">
        <f t="shared" si="27"/>
        <v>63.220729166663659</v>
      </c>
      <c r="AN145" s="12">
        <f t="shared" si="28"/>
        <v>-7.1666666666642413</v>
      </c>
      <c r="AO145">
        <f t="shared" si="29"/>
        <v>1</v>
      </c>
    </row>
    <row r="146" spans="1:41" x14ac:dyDescent="0.35">
      <c r="A146" t="s">
        <v>23</v>
      </c>
      <c r="B146" t="s">
        <v>368</v>
      </c>
      <c r="C146" t="s">
        <v>43</v>
      </c>
      <c r="D146" t="s">
        <v>44</v>
      </c>
      <c r="E146" t="s">
        <v>45</v>
      </c>
      <c r="F146" t="s">
        <v>28</v>
      </c>
      <c r="G146">
        <v>3</v>
      </c>
      <c r="H146" t="s">
        <v>369</v>
      </c>
      <c r="I146" t="s">
        <v>30</v>
      </c>
      <c r="J146" t="s">
        <v>31</v>
      </c>
      <c r="K146" t="s">
        <v>38</v>
      </c>
      <c r="L146" t="s">
        <v>39</v>
      </c>
      <c r="N146" s="2">
        <v>45355.850034722222</v>
      </c>
      <c r="O146" s="2">
        <v>45411.166666666664</v>
      </c>
      <c r="P146" s="2">
        <v>45415.166666666664</v>
      </c>
      <c r="Q146" s="2">
        <v>45414</v>
      </c>
      <c r="R146" s="2">
        <v>45414.871271724536</v>
      </c>
      <c r="S146" t="s">
        <v>226</v>
      </c>
      <c r="T146" s="2"/>
      <c r="U146" s="2"/>
      <c r="V146" s="2"/>
      <c r="W146" s="2"/>
      <c r="X146" s="3" t="str">
        <f t="shared" si="20"/>
        <v/>
      </c>
      <c r="Y146" t="str">
        <f t="shared" si="21"/>
        <v/>
      </c>
      <c r="Z146">
        <f t="shared" si="22"/>
        <v>0</v>
      </c>
      <c r="AA146">
        <f t="shared" si="23"/>
        <v>58.149965277778392</v>
      </c>
      <c r="AB146">
        <f t="shared" si="24"/>
        <v>58.149965277778392</v>
      </c>
      <c r="AC146">
        <f>IFERROR(_xlfn.XLOOKUP(B146, HoldSummary!$A:$A, HoldSummary!B:B), 0)</f>
        <v>0</v>
      </c>
      <c r="AD146">
        <f>IFERROR(_xlfn.XLOOKUP(B146, HoldSummary!$A:$A, HoldSummary!C:C), 0)</f>
        <v>0</v>
      </c>
      <c r="AE146">
        <f>IFERROR(_xlfn.XLOOKUP(B146, HoldSummary!$A:$A, HoldSummary!D:D), 0)</f>
        <v>0</v>
      </c>
      <c r="AF146">
        <f>IFERROR(_xlfn.XLOOKUP(B146, HoldSummary!$A:$A, HoldSummary!E:E), 0)</f>
        <v>0</v>
      </c>
      <c r="AG146">
        <f>IFERROR(_xlfn.XLOOKUP(B146, HoldSummary!$A:$A, HoldSummary!F:F), 0)</f>
        <v>0</v>
      </c>
      <c r="AH146">
        <f>IFERROR(_xlfn.XLOOKUP(B146, HoldSummary!$A:$A, HoldSummary!G:G), 0)</f>
        <v>0</v>
      </c>
      <c r="AI146">
        <f>IFERROR(_xlfn.XLOOKUP(B146, HoldSummary!$A:$A, HoldSummary!H:H), 0)</f>
        <v>0</v>
      </c>
      <c r="AJ146">
        <f>IFERROR(_xlfn.XLOOKUP(B146, HoldSummary!$A:$A, HoldSummary!I:I), 0)</f>
        <v>0</v>
      </c>
      <c r="AK146">
        <f t="shared" si="25"/>
        <v>0</v>
      </c>
      <c r="AL146">
        <f t="shared" si="26"/>
        <v>58.149965277778392</v>
      </c>
      <c r="AM146">
        <f t="shared" si="27"/>
        <v>58.149965277778392</v>
      </c>
      <c r="AN146" s="12">
        <f t="shared" si="28"/>
        <v>2.8333333333357587</v>
      </c>
      <c r="AO146">
        <f t="shared" si="29"/>
        <v>0</v>
      </c>
    </row>
    <row r="147" spans="1:41" x14ac:dyDescent="0.35">
      <c r="A147" t="s">
        <v>23</v>
      </c>
      <c r="B147" t="s">
        <v>370</v>
      </c>
      <c r="C147" t="s">
        <v>54</v>
      </c>
      <c r="D147" t="s">
        <v>44</v>
      </c>
      <c r="E147" t="s">
        <v>45</v>
      </c>
      <c r="F147" t="s">
        <v>28</v>
      </c>
      <c r="G147">
        <v>3</v>
      </c>
      <c r="H147" t="s">
        <v>371</v>
      </c>
      <c r="I147" t="s">
        <v>30</v>
      </c>
      <c r="J147" t="s">
        <v>31</v>
      </c>
      <c r="K147" t="s">
        <v>38</v>
      </c>
      <c r="L147" t="s">
        <v>53</v>
      </c>
      <c r="M147" t="s">
        <v>33</v>
      </c>
      <c r="N147" s="2">
        <v>45460.629236111112</v>
      </c>
      <c r="O147" s="2">
        <v>45572.166666666664</v>
      </c>
      <c r="P147" s="2">
        <v>45572.166666666664</v>
      </c>
      <c r="Q147" s="2">
        <v>45491</v>
      </c>
      <c r="R147" s="2">
        <v>45492.61715351852</v>
      </c>
      <c r="S147" t="s">
        <v>215</v>
      </c>
      <c r="T147" s="2">
        <v>45470.166666666664</v>
      </c>
      <c r="U147" s="2">
        <v>45470.166666666664</v>
      </c>
      <c r="V147" s="2">
        <v>45470.166666666664</v>
      </c>
      <c r="W147" s="2">
        <v>45470.166666666664</v>
      </c>
      <c r="X147" s="3">
        <f t="shared" si="20"/>
        <v>0</v>
      </c>
      <c r="Y147">
        <f t="shared" si="21"/>
        <v>0</v>
      </c>
      <c r="Z147">
        <f t="shared" si="22"/>
        <v>0</v>
      </c>
      <c r="AA147">
        <f t="shared" si="23"/>
        <v>30.370763888888177</v>
      </c>
      <c r="AB147">
        <f t="shared" si="24"/>
        <v>30.370763888888177</v>
      </c>
      <c r="AC147">
        <f>IFERROR(_xlfn.XLOOKUP(B147, HoldSummary!$A:$A, HoldSummary!B:B), 0)</f>
        <v>0</v>
      </c>
      <c r="AD147">
        <f>IFERROR(_xlfn.XLOOKUP(B147, HoldSummary!$A:$A, HoldSummary!C:C), 0)</f>
        <v>0</v>
      </c>
      <c r="AE147">
        <f>IFERROR(_xlfn.XLOOKUP(B147, HoldSummary!$A:$A, HoldSummary!D:D), 0)</f>
        <v>0</v>
      </c>
      <c r="AF147">
        <f>IFERROR(_xlfn.XLOOKUP(B147, HoldSummary!$A:$A, HoldSummary!E:E), 0)</f>
        <v>0</v>
      </c>
      <c r="AG147">
        <f>IFERROR(_xlfn.XLOOKUP(B147, HoldSummary!$A:$A, HoldSummary!F:F), 0)</f>
        <v>0</v>
      </c>
      <c r="AH147">
        <f>IFERROR(_xlfn.XLOOKUP(B147, HoldSummary!$A:$A, HoldSummary!G:G), 0)</f>
        <v>0</v>
      </c>
      <c r="AI147">
        <f>IFERROR(_xlfn.XLOOKUP(B147, HoldSummary!$A:$A, HoldSummary!H:H), 0)</f>
        <v>0</v>
      </c>
      <c r="AJ147">
        <f>IFERROR(_xlfn.XLOOKUP(B147, HoldSummary!$A:$A, HoldSummary!I:I), 0)</f>
        <v>0</v>
      </c>
      <c r="AK147">
        <f t="shared" si="25"/>
        <v>0</v>
      </c>
      <c r="AL147">
        <f t="shared" si="26"/>
        <v>30.370763888888177</v>
      </c>
      <c r="AM147">
        <f t="shared" si="27"/>
        <v>30.370763888888177</v>
      </c>
      <c r="AN147" s="12">
        <f t="shared" si="28"/>
        <v>-81.166666666664241</v>
      </c>
      <c r="AO147">
        <f t="shared" si="29"/>
        <v>1</v>
      </c>
    </row>
    <row r="148" spans="1:41" x14ac:dyDescent="0.35">
      <c r="A148" t="s">
        <v>23</v>
      </c>
      <c r="B148" t="s">
        <v>372</v>
      </c>
      <c r="C148" t="s">
        <v>373</v>
      </c>
      <c r="D148" t="s">
        <v>44</v>
      </c>
      <c r="E148" t="s">
        <v>45</v>
      </c>
      <c r="F148" t="s">
        <v>28</v>
      </c>
      <c r="G148">
        <v>3</v>
      </c>
      <c r="H148" t="s">
        <v>374</v>
      </c>
      <c r="I148" t="s">
        <v>30</v>
      </c>
      <c r="J148" t="s">
        <v>300</v>
      </c>
      <c r="K148" t="s">
        <v>174</v>
      </c>
      <c r="L148" t="s">
        <v>174</v>
      </c>
      <c r="N148" s="2">
        <v>45839.535532407404</v>
      </c>
      <c r="O148" s="2">
        <v>45853.166666666664</v>
      </c>
      <c r="P148" s="2">
        <v>45853.166666666664</v>
      </c>
      <c r="Q148" s="2">
        <v>45846</v>
      </c>
      <c r="R148" s="2">
        <v>45847.770018831019</v>
      </c>
      <c r="S148" t="s">
        <v>375</v>
      </c>
      <c r="T148" s="2"/>
      <c r="U148" s="2"/>
      <c r="V148" s="2"/>
      <c r="W148" s="2"/>
      <c r="X148" s="3" t="str">
        <f t="shared" si="20"/>
        <v/>
      </c>
      <c r="Y148" t="str">
        <f t="shared" si="21"/>
        <v/>
      </c>
      <c r="Z148">
        <f t="shared" si="22"/>
        <v>0</v>
      </c>
      <c r="AA148">
        <f t="shared" si="23"/>
        <v>6.4644675925956108</v>
      </c>
      <c r="AB148">
        <f t="shared" si="24"/>
        <v>6.4644675925956108</v>
      </c>
      <c r="AC148">
        <f>IFERROR(_xlfn.XLOOKUP(B148, HoldSummary!$A:$A, HoldSummary!B:B), 0)</f>
        <v>0</v>
      </c>
      <c r="AD148">
        <f>IFERROR(_xlfn.XLOOKUP(B148, HoldSummary!$A:$A, HoldSummary!C:C), 0)</f>
        <v>0</v>
      </c>
      <c r="AE148">
        <f>IFERROR(_xlfn.XLOOKUP(B148, HoldSummary!$A:$A, HoldSummary!D:D), 0)</f>
        <v>0</v>
      </c>
      <c r="AF148">
        <f>IFERROR(_xlfn.XLOOKUP(B148, HoldSummary!$A:$A, HoldSummary!E:E), 0)</f>
        <v>0</v>
      </c>
      <c r="AG148">
        <f>IFERROR(_xlfn.XLOOKUP(B148, HoldSummary!$A:$A, HoldSummary!F:F), 0)</f>
        <v>0</v>
      </c>
      <c r="AH148">
        <f>IFERROR(_xlfn.XLOOKUP(B148, HoldSummary!$A:$A, HoldSummary!G:G), 0)</f>
        <v>0</v>
      </c>
      <c r="AI148">
        <f>IFERROR(_xlfn.XLOOKUP(B148, HoldSummary!$A:$A, HoldSummary!H:H), 0)</f>
        <v>0</v>
      </c>
      <c r="AJ148">
        <f>IFERROR(_xlfn.XLOOKUP(B148, HoldSummary!$A:$A, HoldSummary!I:I), 0)</f>
        <v>0</v>
      </c>
      <c r="AK148">
        <f t="shared" si="25"/>
        <v>0</v>
      </c>
      <c r="AL148">
        <f t="shared" si="26"/>
        <v>6.4644675925956108</v>
      </c>
      <c r="AM148">
        <f t="shared" si="27"/>
        <v>6.4644675925956108</v>
      </c>
      <c r="AN148" s="12">
        <f t="shared" si="28"/>
        <v>-7.1666666666642413</v>
      </c>
      <c r="AO148">
        <f t="shared" si="29"/>
        <v>1</v>
      </c>
    </row>
    <row r="149" spans="1:41" x14ac:dyDescent="0.35">
      <c r="A149" t="s">
        <v>23</v>
      </c>
      <c r="B149">
        <v>100872</v>
      </c>
      <c r="C149" t="s">
        <v>76</v>
      </c>
      <c r="D149" t="s">
        <v>44</v>
      </c>
      <c r="E149" t="s">
        <v>55</v>
      </c>
      <c r="F149" t="s">
        <v>28</v>
      </c>
      <c r="G149">
        <v>4</v>
      </c>
      <c r="H149" t="s">
        <v>376</v>
      </c>
      <c r="I149" t="s">
        <v>30</v>
      </c>
      <c r="J149" t="s">
        <v>31</v>
      </c>
      <c r="K149" t="s">
        <v>57</v>
      </c>
      <c r="L149" t="s">
        <v>39</v>
      </c>
      <c r="N149" s="2">
        <v>45169.166666666664</v>
      </c>
      <c r="O149" s="2">
        <v>45282.208333333336</v>
      </c>
      <c r="P149" s="2">
        <v>45350.208333333336</v>
      </c>
      <c r="Q149" s="2">
        <v>45338</v>
      </c>
      <c r="R149" s="2">
        <v>45338.823000011573</v>
      </c>
      <c r="S149" t="s">
        <v>119</v>
      </c>
      <c r="T149" s="2">
        <v>45176.166666666664</v>
      </c>
      <c r="U149" s="2">
        <v>45184.166666666664</v>
      </c>
      <c r="V149" s="2">
        <v>45184.166666666664</v>
      </c>
      <c r="W149" s="2">
        <v>45336.208333333336</v>
      </c>
      <c r="X149" s="3">
        <f t="shared" si="20"/>
        <v>8</v>
      </c>
      <c r="Y149">
        <f t="shared" si="21"/>
        <v>152.04166666667152</v>
      </c>
      <c r="Z149">
        <f t="shared" si="22"/>
        <v>160.04166666667152</v>
      </c>
      <c r="AA149">
        <f t="shared" si="23"/>
        <v>168.83333333333576</v>
      </c>
      <c r="AB149">
        <f t="shared" si="24"/>
        <v>8.7916666666642413</v>
      </c>
      <c r="AC149">
        <f>IFERROR(_xlfn.XLOOKUP(B149, HoldSummary!$A:$A, HoldSummary!B:B), 0)</f>
        <v>0</v>
      </c>
      <c r="AD149">
        <f>IFERROR(_xlfn.XLOOKUP(B149, HoldSummary!$A:$A, HoldSummary!C:C), 0)</f>
        <v>0</v>
      </c>
      <c r="AE149">
        <f>IFERROR(_xlfn.XLOOKUP(B149, HoldSummary!$A:$A, HoldSummary!D:D), 0)</f>
        <v>0</v>
      </c>
      <c r="AF149">
        <f>IFERROR(_xlfn.XLOOKUP(B149, HoldSummary!$A:$A, HoldSummary!E:E), 0)</f>
        <v>0</v>
      </c>
      <c r="AG149">
        <f>IFERROR(_xlfn.XLOOKUP(B149, HoldSummary!$A:$A, HoldSummary!F:F), 0)</f>
        <v>0</v>
      </c>
      <c r="AH149">
        <f>IFERROR(_xlfn.XLOOKUP(B149, HoldSummary!$A:$A, HoldSummary!G:G), 0)</f>
        <v>0</v>
      </c>
      <c r="AI149">
        <f>IFERROR(_xlfn.XLOOKUP(B149, HoldSummary!$A:$A, HoldSummary!H:H), 0)</f>
        <v>0</v>
      </c>
      <c r="AJ149">
        <f>IFERROR(_xlfn.XLOOKUP(B149, HoldSummary!$A:$A, HoldSummary!I:I), 0)</f>
        <v>0</v>
      </c>
      <c r="AK149">
        <f t="shared" si="25"/>
        <v>0</v>
      </c>
      <c r="AL149">
        <f t="shared" si="26"/>
        <v>168.83333333333576</v>
      </c>
      <c r="AM149">
        <f t="shared" si="27"/>
        <v>8.7916666666642413</v>
      </c>
      <c r="AN149" s="12">
        <f t="shared" si="28"/>
        <v>55.791666666664241</v>
      </c>
      <c r="AO149">
        <f t="shared" si="29"/>
        <v>0</v>
      </c>
    </row>
    <row r="150" spans="1:41" x14ac:dyDescent="0.35">
      <c r="A150" t="s">
        <v>23</v>
      </c>
      <c r="B150" t="s">
        <v>377</v>
      </c>
      <c r="C150" t="s">
        <v>54</v>
      </c>
      <c r="D150" t="s">
        <v>44</v>
      </c>
      <c r="E150" t="s">
        <v>45</v>
      </c>
      <c r="F150" t="s">
        <v>28</v>
      </c>
      <c r="G150">
        <v>4</v>
      </c>
      <c r="H150" t="s">
        <v>378</v>
      </c>
      <c r="I150" t="s">
        <v>30</v>
      </c>
      <c r="J150" t="s">
        <v>31</v>
      </c>
      <c r="K150" t="s">
        <v>38</v>
      </c>
      <c r="L150" t="s">
        <v>39</v>
      </c>
      <c r="N150" s="2">
        <v>45078.681122685186</v>
      </c>
      <c r="O150" s="2">
        <v>45268.208333333336</v>
      </c>
      <c r="P150" s="2">
        <v>45322.208333333336</v>
      </c>
      <c r="Q150" s="2">
        <v>45321</v>
      </c>
      <c r="R150" s="2">
        <v>45321.771737280091</v>
      </c>
      <c r="T150" s="2">
        <v>45202.166666666664</v>
      </c>
      <c r="U150" s="2">
        <v>45239.208333333336</v>
      </c>
      <c r="V150" s="2">
        <v>45239.208333333336</v>
      </c>
      <c r="W150" s="2">
        <v>45281.208333333336</v>
      </c>
      <c r="X150" s="3">
        <f t="shared" si="20"/>
        <v>37.041666666671517</v>
      </c>
      <c r="Y150">
        <f t="shared" si="21"/>
        <v>42</v>
      </c>
      <c r="Z150">
        <f t="shared" si="22"/>
        <v>79.041666666671517</v>
      </c>
      <c r="AA150">
        <f t="shared" si="23"/>
        <v>242.31887731481402</v>
      </c>
      <c r="AB150">
        <f t="shared" si="24"/>
        <v>163.2772106481425</v>
      </c>
      <c r="AC150">
        <f>IFERROR(_xlfn.XLOOKUP(B150, HoldSummary!$A:$A, HoldSummary!B:B), 0)</f>
        <v>0</v>
      </c>
      <c r="AD150">
        <f>IFERROR(_xlfn.XLOOKUP(B150, HoldSummary!$A:$A, HoldSummary!C:C), 0)</f>
        <v>0</v>
      </c>
      <c r="AE150">
        <f>IFERROR(_xlfn.XLOOKUP(B150, HoldSummary!$A:$A, HoldSummary!D:D), 0)</f>
        <v>0</v>
      </c>
      <c r="AF150">
        <f>IFERROR(_xlfn.XLOOKUP(B150, HoldSummary!$A:$A, HoldSummary!E:E), 0)</f>
        <v>0</v>
      </c>
      <c r="AG150">
        <f>IFERROR(_xlfn.XLOOKUP(B150, HoldSummary!$A:$A, HoldSummary!F:F), 0)</f>
        <v>0</v>
      </c>
      <c r="AH150">
        <f>IFERROR(_xlfn.XLOOKUP(B150, HoldSummary!$A:$A, HoldSummary!G:G), 0)</f>
        <v>0</v>
      </c>
      <c r="AI150">
        <f>IFERROR(_xlfn.XLOOKUP(B150, HoldSummary!$A:$A, HoldSummary!H:H), 0)</f>
        <v>0</v>
      </c>
      <c r="AJ150">
        <f>IFERROR(_xlfn.XLOOKUP(B150, HoldSummary!$A:$A, HoldSummary!I:I), 0)</f>
        <v>0</v>
      </c>
      <c r="AK150">
        <f t="shared" si="25"/>
        <v>0</v>
      </c>
      <c r="AL150">
        <f t="shared" si="26"/>
        <v>242.31887731481402</v>
      </c>
      <c r="AM150">
        <f t="shared" si="27"/>
        <v>163.2772106481425</v>
      </c>
      <c r="AN150" s="12">
        <f t="shared" si="28"/>
        <v>52.791666666664241</v>
      </c>
      <c r="AO150">
        <f t="shared" si="29"/>
        <v>0</v>
      </c>
    </row>
    <row r="151" spans="1:41" x14ac:dyDescent="0.35">
      <c r="A151" t="s">
        <v>23</v>
      </c>
      <c r="B151" t="s">
        <v>379</v>
      </c>
      <c r="C151" t="s">
        <v>113</v>
      </c>
      <c r="D151" t="s">
        <v>44</v>
      </c>
      <c r="E151" t="s">
        <v>45</v>
      </c>
      <c r="F151" t="s">
        <v>28</v>
      </c>
      <c r="G151">
        <v>4</v>
      </c>
      <c r="H151" t="s">
        <v>380</v>
      </c>
      <c r="I151" t="s">
        <v>30</v>
      </c>
      <c r="J151" t="s">
        <v>31</v>
      </c>
      <c r="K151" t="s">
        <v>38</v>
      </c>
      <c r="L151" t="s">
        <v>39</v>
      </c>
      <c r="N151" s="2">
        <v>45175.839953703704</v>
      </c>
      <c r="O151" s="2">
        <v>45317.208333333336</v>
      </c>
      <c r="P151" s="2">
        <v>45359.208333333336</v>
      </c>
      <c r="Q151" s="2">
        <v>45351</v>
      </c>
      <c r="R151" s="2">
        <v>45352.44846939815</v>
      </c>
      <c r="S151" t="s">
        <v>119</v>
      </c>
      <c r="T151" s="2">
        <v>45244.208333333336</v>
      </c>
      <c r="U151" s="2">
        <v>45257.208333333336</v>
      </c>
      <c r="V151" s="2">
        <v>45257.208333333336</v>
      </c>
      <c r="W151" s="2">
        <v>45260.208333333336</v>
      </c>
      <c r="X151" s="3">
        <f t="shared" si="20"/>
        <v>13</v>
      </c>
      <c r="Y151">
        <f t="shared" si="21"/>
        <v>3</v>
      </c>
      <c r="Z151">
        <f t="shared" si="22"/>
        <v>16</v>
      </c>
      <c r="AA151">
        <f t="shared" si="23"/>
        <v>175.16004629629606</v>
      </c>
      <c r="AB151">
        <f t="shared" si="24"/>
        <v>159.16004629629606</v>
      </c>
      <c r="AC151">
        <f>IFERROR(_xlfn.XLOOKUP(B151, HoldSummary!$A:$A, HoldSummary!B:B), 0)</f>
        <v>0</v>
      </c>
      <c r="AD151">
        <f>IFERROR(_xlfn.XLOOKUP(B151, HoldSummary!$A:$A, HoldSummary!C:C), 0)</f>
        <v>0</v>
      </c>
      <c r="AE151">
        <f>IFERROR(_xlfn.XLOOKUP(B151, HoldSummary!$A:$A, HoldSummary!D:D), 0)</f>
        <v>0</v>
      </c>
      <c r="AF151">
        <f>IFERROR(_xlfn.XLOOKUP(B151, HoldSummary!$A:$A, HoldSummary!E:E), 0)</f>
        <v>0</v>
      </c>
      <c r="AG151">
        <f>IFERROR(_xlfn.XLOOKUP(B151, HoldSummary!$A:$A, HoldSummary!F:F), 0)</f>
        <v>0</v>
      </c>
      <c r="AH151">
        <f>IFERROR(_xlfn.XLOOKUP(B151, HoldSummary!$A:$A, HoldSummary!G:G), 0)</f>
        <v>0</v>
      </c>
      <c r="AI151">
        <f>IFERROR(_xlfn.XLOOKUP(B151, HoldSummary!$A:$A, HoldSummary!H:H), 0)</f>
        <v>0</v>
      </c>
      <c r="AJ151">
        <f>IFERROR(_xlfn.XLOOKUP(B151, HoldSummary!$A:$A, HoldSummary!I:I), 0)</f>
        <v>0</v>
      </c>
      <c r="AK151">
        <f t="shared" si="25"/>
        <v>0</v>
      </c>
      <c r="AL151">
        <f t="shared" si="26"/>
        <v>175.16004629629606</v>
      </c>
      <c r="AM151">
        <f t="shared" si="27"/>
        <v>159.16004629629606</v>
      </c>
      <c r="AN151" s="12">
        <f t="shared" si="28"/>
        <v>33.791666666664241</v>
      </c>
      <c r="AO151">
        <f t="shared" si="29"/>
        <v>0</v>
      </c>
    </row>
    <row r="152" spans="1:41" x14ac:dyDescent="0.35">
      <c r="A152" t="s">
        <v>23</v>
      </c>
      <c r="B152" t="s">
        <v>381</v>
      </c>
      <c r="C152" t="s">
        <v>76</v>
      </c>
      <c r="D152" t="s">
        <v>44</v>
      </c>
      <c r="E152" t="s">
        <v>45</v>
      </c>
      <c r="F152" t="s">
        <v>28</v>
      </c>
      <c r="G152">
        <v>4</v>
      </c>
      <c r="H152" t="s">
        <v>382</v>
      </c>
      <c r="I152" t="s">
        <v>30</v>
      </c>
      <c r="J152" t="s">
        <v>300</v>
      </c>
      <c r="K152" t="s">
        <v>57</v>
      </c>
      <c r="L152" t="s">
        <v>39</v>
      </c>
      <c r="N152" s="2">
        <v>45217.581747685188</v>
      </c>
      <c r="O152" s="2">
        <v>45338.208333333336</v>
      </c>
      <c r="P152" s="2">
        <v>45338.208333333336</v>
      </c>
      <c r="Q152" s="2">
        <v>45329</v>
      </c>
      <c r="R152" s="2">
        <v>45329.63270199074</v>
      </c>
      <c r="S152" t="s">
        <v>383</v>
      </c>
      <c r="T152" s="2">
        <v>45247.208333333336</v>
      </c>
      <c r="U152" s="2">
        <v>45281.208333333336</v>
      </c>
      <c r="V152" s="2">
        <v>45281.208333333336</v>
      </c>
      <c r="W152" s="2">
        <v>45281.208333333336</v>
      </c>
      <c r="X152" s="3">
        <f t="shared" si="20"/>
        <v>34</v>
      </c>
      <c r="Y152">
        <f t="shared" si="21"/>
        <v>0</v>
      </c>
      <c r="Z152">
        <f t="shared" si="22"/>
        <v>34</v>
      </c>
      <c r="AA152">
        <f t="shared" si="23"/>
        <v>111.41825231481198</v>
      </c>
      <c r="AB152">
        <f t="shared" si="24"/>
        <v>77.41825231481198</v>
      </c>
      <c r="AC152">
        <f>IFERROR(_xlfn.XLOOKUP(B152, HoldSummary!$A:$A, HoldSummary!B:B), 0)</f>
        <v>0</v>
      </c>
      <c r="AD152">
        <f>IFERROR(_xlfn.XLOOKUP(B152, HoldSummary!$A:$A, HoldSummary!C:C), 0)</f>
        <v>0</v>
      </c>
      <c r="AE152">
        <f>IFERROR(_xlfn.XLOOKUP(B152, HoldSummary!$A:$A, HoldSummary!D:D), 0)</f>
        <v>0</v>
      </c>
      <c r="AF152">
        <f>IFERROR(_xlfn.XLOOKUP(B152, HoldSummary!$A:$A, HoldSummary!E:E), 0)</f>
        <v>0</v>
      </c>
      <c r="AG152">
        <f>IFERROR(_xlfn.XLOOKUP(B152, HoldSummary!$A:$A, HoldSummary!F:F), 0)</f>
        <v>0</v>
      </c>
      <c r="AH152">
        <f>IFERROR(_xlfn.XLOOKUP(B152, HoldSummary!$A:$A, HoldSummary!G:G), 0)</f>
        <v>4</v>
      </c>
      <c r="AI152">
        <f>IFERROR(_xlfn.XLOOKUP(B152, HoldSummary!$A:$A, HoldSummary!H:H), 0)</f>
        <v>0</v>
      </c>
      <c r="AJ152">
        <f>IFERROR(_xlfn.XLOOKUP(B152, HoldSummary!$A:$A, HoldSummary!I:I), 0)</f>
        <v>0</v>
      </c>
      <c r="AK152">
        <f t="shared" si="25"/>
        <v>4</v>
      </c>
      <c r="AL152">
        <f t="shared" si="26"/>
        <v>107.41825231481198</v>
      </c>
      <c r="AM152">
        <f t="shared" si="27"/>
        <v>73.41825231481198</v>
      </c>
      <c r="AN152" s="12">
        <f t="shared" si="28"/>
        <v>-9.2083333333357587</v>
      </c>
      <c r="AO152">
        <f t="shared" si="29"/>
        <v>1</v>
      </c>
    </row>
    <row r="153" spans="1:41" x14ac:dyDescent="0.35">
      <c r="A153" t="s">
        <v>23</v>
      </c>
      <c r="B153" t="s">
        <v>384</v>
      </c>
      <c r="C153" t="s">
        <v>43</v>
      </c>
      <c r="D153" t="s">
        <v>44</v>
      </c>
      <c r="E153" t="s">
        <v>45</v>
      </c>
      <c r="F153" t="s">
        <v>28</v>
      </c>
      <c r="G153">
        <v>4</v>
      </c>
      <c r="H153" t="s">
        <v>385</v>
      </c>
      <c r="I153" t="s">
        <v>30</v>
      </c>
      <c r="J153" t="s">
        <v>70</v>
      </c>
      <c r="K153" t="s">
        <v>48</v>
      </c>
      <c r="L153" t="s">
        <v>49</v>
      </c>
      <c r="N153" s="2">
        <v>45226.518969907411</v>
      </c>
      <c r="O153" s="2">
        <v>45338.208333333336</v>
      </c>
      <c r="P153" s="2">
        <v>45373.166666666664</v>
      </c>
      <c r="Q153" s="2">
        <v>45373</v>
      </c>
      <c r="R153" s="2">
        <v>45376.552259016207</v>
      </c>
      <c r="S153" t="s">
        <v>386</v>
      </c>
      <c r="T153" s="2">
        <v>45261.208333333336</v>
      </c>
      <c r="U153" s="2">
        <v>45358.208333333336</v>
      </c>
      <c r="V153" s="2">
        <v>45358.208333333336</v>
      </c>
      <c r="W153" s="2">
        <v>45358.208333333336</v>
      </c>
      <c r="X153" s="3">
        <f t="shared" si="20"/>
        <v>97</v>
      </c>
      <c r="Y153">
        <f t="shared" si="21"/>
        <v>0</v>
      </c>
      <c r="Z153">
        <f t="shared" si="22"/>
        <v>97</v>
      </c>
      <c r="AA153">
        <f t="shared" si="23"/>
        <v>146.48103009258921</v>
      </c>
      <c r="AB153">
        <f t="shared" si="24"/>
        <v>49.481030092589208</v>
      </c>
      <c r="AC153">
        <f>IFERROR(_xlfn.XLOOKUP(B153, HoldSummary!$A:$A, HoldSummary!B:B), 0)</f>
        <v>0</v>
      </c>
      <c r="AD153">
        <f>IFERROR(_xlfn.XLOOKUP(B153, HoldSummary!$A:$A, HoldSummary!C:C), 0)</f>
        <v>0</v>
      </c>
      <c r="AE153">
        <f>IFERROR(_xlfn.XLOOKUP(B153, HoldSummary!$A:$A, HoldSummary!D:D), 0)</f>
        <v>0</v>
      </c>
      <c r="AF153">
        <f>IFERROR(_xlfn.XLOOKUP(B153, HoldSummary!$A:$A, HoldSummary!E:E), 0)</f>
        <v>0</v>
      </c>
      <c r="AG153">
        <f>IFERROR(_xlfn.XLOOKUP(B153, HoldSummary!$A:$A, HoldSummary!F:F), 0)</f>
        <v>0</v>
      </c>
      <c r="AH153">
        <f>IFERROR(_xlfn.XLOOKUP(B153, HoldSummary!$A:$A, HoldSummary!G:G), 0)</f>
        <v>23.089565879628935</v>
      </c>
      <c r="AI153">
        <f>IFERROR(_xlfn.XLOOKUP(B153, HoldSummary!$A:$A, HoldSummary!H:H), 0)</f>
        <v>0</v>
      </c>
      <c r="AJ153">
        <f>IFERROR(_xlfn.XLOOKUP(B153, HoldSummary!$A:$A, HoldSummary!I:I), 0)</f>
        <v>0</v>
      </c>
      <c r="AK153">
        <f t="shared" si="25"/>
        <v>23.089565879628935</v>
      </c>
      <c r="AL153">
        <f t="shared" si="26"/>
        <v>123.39146421296027</v>
      </c>
      <c r="AM153">
        <f t="shared" si="27"/>
        <v>26.391464212960273</v>
      </c>
      <c r="AN153" s="12">
        <f t="shared" si="28"/>
        <v>34.791666666664241</v>
      </c>
      <c r="AO153">
        <f t="shared" si="29"/>
        <v>0</v>
      </c>
    </row>
    <row r="154" spans="1:41" x14ac:dyDescent="0.35">
      <c r="A154" t="s">
        <v>23</v>
      </c>
      <c r="B154" t="s">
        <v>387</v>
      </c>
      <c r="C154" t="s">
        <v>135</v>
      </c>
      <c r="D154" t="s">
        <v>44</v>
      </c>
      <c r="E154" t="s">
        <v>45</v>
      </c>
      <c r="F154" t="s">
        <v>28</v>
      </c>
      <c r="G154">
        <v>4</v>
      </c>
      <c r="H154" t="s">
        <v>388</v>
      </c>
      <c r="I154" t="s">
        <v>30</v>
      </c>
      <c r="J154" t="s">
        <v>31</v>
      </c>
      <c r="K154" t="s">
        <v>32</v>
      </c>
      <c r="L154" t="s">
        <v>32</v>
      </c>
      <c r="N154" s="2">
        <v>45226.613217592596</v>
      </c>
      <c r="O154" s="2">
        <v>45310.208333333336</v>
      </c>
      <c r="P154" s="2">
        <v>45436.166666666664</v>
      </c>
      <c r="Q154" s="2">
        <v>45422</v>
      </c>
      <c r="R154" s="2">
        <v>45432.690627662036</v>
      </c>
      <c r="S154" t="s">
        <v>226</v>
      </c>
      <c r="T154" s="2">
        <v>45273.208333333336</v>
      </c>
      <c r="U154" s="2">
        <v>45282.208333333336</v>
      </c>
      <c r="V154" s="2">
        <v>45282.208333333336</v>
      </c>
      <c r="W154" s="2">
        <v>45282.208333333336</v>
      </c>
      <c r="X154" s="3">
        <f t="shared" si="20"/>
        <v>9</v>
      </c>
      <c r="Y154">
        <f t="shared" si="21"/>
        <v>0</v>
      </c>
      <c r="Z154">
        <f t="shared" si="22"/>
        <v>9</v>
      </c>
      <c r="AA154">
        <f t="shared" si="23"/>
        <v>195.3867824074041</v>
      </c>
      <c r="AB154">
        <f t="shared" si="24"/>
        <v>186.3867824074041</v>
      </c>
      <c r="AC154">
        <f>IFERROR(_xlfn.XLOOKUP(B154, HoldSummary!$A:$A, HoldSummary!B:B), 0)</f>
        <v>0</v>
      </c>
      <c r="AD154">
        <f>IFERROR(_xlfn.XLOOKUP(B154, HoldSummary!$A:$A, HoldSummary!C:C), 0)</f>
        <v>0</v>
      </c>
      <c r="AE154">
        <f>IFERROR(_xlfn.XLOOKUP(B154, HoldSummary!$A:$A, HoldSummary!D:D), 0)</f>
        <v>0</v>
      </c>
      <c r="AF154">
        <f>IFERROR(_xlfn.XLOOKUP(B154, HoldSummary!$A:$A, HoldSummary!E:E), 0)</f>
        <v>0</v>
      </c>
      <c r="AG154">
        <f>IFERROR(_xlfn.XLOOKUP(B154, HoldSummary!$A:$A, HoldSummary!F:F), 0)</f>
        <v>0</v>
      </c>
      <c r="AH154">
        <f>IFERROR(_xlfn.XLOOKUP(B154, HoldSummary!$A:$A, HoldSummary!G:G), 0)</f>
        <v>0</v>
      </c>
      <c r="AI154">
        <f>IFERROR(_xlfn.XLOOKUP(B154, HoldSummary!$A:$A, HoldSummary!H:H), 0)</f>
        <v>0</v>
      </c>
      <c r="AJ154">
        <f>IFERROR(_xlfn.XLOOKUP(B154, HoldSummary!$A:$A, HoldSummary!I:I), 0)</f>
        <v>38</v>
      </c>
      <c r="AK154">
        <f t="shared" si="25"/>
        <v>38</v>
      </c>
      <c r="AL154">
        <f t="shared" si="26"/>
        <v>157.3867824074041</v>
      </c>
      <c r="AM154">
        <f t="shared" si="27"/>
        <v>148.3867824074041</v>
      </c>
      <c r="AN154" s="12">
        <f t="shared" si="28"/>
        <v>111.79166666666424</v>
      </c>
      <c r="AO154">
        <f t="shared" si="29"/>
        <v>0</v>
      </c>
    </row>
    <row r="155" spans="1:41" x14ac:dyDescent="0.35">
      <c r="A155" t="s">
        <v>23</v>
      </c>
      <c r="B155" t="s">
        <v>389</v>
      </c>
      <c r="C155" t="s">
        <v>54</v>
      </c>
      <c r="D155" t="s">
        <v>44</v>
      </c>
      <c r="E155" t="s">
        <v>45</v>
      </c>
      <c r="F155" t="s">
        <v>28</v>
      </c>
      <c r="G155">
        <v>4</v>
      </c>
      <c r="H155" t="s">
        <v>390</v>
      </c>
      <c r="I155" t="s">
        <v>30</v>
      </c>
      <c r="J155" t="s">
        <v>31</v>
      </c>
      <c r="K155" t="s">
        <v>38</v>
      </c>
      <c r="N155" s="2">
        <v>45218.447905092595</v>
      </c>
      <c r="O155" s="2">
        <v>45303.208333333336</v>
      </c>
      <c r="P155" s="2">
        <v>45322.208333333336</v>
      </c>
      <c r="Q155" s="2">
        <v>45313</v>
      </c>
      <c r="R155" s="2">
        <v>45313.907263645837</v>
      </c>
      <c r="T155" s="2">
        <v>45231.166666666664</v>
      </c>
      <c r="U155" s="2">
        <v>45271.208333333336</v>
      </c>
      <c r="V155" s="2">
        <v>45271.208333333336</v>
      </c>
      <c r="W155" s="2">
        <v>45299.208333333336</v>
      </c>
      <c r="X155" s="3">
        <f t="shared" si="20"/>
        <v>40.041666666671517</v>
      </c>
      <c r="Y155">
        <f t="shared" si="21"/>
        <v>28</v>
      </c>
      <c r="Z155">
        <f t="shared" si="22"/>
        <v>68.041666666671517</v>
      </c>
      <c r="AA155">
        <f t="shared" si="23"/>
        <v>94.552094907405262</v>
      </c>
      <c r="AB155">
        <f t="shared" si="24"/>
        <v>26.510428240733745</v>
      </c>
      <c r="AC155">
        <f>IFERROR(_xlfn.XLOOKUP(B155, HoldSummary!$A:$A, HoldSummary!B:B), 0)</f>
        <v>0</v>
      </c>
      <c r="AD155">
        <f>IFERROR(_xlfn.XLOOKUP(B155, HoldSummary!$A:$A, HoldSummary!C:C), 0)</f>
        <v>0</v>
      </c>
      <c r="AE155">
        <f>IFERROR(_xlfn.XLOOKUP(B155, HoldSummary!$A:$A, HoldSummary!D:D), 0)</f>
        <v>0</v>
      </c>
      <c r="AF155">
        <f>IFERROR(_xlfn.XLOOKUP(B155, HoldSummary!$A:$A, HoldSummary!E:E), 0)</f>
        <v>0</v>
      </c>
      <c r="AG155">
        <f>IFERROR(_xlfn.XLOOKUP(B155, HoldSummary!$A:$A, HoldSummary!F:F), 0)</f>
        <v>0</v>
      </c>
      <c r="AH155">
        <f>IFERROR(_xlfn.XLOOKUP(B155, HoldSummary!$A:$A, HoldSummary!G:G), 0)</f>
        <v>7</v>
      </c>
      <c r="AI155">
        <f>IFERROR(_xlfn.XLOOKUP(B155, HoldSummary!$A:$A, HoldSummary!H:H), 0)</f>
        <v>0</v>
      </c>
      <c r="AJ155">
        <f>IFERROR(_xlfn.XLOOKUP(B155, HoldSummary!$A:$A, HoldSummary!I:I), 0)</f>
        <v>0</v>
      </c>
      <c r="AK155">
        <f t="shared" si="25"/>
        <v>7</v>
      </c>
      <c r="AL155">
        <f t="shared" si="26"/>
        <v>87.552094907405262</v>
      </c>
      <c r="AM155">
        <f t="shared" si="27"/>
        <v>19.510428240733745</v>
      </c>
      <c r="AN155" s="12">
        <f t="shared" si="28"/>
        <v>9.7916666666642413</v>
      </c>
      <c r="AO155">
        <f t="shared" si="29"/>
        <v>0</v>
      </c>
    </row>
    <row r="156" spans="1:41" x14ac:dyDescent="0.35">
      <c r="A156" t="s">
        <v>23</v>
      </c>
      <c r="B156" t="s">
        <v>391</v>
      </c>
      <c r="C156" t="s">
        <v>54</v>
      </c>
      <c r="D156" t="s">
        <v>44</v>
      </c>
      <c r="E156" t="s">
        <v>45</v>
      </c>
      <c r="F156" t="s">
        <v>28</v>
      </c>
      <c r="G156">
        <v>4</v>
      </c>
      <c r="H156" t="s">
        <v>392</v>
      </c>
      <c r="I156" t="s">
        <v>30</v>
      </c>
      <c r="J156" t="s">
        <v>31</v>
      </c>
      <c r="K156" t="s">
        <v>38</v>
      </c>
      <c r="L156" t="s">
        <v>39</v>
      </c>
      <c r="N156" s="2">
        <v>45238.538981481484</v>
      </c>
      <c r="O156" s="2">
        <v>45448.166666666664</v>
      </c>
      <c r="P156" s="2">
        <v>45565.166666666664</v>
      </c>
      <c r="Q156" s="2">
        <v>45558</v>
      </c>
      <c r="R156" s="2">
        <v>45559.208717152775</v>
      </c>
      <c r="S156" t="s">
        <v>322</v>
      </c>
      <c r="T156" s="2">
        <v>45259.208333333336</v>
      </c>
      <c r="U156" s="2">
        <v>45348.208333333336</v>
      </c>
      <c r="V156" s="2">
        <v>45348.208333333336</v>
      </c>
      <c r="W156" s="2">
        <v>45464.166666666664</v>
      </c>
      <c r="X156" s="3">
        <f t="shared" si="20"/>
        <v>89</v>
      </c>
      <c r="Y156">
        <f t="shared" si="21"/>
        <v>115.95833333332848</v>
      </c>
      <c r="Z156">
        <f t="shared" si="22"/>
        <v>204.95833333332848</v>
      </c>
      <c r="AA156">
        <f t="shared" si="23"/>
        <v>319.46101851851563</v>
      </c>
      <c r="AB156">
        <f t="shared" si="24"/>
        <v>114.50268518518715</v>
      </c>
      <c r="AC156">
        <f>IFERROR(_xlfn.XLOOKUP(B156, HoldSummary!$A:$A, HoldSummary!B:B), 0)</f>
        <v>0</v>
      </c>
      <c r="AD156">
        <f>IFERROR(_xlfn.XLOOKUP(B156, HoldSummary!$A:$A, HoldSummary!C:C), 0)</f>
        <v>0</v>
      </c>
      <c r="AE156">
        <f>IFERROR(_xlfn.XLOOKUP(B156, HoldSummary!$A:$A, HoldSummary!D:D), 0)</f>
        <v>0</v>
      </c>
      <c r="AF156">
        <f>IFERROR(_xlfn.XLOOKUP(B156, HoldSummary!$A:$A, HoldSummary!E:E), 0)</f>
        <v>0</v>
      </c>
      <c r="AG156">
        <f>IFERROR(_xlfn.XLOOKUP(B156, HoldSummary!$A:$A, HoldSummary!F:F), 0)</f>
        <v>0</v>
      </c>
      <c r="AH156">
        <f>IFERROR(_xlfn.XLOOKUP(B156, HoldSummary!$A:$A, HoldSummary!G:G), 0)</f>
        <v>5</v>
      </c>
      <c r="AI156">
        <f>IFERROR(_xlfn.XLOOKUP(B156, HoldSummary!$A:$A, HoldSummary!H:H), 0)</f>
        <v>0</v>
      </c>
      <c r="AJ156">
        <f>IFERROR(_xlfn.XLOOKUP(B156, HoldSummary!$A:$A, HoldSummary!I:I), 0)</f>
        <v>0</v>
      </c>
      <c r="AK156">
        <f t="shared" si="25"/>
        <v>5</v>
      </c>
      <c r="AL156">
        <f t="shared" si="26"/>
        <v>314.46101851851563</v>
      </c>
      <c r="AM156">
        <f t="shared" si="27"/>
        <v>109.50268518518715</v>
      </c>
      <c r="AN156" s="12">
        <f t="shared" si="28"/>
        <v>109.83333333333576</v>
      </c>
      <c r="AO156">
        <f t="shared" si="29"/>
        <v>0</v>
      </c>
    </row>
    <row r="157" spans="1:41" x14ac:dyDescent="0.35">
      <c r="A157" t="s">
        <v>23</v>
      </c>
      <c r="B157" t="s">
        <v>393</v>
      </c>
      <c r="C157" t="s">
        <v>76</v>
      </c>
      <c r="D157" t="s">
        <v>44</v>
      </c>
      <c r="E157" t="s">
        <v>45</v>
      </c>
      <c r="F157" t="s">
        <v>28</v>
      </c>
      <c r="G157">
        <v>4</v>
      </c>
      <c r="H157" t="s">
        <v>394</v>
      </c>
      <c r="I157" t="s">
        <v>30</v>
      </c>
      <c r="J157" t="s">
        <v>31</v>
      </c>
      <c r="K157" t="s">
        <v>48</v>
      </c>
      <c r="L157" t="s">
        <v>49</v>
      </c>
      <c r="N157" s="2">
        <v>45302.682164351849</v>
      </c>
      <c r="O157" s="2">
        <v>45418.166666666664</v>
      </c>
      <c r="P157" s="2">
        <v>45471.166666666664</v>
      </c>
      <c r="Q157" s="2">
        <v>45473</v>
      </c>
      <c r="R157" s="2">
        <v>45474.559534178239</v>
      </c>
      <c r="S157" t="s">
        <v>306</v>
      </c>
      <c r="T157" s="2">
        <v>45344.208333333336</v>
      </c>
      <c r="U157" s="2">
        <v>45415.166666666664</v>
      </c>
      <c r="V157" s="2">
        <v>45415.166666666664</v>
      </c>
      <c r="W157" s="2">
        <v>45449.166666666664</v>
      </c>
      <c r="X157" s="3">
        <f t="shared" si="20"/>
        <v>70.958333333328483</v>
      </c>
      <c r="Y157">
        <f t="shared" si="21"/>
        <v>34</v>
      </c>
      <c r="Z157">
        <f t="shared" si="22"/>
        <v>104.95833333332848</v>
      </c>
      <c r="AA157">
        <f t="shared" si="23"/>
        <v>170.31783564815123</v>
      </c>
      <c r="AB157">
        <f t="shared" si="24"/>
        <v>65.359502314822748</v>
      </c>
      <c r="AC157">
        <f>IFERROR(_xlfn.XLOOKUP(B157, HoldSummary!$A:$A, HoldSummary!B:B), 0)</f>
        <v>0</v>
      </c>
      <c r="AD157">
        <f>IFERROR(_xlfn.XLOOKUP(B157, HoldSummary!$A:$A, HoldSummary!C:C), 0)</f>
        <v>0</v>
      </c>
      <c r="AE157">
        <f>IFERROR(_xlfn.XLOOKUP(B157, HoldSummary!$A:$A, HoldSummary!D:D), 0)</f>
        <v>0</v>
      </c>
      <c r="AF157">
        <f>IFERROR(_xlfn.XLOOKUP(B157, HoldSummary!$A:$A, HoldSummary!E:E), 0)</f>
        <v>0</v>
      </c>
      <c r="AG157">
        <f>IFERROR(_xlfn.XLOOKUP(B157, HoldSummary!$A:$A, HoldSummary!F:F), 0)</f>
        <v>0</v>
      </c>
      <c r="AH157">
        <f>IFERROR(_xlfn.XLOOKUP(B157, HoldSummary!$A:$A, HoldSummary!G:G), 0)</f>
        <v>15.151072870372445</v>
      </c>
      <c r="AI157">
        <f>IFERROR(_xlfn.XLOOKUP(B157, HoldSummary!$A:$A, HoldSummary!H:H), 0)</f>
        <v>0</v>
      </c>
      <c r="AJ157">
        <f>IFERROR(_xlfn.XLOOKUP(B157, HoldSummary!$A:$A, HoldSummary!I:I), 0)</f>
        <v>0</v>
      </c>
      <c r="AK157">
        <f t="shared" si="25"/>
        <v>15.151072870372445</v>
      </c>
      <c r="AL157">
        <f t="shared" si="26"/>
        <v>155.16676277777879</v>
      </c>
      <c r="AM157">
        <f t="shared" si="27"/>
        <v>50.208429444450303</v>
      </c>
      <c r="AN157" s="12">
        <f t="shared" si="28"/>
        <v>54.833333333335759</v>
      </c>
      <c r="AO157">
        <f t="shared" si="29"/>
        <v>0</v>
      </c>
    </row>
    <row r="158" spans="1:41" x14ac:dyDescent="0.35">
      <c r="A158" t="s">
        <v>23</v>
      </c>
      <c r="B158" t="s">
        <v>395</v>
      </c>
      <c r="C158" t="s">
        <v>76</v>
      </c>
      <c r="D158" t="s">
        <v>44</v>
      </c>
      <c r="E158" t="s">
        <v>45</v>
      </c>
      <c r="F158" t="s">
        <v>28</v>
      </c>
      <c r="G158">
        <v>4</v>
      </c>
      <c r="H158" t="s">
        <v>396</v>
      </c>
      <c r="I158" t="s">
        <v>30</v>
      </c>
      <c r="J158" t="s">
        <v>31</v>
      </c>
      <c r="K158" t="s">
        <v>32</v>
      </c>
      <c r="L158" t="s">
        <v>39</v>
      </c>
      <c r="N158" s="2">
        <v>45348.659247685187</v>
      </c>
      <c r="O158" s="2">
        <v>45398.166666666664</v>
      </c>
      <c r="P158" s="2">
        <v>45434.166666666664</v>
      </c>
      <c r="Q158" s="2">
        <v>45432</v>
      </c>
      <c r="R158" s="2">
        <v>45432.856280057873</v>
      </c>
      <c r="S158" t="s">
        <v>226</v>
      </c>
      <c r="T158" s="2">
        <v>45358.208333333336</v>
      </c>
      <c r="U158" s="2">
        <v>45415.166666666664</v>
      </c>
      <c r="V158" s="2">
        <v>45415.166666666664</v>
      </c>
      <c r="W158" s="2">
        <v>45420.166666666664</v>
      </c>
      <c r="X158" s="3">
        <f t="shared" si="20"/>
        <v>56.958333333328483</v>
      </c>
      <c r="Y158">
        <f t="shared" si="21"/>
        <v>5</v>
      </c>
      <c r="Z158">
        <f t="shared" si="22"/>
        <v>61.958333333328483</v>
      </c>
      <c r="AA158">
        <f t="shared" si="23"/>
        <v>83.340752314812562</v>
      </c>
      <c r="AB158">
        <f t="shared" si="24"/>
        <v>21.382418981484079</v>
      </c>
      <c r="AC158">
        <f>IFERROR(_xlfn.XLOOKUP(B158, HoldSummary!$A:$A, HoldSummary!B:B), 0)</f>
        <v>0</v>
      </c>
      <c r="AD158">
        <f>IFERROR(_xlfn.XLOOKUP(B158, HoldSummary!$A:$A, HoldSummary!C:C), 0)</f>
        <v>0</v>
      </c>
      <c r="AE158">
        <f>IFERROR(_xlfn.XLOOKUP(B158, HoldSummary!$A:$A, HoldSummary!D:D), 0)</f>
        <v>0</v>
      </c>
      <c r="AF158">
        <f>IFERROR(_xlfn.XLOOKUP(B158, HoldSummary!$A:$A, HoldSummary!E:E), 0)</f>
        <v>0</v>
      </c>
      <c r="AG158">
        <f>IFERROR(_xlfn.XLOOKUP(B158, HoldSummary!$A:$A, HoldSummary!F:F), 0)</f>
        <v>0</v>
      </c>
      <c r="AH158">
        <f>IFERROR(_xlfn.XLOOKUP(B158, HoldSummary!$A:$A, HoldSummary!G:G), 0)</f>
        <v>0</v>
      </c>
      <c r="AI158">
        <f>IFERROR(_xlfn.XLOOKUP(B158, HoldSummary!$A:$A, HoldSummary!H:H), 0)</f>
        <v>0</v>
      </c>
      <c r="AJ158">
        <f>IFERROR(_xlfn.XLOOKUP(B158, HoldSummary!$A:$A, HoldSummary!I:I), 0)</f>
        <v>0</v>
      </c>
      <c r="AK158">
        <f t="shared" si="25"/>
        <v>0</v>
      </c>
      <c r="AL158">
        <f t="shared" si="26"/>
        <v>83.340752314812562</v>
      </c>
      <c r="AM158">
        <f t="shared" si="27"/>
        <v>21.382418981484079</v>
      </c>
      <c r="AN158" s="12">
        <f t="shared" si="28"/>
        <v>33.833333333335759</v>
      </c>
      <c r="AO158">
        <f t="shared" si="29"/>
        <v>0</v>
      </c>
    </row>
    <row r="159" spans="1:41" x14ac:dyDescent="0.35">
      <c r="A159" t="s">
        <v>23</v>
      </c>
      <c r="B159" t="s">
        <v>397</v>
      </c>
      <c r="C159" t="s">
        <v>43</v>
      </c>
      <c r="D159" t="s">
        <v>44</v>
      </c>
      <c r="E159" t="s">
        <v>45</v>
      </c>
      <c r="F159" t="s">
        <v>28</v>
      </c>
      <c r="G159">
        <v>4</v>
      </c>
      <c r="H159" t="s">
        <v>398</v>
      </c>
      <c r="I159" t="s">
        <v>30</v>
      </c>
      <c r="J159" t="s">
        <v>70</v>
      </c>
      <c r="K159" t="s">
        <v>48</v>
      </c>
      <c r="L159" t="s">
        <v>192</v>
      </c>
      <c r="N159" s="2">
        <v>45364.651805555557</v>
      </c>
      <c r="O159" s="2">
        <v>45415.166666666664</v>
      </c>
      <c r="P159" s="2">
        <v>45411.166666666664</v>
      </c>
      <c r="Q159" s="2">
        <v>45411</v>
      </c>
      <c r="R159" s="2">
        <v>45411.731081319442</v>
      </c>
      <c r="S159" t="s">
        <v>399</v>
      </c>
      <c r="T159" s="2"/>
      <c r="U159" s="2"/>
      <c r="V159" s="2"/>
      <c r="W159" s="2"/>
      <c r="X159" s="3" t="str">
        <f t="shared" si="20"/>
        <v/>
      </c>
      <c r="Y159" t="str">
        <f t="shared" si="21"/>
        <v/>
      </c>
      <c r="Z159">
        <f t="shared" si="22"/>
        <v>0</v>
      </c>
      <c r="AA159">
        <f t="shared" si="23"/>
        <v>46.348194444442925</v>
      </c>
      <c r="AB159">
        <f t="shared" si="24"/>
        <v>46.348194444442925</v>
      </c>
      <c r="AC159">
        <f>IFERROR(_xlfn.XLOOKUP(B159, HoldSummary!$A:$A, HoldSummary!B:B), 0)</f>
        <v>0</v>
      </c>
      <c r="AD159">
        <f>IFERROR(_xlfn.XLOOKUP(B159, HoldSummary!$A:$A, HoldSummary!C:C), 0)</f>
        <v>0</v>
      </c>
      <c r="AE159">
        <f>IFERROR(_xlfn.XLOOKUP(B159, HoldSummary!$A:$A, HoldSummary!D:D), 0)</f>
        <v>0</v>
      </c>
      <c r="AF159">
        <f>IFERROR(_xlfn.XLOOKUP(B159, HoldSummary!$A:$A, HoldSummary!E:E), 0)</f>
        <v>0</v>
      </c>
      <c r="AG159">
        <f>IFERROR(_xlfn.XLOOKUP(B159, HoldSummary!$A:$A, HoldSummary!F:F), 0)</f>
        <v>0</v>
      </c>
      <c r="AH159">
        <f>IFERROR(_xlfn.XLOOKUP(B159, HoldSummary!$A:$A, HoldSummary!G:G), 0)</f>
        <v>0</v>
      </c>
      <c r="AI159">
        <f>IFERROR(_xlfn.XLOOKUP(B159, HoldSummary!$A:$A, HoldSummary!H:H), 0)</f>
        <v>0</v>
      </c>
      <c r="AJ159">
        <f>IFERROR(_xlfn.XLOOKUP(B159, HoldSummary!$A:$A, HoldSummary!I:I), 0)</f>
        <v>0</v>
      </c>
      <c r="AK159">
        <f t="shared" si="25"/>
        <v>0</v>
      </c>
      <c r="AL159">
        <f t="shared" si="26"/>
        <v>46.348194444442925</v>
      </c>
      <c r="AM159">
        <f t="shared" si="27"/>
        <v>46.348194444442925</v>
      </c>
      <c r="AN159" s="12">
        <f t="shared" si="28"/>
        <v>-4.1666666666642413</v>
      </c>
      <c r="AO159">
        <f t="shared" si="29"/>
        <v>1</v>
      </c>
    </row>
    <row r="160" spans="1:41" x14ac:dyDescent="0.35">
      <c r="A160" t="s">
        <v>23</v>
      </c>
      <c r="B160" t="s">
        <v>400</v>
      </c>
      <c r="C160" t="s">
        <v>54</v>
      </c>
      <c r="D160" t="s">
        <v>44</v>
      </c>
      <c r="E160" t="s">
        <v>45</v>
      </c>
      <c r="F160" t="s">
        <v>28</v>
      </c>
      <c r="G160">
        <v>4</v>
      </c>
      <c r="H160" t="s">
        <v>401</v>
      </c>
      <c r="I160" t="s">
        <v>30</v>
      </c>
      <c r="J160" t="s">
        <v>70</v>
      </c>
      <c r="K160" t="s">
        <v>38</v>
      </c>
      <c r="N160" s="2">
        <v>45387.741597222222</v>
      </c>
      <c r="O160" s="2">
        <v>45450.166666666664</v>
      </c>
      <c r="P160" s="2">
        <v>45527.166666666664</v>
      </c>
      <c r="Q160" s="2">
        <v>45419</v>
      </c>
      <c r="R160" s="2">
        <v>45420.55133141204</v>
      </c>
      <c r="S160" t="s">
        <v>226</v>
      </c>
      <c r="T160" s="2"/>
      <c r="U160" s="2"/>
      <c r="V160" s="2"/>
      <c r="W160" s="2"/>
      <c r="X160" s="3" t="str">
        <f t="shared" si="20"/>
        <v/>
      </c>
      <c r="Y160" t="str">
        <f t="shared" si="21"/>
        <v/>
      </c>
      <c r="Z160">
        <f t="shared" si="22"/>
        <v>0</v>
      </c>
      <c r="AA160">
        <f t="shared" si="23"/>
        <v>31.258402777777519</v>
      </c>
      <c r="AB160">
        <f t="shared" si="24"/>
        <v>31.258402777777519</v>
      </c>
      <c r="AC160">
        <f>IFERROR(_xlfn.XLOOKUP(B160, HoldSummary!$A:$A, HoldSummary!B:B), 0)</f>
        <v>0</v>
      </c>
      <c r="AD160">
        <f>IFERROR(_xlfn.XLOOKUP(B160, HoldSummary!$A:$A, HoldSummary!C:C), 0)</f>
        <v>0</v>
      </c>
      <c r="AE160">
        <f>IFERROR(_xlfn.XLOOKUP(B160, HoldSummary!$A:$A, HoldSummary!D:D), 0)</f>
        <v>0</v>
      </c>
      <c r="AF160">
        <f>IFERROR(_xlfn.XLOOKUP(B160, HoldSummary!$A:$A, HoldSummary!E:E), 0)</f>
        <v>0</v>
      </c>
      <c r="AG160">
        <f>IFERROR(_xlfn.XLOOKUP(B160, HoldSummary!$A:$A, HoldSummary!F:F), 0)</f>
        <v>0</v>
      </c>
      <c r="AH160">
        <f>IFERROR(_xlfn.XLOOKUP(B160, HoldSummary!$A:$A, HoldSummary!G:G), 0)</f>
        <v>0</v>
      </c>
      <c r="AI160">
        <f>IFERROR(_xlfn.XLOOKUP(B160, HoldSummary!$A:$A, HoldSummary!H:H), 0)</f>
        <v>0</v>
      </c>
      <c r="AJ160">
        <f>IFERROR(_xlfn.XLOOKUP(B160, HoldSummary!$A:$A, HoldSummary!I:I), 0)</f>
        <v>0</v>
      </c>
      <c r="AK160">
        <f t="shared" si="25"/>
        <v>0</v>
      </c>
      <c r="AL160">
        <f t="shared" si="26"/>
        <v>31.258402777777519</v>
      </c>
      <c r="AM160">
        <f t="shared" si="27"/>
        <v>31.258402777777519</v>
      </c>
      <c r="AN160" s="12">
        <f t="shared" si="28"/>
        <v>-31.166666666664241</v>
      </c>
      <c r="AO160">
        <f t="shared" si="29"/>
        <v>1</v>
      </c>
    </row>
    <row r="161" spans="1:41" x14ac:dyDescent="0.35">
      <c r="A161" t="s">
        <v>23</v>
      </c>
      <c r="B161">
        <v>105360</v>
      </c>
      <c r="C161" t="s">
        <v>113</v>
      </c>
      <c r="D161" t="s">
        <v>44</v>
      </c>
      <c r="E161" t="s">
        <v>55</v>
      </c>
      <c r="F161" t="s">
        <v>28</v>
      </c>
      <c r="G161">
        <v>4</v>
      </c>
      <c r="H161" t="s">
        <v>402</v>
      </c>
      <c r="I161" t="s">
        <v>30</v>
      </c>
      <c r="J161" t="s">
        <v>31</v>
      </c>
      <c r="K161" t="s">
        <v>57</v>
      </c>
      <c r="L161" t="s">
        <v>39</v>
      </c>
      <c r="N161" s="2">
        <v>45399.166666666664</v>
      </c>
      <c r="O161" s="2">
        <v>45440.166666666664</v>
      </c>
      <c r="P161" s="2">
        <v>45440.166666666664</v>
      </c>
      <c r="Q161" s="2">
        <v>45433</v>
      </c>
      <c r="R161" s="2">
        <v>45434.529205289349</v>
      </c>
      <c r="T161" s="2">
        <v>45418.166666666664</v>
      </c>
      <c r="U161" s="2">
        <v>45419.166666666664</v>
      </c>
      <c r="V161" s="2">
        <v>45419.166666666664</v>
      </c>
      <c r="W161" s="2">
        <v>45421.166666666664</v>
      </c>
      <c r="X161" s="3">
        <f t="shared" si="20"/>
        <v>1</v>
      </c>
      <c r="Y161">
        <f t="shared" si="21"/>
        <v>2</v>
      </c>
      <c r="Z161">
        <f t="shared" si="22"/>
        <v>3</v>
      </c>
      <c r="AA161">
        <f t="shared" si="23"/>
        <v>33.833333333335759</v>
      </c>
      <c r="AB161">
        <f t="shared" si="24"/>
        <v>30.833333333335759</v>
      </c>
      <c r="AC161">
        <f>IFERROR(_xlfn.XLOOKUP(B161, HoldSummary!$A:$A, HoldSummary!B:B), 0)</f>
        <v>0</v>
      </c>
      <c r="AD161">
        <f>IFERROR(_xlfn.XLOOKUP(B161, HoldSummary!$A:$A, HoldSummary!C:C), 0)</f>
        <v>0</v>
      </c>
      <c r="AE161">
        <f>IFERROR(_xlfn.XLOOKUP(B161, HoldSummary!$A:$A, HoldSummary!D:D), 0)</f>
        <v>0</v>
      </c>
      <c r="AF161">
        <f>IFERROR(_xlfn.XLOOKUP(B161, HoldSummary!$A:$A, HoldSummary!E:E), 0)</f>
        <v>0</v>
      </c>
      <c r="AG161">
        <f>IFERROR(_xlfn.XLOOKUP(B161, HoldSummary!$A:$A, HoldSummary!F:F), 0)</f>
        <v>0</v>
      </c>
      <c r="AH161">
        <f>IFERROR(_xlfn.XLOOKUP(B161, HoldSummary!$A:$A, HoldSummary!G:G), 0)</f>
        <v>1</v>
      </c>
      <c r="AI161">
        <f>IFERROR(_xlfn.XLOOKUP(B161, HoldSummary!$A:$A, HoldSummary!H:H), 0)</f>
        <v>0</v>
      </c>
      <c r="AJ161">
        <f>IFERROR(_xlfn.XLOOKUP(B161, HoldSummary!$A:$A, HoldSummary!I:I), 0)</f>
        <v>0</v>
      </c>
      <c r="AK161">
        <f t="shared" si="25"/>
        <v>1</v>
      </c>
      <c r="AL161">
        <f t="shared" si="26"/>
        <v>32.833333333335759</v>
      </c>
      <c r="AM161">
        <f t="shared" si="27"/>
        <v>29.833333333335759</v>
      </c>
      <c r="AN161" s="12">
        <f t="shared" si="28"/>
        <v>-7.1666666666642413</v>
      </c>
      <c r="AO161">
        <f t="shared" si="29"/>
        <v>1</v>
      </c>
    </row>
    <row r="162" spans="1:41" x14ac:dyDescent="0.35">
      <c r="A162" t="s">
        <v>23</v>
      </c>
      <c r="B162" t="s">
        <v>403</v>
      </c>
      <c r="C162" t="s">
        <v>43</v>
      </c>
      <c r="D162" t="s">
        <v>44</v>
      </c>
      <c r="E162" t="s">
        <v>45</v>
      </c>
      <c r="F162" t="s">
        <v>28</v>
      </c>
      <c r="G162">
        <v>4</v>
      </c>
      <c r="H162" t="s">
        <v>404</v>
      </c>
      <c r="I162" t="s">
        <v>30</v>
      </c>
      <c r="J162" t="s">
        <v>31</v>
      </c>
      <c r="K162" t="s">
        <v>38</v>
      </c>
      <c r="L162" t="s">
        <v>39</v>
      </c>
      <c r="M162" t="s">
        <v>81</v>
      </c>
      <c r="N162" s="2">
        <v>45426.719849537039</v>
      </c>
      <c r="O162" s="2">
        <v>45457.166666666664</v>
      </c>
      <c r="P162" s="2">
        <v>45447.166666666664</v>
      </c>
      <c r="Q162" s="2">
        <v>45448</v>
      </c>
      <c r="R162" s="2">
        <v>45449.505600277778</v>
      </c>
      <c r="S162" t="s">
        <v>306</v>
      </c>
      <c r="T162" s="2">
        <v>45433.166666666664</v>
      </c>
      <c r="U162" s="2">
        <v>45435.166666666664</v>
      </c>
      <c r="V162" s="2">
        <v>45435.166666666664</v>
      </c>
      <c r="W162" s="2">
        <v>45442.166666666664</v>
      </c>
      <c r="X162" s="3">
        <f t="shared" si="20"/>
        <v>2</v>
      </c>
      <c r="Y162">
        <f t="shared" si="21"/>
        <v>7</v>
      </c>
      <c r="Z162">
        <f t="shared" si="22"/>
        <v>9</v>
      </c>
      <c r="AA162">
        <f t="shared" si="23"/>
        <v>21.280150462960592</v>
      </c>
      <c r="AB162">
        <f t="shared" si="24"/>
        <v>12.280150462960592</v>
      </c>
      <c r="AC162">
        <f>IFERROR(_xlfn.XLOOKUP(B162, HoldSummary!$A:$A, HoldSummary!B:B), 0)</f>
        <v>0</v>
      </c>
      <c r="AD162">
        <f>IFERROR(_xlfn.XLOOKUP(B162, HoldSummary!$A:$A, HoldSummary!C:C), 0)</f>
        <v>0</v>
      </c>
      <c r="AE162">
        <f>IFERROR(_xlfn.XLOOKUP(B162, HoldSummary!$A:$A, HoldSummary!D:D), 0)</f>
        <v>0</v>
      </c>
      <c r="AF162">
        <f>IFERROR(_xlfn.XLOOKUP(B162, HoldSummary!$A:$A, HoldSummary!E:E), 0)</f>
        <v>0</v>
      </c>
      <c r="AG162">
        <f>IFERROR(_xlfn.XLOOKUP(B162, HoldSummary!$A:$A, HoldSummary!F:F), 0)</f>
        <v>0</v>
      </c>
      <c r="AH162">
        <f>IFERROR(_xlfn.XLOOKUP(B162, HoldSummary!$A:$A, HoldSummary!G:G), 0)</f>
        <v>0</v>
      </c>
      <c r="AI162">
        <f>IFERROR(_xlfn.XLOOKUP(B162, HoldSummary!$A:$A, HoldSummary!H:H), 0)</f>
        <v>0</v>
      </c>
      <c r="AJ162">
        <f>IFERROR(_xlfn.XLOOKUP(B162, HoldSummary!$A:$A, HoldSummary!I:I), 0)</f>
        <v>0</v>
      </c>
      <c r="AK162">
        <f t="shared" si="25"/>
        <v>0</v>
      </c>
      <c r="AL162">
        <f t="shared" si="26"/>
        <v>21.280150462960592</v>
      </c>
      <c r="AM162">
        <f t="shared" si="27"/>
        <v>12.280150462960592</v>
      </c>
      <c r="AN162" s="12">
        <f t="shared" si="28"/>
        <v>-9.1666666666642413</v>
      </c>
      <c r="AO162">
        <f t="shared" si="29"/>
        <v>1</v>
      </c>
    </row>
    <row r="163" spans="1:41" x14ac:dyDescent="0.35">
      <c r="A163" t="s">
        <v>23</v>
      </c>
      <c r="B163" t="s">
        <v>405</v>
      </c>
      <c r="C163" t="s">
        <v>244</v>
      </c>
      <c r="D163" t="s">
        <v>44</v>
      </c>
      <c r="E163" t="s">
        <v>44</v>
      </c>
      <c r="F163" t="s">
        <v>28</v>
      </c>
      <c r="G163">
        <v>4</v>
      </c>
      <c r="H163" t="s">
        <v>406</v>
      </c>
      <c r="I163" t="s">
        <v>30</v>
      </c>
      <c r="J163" t="s">
        <v>208</v>
      </c>
      <c r="K163" t="s">
        <v>48</v>
      </c>
      <c r="L163" t="s">
        <v>49</v>
      </c>
      <c r="N163" s="2">
        <v>45302.208333333336</v>
      </c>
      <c r="O163" s="2">
        <v>45527.166666666664</v>
      </c>
      <c r="P163" s="2">
        <v>45702.208333333336</v>
      </c>
      <c r="Q163" s="2">
        <v>45699</v>
      </c>
      <c r="R163" s="2">
        <v>45699.811427337962</v>
      </c>
      <c r="S163" t="s">
        <v>407</v>
      </c>
      <c r="T163" s="2">
        <v>45491.166666666664</v>
      </c>
      <c r="U163" s="2">
        <v>45492.166666666664</v>
      </c>
      <c r="V163" s="2">
        <v>45492.166666666664</v>
      </c>
      <c r="W163" s="2">
        <v>45585.166666666664</v>
      </c>
      <c r="X163" s="3">
        <f t="shared" si="20"/>
        <v>1</v>
      </c>
      <c r="Y163">
        <f t="shared" si="21"/>
        <v>93</v>
      </c>
      <c r="Z163">
        <f t="shared" si="22"/>
        <v>94</v>
      </c>
      <c r="AA163">
        <f t="shared" si="23"/>
        <v>396.79166666666424</v>
      </c>
      <c r="AB163">
        <f t="shared" si="24"/>
        <v>302.79166666666424</v>
      </c>
      <c r="AC163">
        <f>IFERROR(_xlfn.XLOOKUP(B163, HoldSummary!$A:$A, HoldSummary!B:B), 0)</f>
        <v>0</v>
      </c>
      <c r="AD163">
        <f>IFERROR(_xlfn.XLOOKUP(B163, HoldSummary!$A:$A, HoldSummary!C:C), 0)</f>
        <v>0</v>
      </c>
      <c r="AE163">
        <f>IFERROR(_xlfn.XLOOKUP(B163, HoldSummary!$A:$A, HoldSummary!D:D), 0)</f>
        <v>0</v>
      </c>
      <c r="AF163">
        <f>IFERROR(_xlfn.XLOOKUP(B163, HoldSummary!$A:$A, HoldSummary!E:E), 0)</f>
        <v>0</v>
      </c>
      <c r="AG163">
        <f>IFERROR(_xlfn.XLOOKUP(B163, HoldSummary!$A:$A, HoldSummary!F:F), 0)</f>
        <v>0</v>
      </c>
      <c r="AH163">
        <f>IFERROR(_xlfn.XLOOKUP(B163, HoldSummary!$A:$A, HoldSummary!G:G), 0)</f>
        <v>0</v>
      </c>
      <c r="AI163">
        <f>IFERROR(_xlfn.XLOOKUP(B163, HoldSummary!$A:$A, HoldSummary!H:H), 0)</f>
        <v>0</v>
      </c>
      <c r="AJ163">
        <f>IFERROR(_xlfn.XLOOKUP(B163, HoldSummary!$A:$A, HoldSummary!I:I), 0)</f>
        <v>0</v>
      </c>
      <c r="AK163">
        <f t="shared" si="25"/>
        <v>0</v>
      </c>
      <c r="AL163">
        <f t="shared" si="26"/>
        <v>396.79166666666424</v>
      </c>
      <c r="AM163">
        <f t="shared" si="27"/>
        <v>302.79166666666424</v>
      </c>
      <c r="AN163" s="12">
        <f t="shared" si="28"/>
        <v>171.83333333333576</v>
      </c>
      <c r="AO163">
        <f t="shared" si="29"/>
        <v>0</v>
      </c>
    </row>
    <row r="164" spans="1:41" x14ac:dyDescent="0.35">
      <c r="A164" t="s">
        <v>23</v>
      </c>
      <c r="B164" t="s">
        <v>408</v>
      </c>
      <c r="C164" t="s">
        <v>409</v>
      </c>
      <c r="D164" t="s">
        <v>44</v>
      </c>
      <c r="E164" t="s">
        <v>44</v>
      </c>
      <c r="F164" t="s">
        <v>28</v>
      </c>
      <c r="G164">
        <v>4</v>
      </c>
      <c r="H164" t="s">
        <v>410</v>
      </c>
      <c r="I164" t="s">
        <v>30</v>
      </c>
      <c r="J164" t="s">
        <v>70</v>
      </c>
      <c r="K164" t="s">
        <v>48</v>
      </c>
      <c r="L164" t="s">
        <v>192</v>
      </c>
      <c r="M164" t="s">
        <v>33</v>
      </c>
      <c r="N164" s="2">
        <v>45798.166666666664</v>
      </c>
      <c r="O164" s="2">
        <v>45877.166666666664</v>
      </c>
      <c r="P164" s="2">
        <v>45877.166666666664</v>
      </c>
      <c r="Q164" s="2">
        <v>45856</v>
      </c>
      <c r="R164" s="2">
        <v>45859.662746423608</v>
      </c>
      <c r="S164" t="s">
        <v>411</v>
      </c>
      <c r="T164" s="2">
        <v>45810.166666666664</v>
      </c>
      <c r="U164" s="2">
        <v>45810.166666666664</v>
      </c>
      <c r="V164" s="2">
        <v>45854.166666666664</v>
      </c>
      <c r="W164" s="2">
        <v>45854.166666666664</v>
      </c>
      <c r="X164" s="3">
        <f t="shared" si="20"/>
        <v>0</v>
      </c>
      <c r="Y164">
        <f t="shared" si="21"/>
        <v>0</v>
      </c>
      <c r="Z164">
        <f t="shared" si="22"/>
        <v>0</v>
      </c>
      <c r="AA164">
        <f t="shared" si="23"/>
        <v>57.833333333335759</v>
      </c>
      <c r="AB164">
        <f t="shared" si="24"/>
        <v>57.833333333335759</v>
      </c>
      <c r="AC164">
        <f>IFERROR(_xlfn.XLOOKUP(B164, HoldSummary!$A:$A, HoldSummary!B:B), 0)</f>
        <v>0</v>
      </c>
      <c r="AD164">
        <f>IFERROR(_xlfn.XLOOKUP(B164, HoldSummary!$A:$A, HoldSummary!C:C), 0)</f>
        <v>0</v>
      </c>
      <c r="AE164">
        <f>IFERROR(_xlfn.XLOOKUP(B164, HoldSummary!$A:$A, HoldSummary!D:D), 0)</f>
        <v>0</v>
      </c>
      <c r="AF164">
        <f>IFERROR(_xlfn.XLOOKUP(B164, HoldSummary!$A:$A, HoldSummary!E:E), 0)</f>
        <v>0</v>
      </c>
      <c r="AG164">
        <f>IFERROR(_xlfn.XLOOKUP(B164, HoldSummary!$A:$A, HoldSummary!F:F), 0)</f>
        <v>0</v>
      </c>
      <c r="AH164">
        <f>IFERROR(_xlfn.XLOOKUP(B164, HoldSummary!$A:$A, HoldSummary!G:G), 0)</f>
        <v>0</v>
      </c>
      <c r="AI164">
        <f>IFERROR(_xlfn.XLOOKUP(B164, HoldSummary!$A:$A, HoldSummary!H:H), 0)</f>
        <v>0</v>
      </c>
      <c r="AJ164">
        <f>IFERROR(_xlfn.XLOOKUP(B164, HoldSummary!$A:$A, HoldSummary!I:I), 0)</f>
        <v>0</v>
      </c>
      <c r="AK164">
        <f t="shared" si="25"/>
        <v>0</v>
      </c>
      <c r="AL164">
        <f t="shared" si="26"/>
        <v>57.833333333335759</v>
      </c>
      <c r="AM164">
        <f t="shared" si="27"/>
        <v>57.833333333335759</v>
      </c>
      <c r="AN164" s="12">
        <f t="shared" si="28"/>
        <v>-21.166666666664241</v>
      </c>
      <c r="AO164">
        <f t="shared" si="29"/>
        <v>1</v>
      </c>
    </row>
    <row r="165" spans="1:41" x14ac:dyDescent="0.35">
      <c r="A165" t="s">
        <v>23</v>
      </c>
      <c r="B165" t="s">
        <v>412</v>
      </c>
      <c r="C165" t="s">
        <v>54</v>
      </c>
      <c r="D165" t="s">
        <v>44</v>
      </c>
      <c r="E165" t="s">
        <v>45</v>
      </c>
      <c r="F165" t="s">
        <v>28</v>
      </c>
      <c r="G165">
        <v>5</v>
      </c>
      <c r="H165" t="s">
        <v>413</v>
      </c>
      <c r="I165" t="s">
        <v>30</v>
      </c>
      <c r="J165" t="s">
        <v>70</v>
      </c>
      <c r="K165" t="s">
        <v>349</v>
      </c>
      <c r="L165" t="s">
        <v>414</v>
      </c>
      <c r="N165" s="2">
        <v>44974.907048611109</v>
      </c>
      <c r="O165" s="2">
        <v>45156.166666666664</v>
      </c>
      <c r="P165" s="2">
        <v>45337.208333333336</v>
      </c>
      <c r="Q165" s="2">
        <v>45351</v>
      </c>
      <c r="R165" s="2">
        <v>45351.821609664352</v>
      </c>
      <c r="S165" t="s">
        <v>415</v>
      </c>
      <c r="T165" s="2"/>
      <c r="U165" s="2"/>
      <c r="V165" s="2"/>
      <c r="W165" s="2"/>
      <c r="X165" s="3" t="str">
        <f t="shared" si="20"/>
        <v/>
      </c>
      <c r="Y165" t="str">
        <f t="shared" si="21"/>
        <v/>
      </c>
      <c r="Z165">
        <f t="shared" si="22"/>
        <v>0</v>
      </c>
      <c r="AA165">
        <f t="shared" si="23"/>
        <v>376.09295138889138</v>
      </c>
      <c r="AB165">
        <f t="shared" si="24"/>
        <v>376.09295138889138</v>
      </c>
      <c r="AC165">
        <f>IFERROR(_xlfn.XLOOKUP(B165, HoldSummary!$A:$A, HoldSummary!B:B), 0)</f>
        <v>0</v>
      </c>
      <c r="AD165">
        <f>IFERROR(_xlfn.XLOOKUP(B165, HoldSummary!$A:$A, HoldSummary!C:C), 0)</f>
        <v>0</v>
      </c>
      <c r="AE165">
        <f>IFERROR(_xlfn.XLOOKUP(B165, HoldSummary!$A:$A, HoldSummary!D:D), 0)</f>
        <v>0</v>
      </c>
      <c r="AF165">
        <f>IFERROR(_xlfn.XLOOKUP(B165, HoldSummary!$A:$A, HoldSummary!E:E), 0)</f>
        <v>0</v>
      </c>
      <c r="AG165">
        <f>IFERROR(_xlfn.XLOOKUP(B165, HoldSummary!$A:$A, HoldSummary!F:F), 0)</f>
        <v>0</v>
      </c>
      <c r="AH165">
        <f>IFERROR(_xlfn.XLOOKUP(B165, HoldSummary!$A:$A, HoldSummary!G:G), 0)</f>
        <v>0</v>
      </c>
      <c r="AI165">
        <f>IFERROR(_xlfn.XLOOKUP(B165, HoldSummary!$A:$A, HoldSummary!H:H), 0)</f>
        <v>0</v>
      </c>
      <c r="AJ165">
        <f>IFERROR(_xlfn.XLOOKUP(B165, HoldSummary!$A:$A, HoldSummary!I:I), 0)</f>
        <v>0</v>
      </c>
      <c r="AK165">
        <f t="shared" si="25"/>
        <v>0</v>
      </c>
      <c r="AL165">
        <f t="shared" si="26"/>
        <v>376.09295138889138</v>
      </c>
      <c r="AM165">
        <f t="shared" si="27"/>
        <v>376.09295138889138</v>
      </c>
      <c r="AN165" s="12">
        <f t="shared" si="28"/>
        <v>194.83333333333576</v>
      </c>
      <c r="AO165">
        <f t="shared" si="29"/>
        <v>0</v>
      </c>
    </row>
    <row r="166" spans="1:41" x14ac:dyDescent="0.35">
      <c r="A166" t="s">
        <v>23</v>
      </c>
      <c r="B166" t="s">
        <v>416</v>
      </c>
      <c r="C166" t="s">
        <v>43</v>
      </c>
      <c r="D166" t="s">
        <v>44</v>
      </c>
      <c r="E166" t="s">
        <v>45</v>
      </c>
      <c r="F166" t="s">
        <v>28</v>
      </c>
      <c r="G166">
        <v>5</v>
      </c>
      <c r="H166" t="s">
        <v>417</v>
      </c>
      <c r="I166" t="s">
        <v>30</v>
      </c>
      <c r="J166" t="s">
        <v>70</v>
      </c>
      <c r="K166" t="s">
        <v>48</v>
      </c>
      <c r="L166" t="s">
        <v>49</v>
      </c>
      <c r="N166" s="2">
        <v>45036.762048611112</v>
      </c>
      <c r="O166" s="2">
        <v>45058.166666666664</v>
      </c>
      <c r="P166" s="2">
        <v>45282.208333333336</v>
      </c>
      <c r="Q166" s="2">
        <v>45293</v>
      </c>
      <c r="R166" s="2">
        <v>45293.867001678242</v>
      </c>
      <c r="T166" s="2">
        <v>45104.166666666664</v>
      </c>
      <c r="U166" s="2">
        <v>45107.166666666664</v>
      </c>
      <c r="V166" s="2">
        <v>45107.166666666664</v>
      </c>
      <c r="W166" s="2">
        <v>45274.208333333336</v>
      </c>
      <c r="X166" s="3">
        <f t="shared" si="20"/>
        <v>3</v>
      </c>
      <c r="Y166">
        <f t="shared" si="21"/>
        <v>167.04166666667152</v>
      </c>
      <c r="Z166">
        <f t="shared" si="22"/>
        <v>170.04166666667152</v>
      </c>
      <c r="AA166">
        <f t="shared" si="23"/>
        <v>256.23795138888818</v>
      </c>
      <c r="AB166">
        <f t="shared" si="24"/>
        <v>86.19628472221666</v>
      </c>
      <c r="AC166">
        <f>IFERROR(_xlfn.XLOOKUP(B166, HoldSummary!$A:$A, HoldSummary!B:B), 0)</f>
        <v>0</v>
      </c>
      <c r="AD166">
        <f>IFERROR(_xlfn.XLOOKUP(B166, HoldSummary!$A:$A, HoldSummary!C:C), 0)</f>
        <v>0</v>
      </c>
      <c r="AE166">
        <f>IFERROR(_xlfn.XLOOKUP(B166, HoldSummary!$A:$A, HoldSummary!D:D), 0)</f>
        <v>0</v>
      </c>
      <c r="AF166">
        <f>IFERROR(_xlfn.XLOOKUP(B166, HoldSummary!$A:$A, HoldSummary!E:E), 0)</f>
        <v>0</v>
      </c>
      <c r="AG166">
        <f>IFERROR(_xlfn.XLOOKUP(B166, HoldSummary!$A:$A, HoldSummary!F:F), 0)</f>
        <v>0</v>
      </c>
      <c r="AH166">
        <f>IFERROR(_xlfn.XLOOKUP(B166, HoldSummary!$A:$A, HoldSummary!G:G), 0)</f>
        <v>0</v>
      </c>
      <c r="AI166">
        <f>IFERROR(_xlfn.XLOOKUP(B166, HoldSummary!$A:$A, HoldSummary!H:H), 0)</f>
        <v>135.08897734954371</v>
      </c>
      <c r="AJ166">
        <f>IFERROR(_xlfn.XLOOKUP(B166, HoldSummary!$A:$A, HoldSummary!I:I), 0)</f>
        <v>0</v>
      </c>
      <c r="AK166">
        <f t="shared" si="25"/>
        <v>135.08897734954371</v>
      </c>
      <c r="AL166">
        <f t="shared" si="26"/>
        <v>121.14897403934447</v>
      </c>
      <c r="AM166">
        <f t="shared" si="27"/>
        <v>-48.892692627327051</v>
      </c>
      <c r="AN166" s="12">
        <f t="shared" si="28"/>
        <v>234.83333333333576</v>
      </c>
      <c r="AO166">
        <f t="shared" si="29"/>
        <v>0</v>
      </c>
    </row>
    <row r="167" spans="1:41" x14ac:dyDescent="0.35">
      <c r="A167" t="s">
        <v>23</v>
      </c>
      <c r="B167" t="s">
        <v>418</v>
      </c>
      <c r="C167" t="s">
        <v>43</v>
      </c>
      <c r="D167" t="s">
        <v>44</v>
      </c>
      <c r="E167" t="s">
        <v>45</v>
      </c>
      <c r="F167" t="s">
        <v>28</v>
      </c>
      <c r="G167">
        <v>5</v>
      </c>
      <c r="H167" t="s">
        <v>419</v>
      </c>
      <c r="I167" t="s">
        <v>30</v>
      </c>
      <c r="J167" t="s">
        <v>70</v>
      </c>
      <c r="K167" t="s">
        <v>48</v>
      </c>
      <c r="L167" t="s">
        <v>49</v>
      </c>
      <c r="N167" s="2">
        <v>45070.781550925924</v>
      </c>
      <c r="O167" s="2">
        <v>45177.166666666664</v>
      </c>
      <c r="P167" s="2">
        <v>45439.166666666664</v>
      </c>
      <c r="Q167" s="2">
        <v>45428</v>
      </c>
      <c r="R167" s="2">
        <v>45428.74810297454</v>
      </c>
      <c r="S167" t="s">
        <v>226</v>
      </c>
      <c r="T167" s="2"/>
      <c r="U167" s="2"/>
      <c r="V167" s="2"/>
      <c r="W167" s="2"/>
      <c r="X167" s="3" t="str">
        <f t="shared" si="20"/>
        <v/>
      </c>
      <c r="Y167" t="str">
        <f t="shared" si="21"/>
        <v/>
      </c>
      <c r="Z167">
        <f t="shared" si="22"/>
        <v>0</v>
      </c>
      <c r="AA167">
        <f t="shared" si="23"/>
        <v>357.21844907407649</v>
      </c>
      <c r="AB167">
        <f t="shared" si="24"/>
        <v>357.21844907407649</v>
      </c>
      <c r="AC167">
        <f>IFERROR(_xlfn.XLOOKUP(B167, HoldSummary!$A:$A, HoldSummary!B:B), 0)</f>
        <v>0</v>
      </c>
      <c r="AD167">
        <f>IFERROR(_xlfn.XLOOKUP(B167, HoldSummary!$A:$A, HoldSummary!C:C), 0)</f>
        <v>0</v>
      </c>
      <c r="AE167">
        <f>IFERROR(_xlfn.XLOOKUP(B167, HoldSummary!$A:$A, HoldSummary!D:D), 0)</f>
        <v>0</v>
      </c>
      <c r="AF167">
        <f>IFERROR(_xlfn.XLOOKUP(B167, HoldSummary!$A:$A, HoldSummary!E:E), 0)</f>
        <v>0</v>
      </c>
      <c r="AG167">
        <f>IFERROR(_xlfn.XLOOKUP(B167, HoldSummary!$A:$A, HoldSummary!F:F), 0)</f>
        <v>0</v>
      </c>
      <c r="AH167">
        <f>IFERROR(_xlfn.XLOOKUP(B167, HoldSummary!$A:$A, HoldSummary!G:G), 0)</f>
        <v>0</v>
      </c>
      <c r="AI167">
        <f>IFERROR(_xlfn.XLOOKUP(B167, HoldSummary!$A:$A, HoldSummary!H:H), 0)</f>
        <v>0</v>
      </c>
      <c r="AJ167">
        <f>IFERROR(_xlfn.XLOOKUP(B167, HoldSummary!$A:$A, HoldSummary!I:I), 0)</f>
        <v>0</v>
      </c>
      <c r="AK167">
        <f t="shared" si="25"/>
        <v>0</v>
      </c>
      <c r="AL167">
        <f t="shared" si="26"/>
        <v>357.21844907407649</v>
      </c>
      <c r="AM167">
        <f t="shared" si="27"/>
        <v>357.21844907407649</v>
      </c>
      <c r="AN167" s="12">
        <f t="shared" si="28"/>
        <v>250.83333333333576</v>
      </c>
      <c r="AO167">
        <f t="shared" si="29"/>
        <v>0</v>
      </c>
    </row>
    <row r="168" spans="1:41" x14ac:dyDescent="0.35">
      <c r="A168" t="s">
        <v>23</v>
      </c>
      <c r="B168" t="s">
        <v>420</v>
      </c>
      <c r="C168" t="s">
        <v>113</v>
      </c>
      <c r="D168" t="s">
        <v>44</v>
      </c>
      <c r="E168" t="s">
        <v>27</v>
      </c>
      <c r="F168" t="s">
        <v>28</v>
      </c>
      <c r="G168">
        <v>5</v>
      </c>
      <c r="H168" t="s">
        <v>421</v>
      </c>
      <c r="I168" t="s">
        <v>30</v>
      </c>
      <c r="J168" t="s">
        <v>31</v>
      </c>
      <c r="K168" t="s">
        <v>38</v>
      </c>
      <c r="L168" t="s">
        <v>39</v>
      </c>
      <c r="N168" s="2">
        <v>45156.806215277778</v>
      </c>
      <c r="O168" s="2">
        <v>45275.208333333336</v>
      </c>
      <c r="P168" s="2">
        <v>45316.208333333336</v>
      </c>
      <c r="Q168" s="2">
        <v>45294</v>
      </c>
      <c r="R168" s="2">
        <v>45295.562234155092</v>
      </c>
      <c r="T168" s="2">
        <v>45197.166666666664</v>
      </c>
      <c r="U168" s="2">
        <v>45268.208333333336</v>
      </c>
      <c r="V168" s="2">
        <v>45268.208333333336</v>
      </c>
      <c r="W168" s="2">
        <v>45268.208333333336</v>
      </c>
      <c r="X168" s="3">
        <f t="shared" si="20"/>
        <v>71.041666666671517</v>
      </c>
      <c r="Y168">
        <f t="shared" si="21"/>
        <v>0</v>
      </c>
      <c r="Z168">
        <f t="shared" si="22"/>
        <v>71.041666666671517</v>
      </c>
      <c r="AA168">
        <f t="shared" si="23"/>
        <v>137.19378472222161</v>
      </c>
      <c r="AB168">
        <f t="shared" si="24"/>
        <v>66.152118055550091</v>
      </c>
      <c r="AC168">
        <f>IFERROR(_xlfn.XLOOKUP(B168, HoldSummary!$A:$A, HoldSummary!B:B), 0)</f>
        <v>0</v>
      </c>
      <c r="AD168">
        <f>IFERROR(_xlfn.XLOOKUP(B168, HoldSummary!$A:$A, HoldSummary!C:C), 0)</f>
        <v>0</v>
      </c>
      <c r="AE168">
        <f>IFERROR(_xlfn.XLOOKUP(B168, HoldSummary!$A:$A, HoldSummary!D:D), 0)</f>
        <v>0</v>
      </c>
      <c r="AF168">
        <f>IFERROR(_xlfn.XLOOKUP(B168, HoldSummary!$A:$A, HoldSummary!E:E), 0)</f>
        <v>0</v>
      </c>
      <c r="AG168">
        <f>IFERROR(_xlfn.XLOOKUP(B168, HoldSummary!$A:$A, HoldSummary!F:F), 0)</f>
        <v>0</v>
      </c>
      <c r="AH168">
        <f>IFERROR(_xlfn.XLOOKUP(B168, HoldSummary!$A:$A, HoldSummary!G:G), 0)</f>
        <v>5</v>
      </c>
      <c r="AI168">
        <f>IFERROR(_xlfn.XLOOKUP(B168, HoldSummary!$A:$A, HoldSummary!H:H), 0)</f>
        <v>0</v>
      </c>
      <c r="AJ168">
        <f>IFERROR(_xlfn.XLOOKUP(B168, HoldSummary!$A:$A, HoldSummary!I:I), 0)</f>
        <v>0</v>
      </c>
      <c r="AK168">
        <f t="shared" si="25"/>
        <v>5</v>
      </c>
      <c r="AL168">
        <f t="shared" si="26"/>
        <v>132.19378472222161</v>
      </c>
      <c r="AM168">
        <f t="shared" si="27"/>
        <v>61.152118055550091</v>
      </c>
      <c r="AN168" s="12">
        <f t="shared" si="28"/>
        <v>18.791666666664241</v>
      </c>
      <c r="AO168">
        <f t="shared" si="29"/>
        <v>0</v>
      </c>
    </row>
    <row r="169" spans="1:41" x14ac:dyDescent="0.35">
      <c r="A169" t="s">
        <v>23</v>
      </c>
      <c r="B169" t="s">
        <v>422</v>
      </c>
      <c r="C169" t="s">
        <v>135</v>
      </c>
      <c r="D169" t="s">
        <v>44</v>
      </c>
      <c r="E169" t="s">
        <v>45</v>
      </c>
      <c r="F169" t="s">
        <v>28</v>
      </c>
      <c r="G169">
        <v>5</v>
      </c>
      <c r="H169" t="s">
        <v>423</v>
      </c>
      <c r="I169" t="s">
        <v>30</v>
      </c>
      <c r="J169" t="s">
        <v>70</v>
      </c>
      <c r="K169" t="s">
        <v>32</v>
      </c>
      <c r="L169" t="s">
        <v>32</v>
      </c>
      <c r="N169" s="2">
        <v>45182.578680555554</v>
      </c>
      <c r="O169" s="2">
        <v>45401.166666666664</v>
      </c>
      <c r="P169" s="2">
        <v>45491.166666666664</v>
      </c>
      <c r="Q169" s="2">
        <v>45483</v>
      </c>
      <c r="R169" s="2">
        <v>45491.68140144676</v>
      </c>
      <c r="S169" t="s">
        <v>215</v>
      </c>
      <c r="T169" s="2"/>
      <c r="U169" s="2"/>
      <c r="V169" s="2"/>
      <c r="W169" s="2"/>
      <c r="X169" s="3" t="str">
        <f t="shared" si="20"/>
        <v/>
      </c>
      <c r="Y169" t="str">
        <f t="shared" si="21"/>
        <v/>
      </c>
      <c r="Z169">
        <f t="shared" si="22"/>
        <v>0</v>
      </c>
      <c r="AA169">
        <f t="shared" si="23"/>
        <v>300.42131944444554</v>
      </c>
      <c r="AB169">
        <f t="shared" si="24"/>
        <v>300.42131944444554</v>
      </c>
      <c r="AC169">
        <f>IFERROR(_xlfn.XLOOKUP(B169, HoldSummary!$A:$A, HoldSummary!B:B), 0)</f>
        <v>0</v>
      </c>
      <c r="AD169">
        <f>IFERROR(_xlfn.XLOOKUP(B169, HoldSummary!$A:$A, HoldSummary!C:C), 0)</f>
        <v>0</v>
      </c>
      <c r="AE169">
        <f>IFERROR(_xlfn.XLOOKUP(B169, HoldSummary!$A:$A, HoldSummary!D:D), 0)</f>
        <v>0</v>
      </c>
      <c r="AF169">
        <f>IFERROR(_xlfn.XLOOKUP(B169, HoldSummary!$A:$A, HoldSummary!E:E), 0)</f>
        <v>0</v>
      </c>
      <c r="AG169">
        <f>IFERROR(_xlfn.XLOOKUP(B169, HoldSummary!$A:$A, HoldSummary!F:F), 0)</f>
        <v>0</v>
      </c>
      <c r="AH169">
        <f>IFERROR(_xlfn.XLOOKUP(B169, HoldSummary!$A:$A, HoldSummary!G:G), 0)</f>
        <v>0</v>
      </c>
      <c r="AI169">
        <f>IFERROR(_xlfn.XLOOKUP(B169, HoldSummary!$A:$A, HoldSummary!H:H), 0)</f>
        <v>0</v>
      </c>
      <c r="AJ169">
        <f>IFERROR(_xlfn.XLOOKUP(B169, HoldSummary!$A:$A, HoldSummary!I:I), 0)</f>
        <v>0</v>
      </c>
      <c r="AK169">
        <f t="shared" si="25"/>
        <v>0</v>
      </c>
      <c r="AL169">
        <f t="shared" si="26"/>
        <v>300.42131944444554</v>
      </c>
      <c r="AM169">
        <f t="shared" si="27"/>
        <v>300.42131944444554</v>
      </c>
      <c r="AN169" s="12">
        <f t="shared" si="28"/>
        <v>81.833333333335759</v>
      </c>
      <c r="AO169">
        <f t="shared" si="29"/>
        <v>0</v>
      </c>
    </row>
    <row r="170" spans="1:41" x14ac:dyDescent="0.35">
      <c r="A170" t="s">
        <v>23</v>
      </c>
      <c r="B170" t="s">
        <v>424</v>
      </c>
      <c r="C170" t="s">
        <v>113</v>
      </c>
      <c r="D170" t="s">
        <v>44</v>
      </c>
      <c r="E170" t="s">
        <v>45</v>
      </c>
      <c r="F170" t="s">
        <v>28</v>
      </c>
      <c r="G170">
        <v>5</v>
      </c>
      <c r="H170" t="s">
        <v>425</v>
      </c>
      <c r="I170" t="s">
        <v>30</v>
      </c>
      <c r="J170" t="s">
        <v>31</v>
      </c>
      <c r="K170" t="s">
        <v>38</v>
      </c>
      <c r="L170" t="s">
        <v>39</v>
      </c>
      <c r="N170" s="2">
        <v>45211.86822916667</v>
      </c>
      <c r="O170" s="2">
        <v>45383.166666666664</v>
      </c>
      <c r="P170" s="2">
        <v>45436.166666666664</v>
      </c>
      <c r="Q170" s="2">
        <v>45434</v>
      </c>
      <c r="R170" s="2">
        <v>45434.80659954861</v>
      </c>
      <c r="S170" t="s">
        <v>426</v>
      </c>
      <c r="T170" s="2">
        <v>45264.208333333336</v>
      </c>
      <c r="U170" s="2">
        <v>45341.208333333336</v>
      </c>
      <c r="V170" s="2">
        <v>45341.208333333336</v>
      </c>
      <c r="W170" s="2">
        <v>45397.166666666664</v>
      </c>
      <c r="X170" s="3">
        <f t="shared" si="20"/>
        <v>77</v>
      </c>
      <c r="Y170">
        <f t="shared" si="21"/>
        <v>55.958333333328483</v>
      </c>
      <c r="Z170">
        <f t="shared" si="22"/>
        <v>132.95833333332848</v>
      </c>
      <c r="AA170">
        <f t="shared" si="23"/>
        <v>222.13177083332994</v>
      </c>
      <c r="AB170">
        <f t="shared" si="24"/>
        <v>89.173437500001455</v>
      </c>
      <c r="AC170">
        <f>IFERROR(_xlfn.XLOOKUP(B170, HoldSummary!$A:$A, HoldSummary!B:B), 0)</f>
        <v>0</v>
      </c>
      <c r="AD170">
        <f>IFERROR(_xlfn.XLOOKUP(B170, HoldSummary!$A:$A, HoldSummary!C:C), 0)</f>
        <v>0</v>
      </c>
      <c r="AE170">
        <f>IFERROR(_xlfn.XLOOKUP(B170, HoldSummary!$A:$A, HoldSummary!D:D), 0)</f>
        <v>0</v>
      </c>
      <c r="AF170">
        <f>IFERROR(_xlfn.XLOOKUP(B170, HoldSummary!$A:$A, HoldSummary!E:E), 0)</f>
        <v>0</v>
      </c>
      <c r="AG170">
        <f>IFERROR(_xlfn.XLOOKUP(B170, HoldSummary!$A:$A, HoldSummary!F:F), 0)</f>
        <v>0</v>
      </c>
      <c r="AH170">
        <f>IFERROR(_xlfn.XLOOKUP(B170, HoldSummary!$A:$A, HoldSummary!G:G), 0)</f>
        <v>9</v>
      </c>
      <c r="AI170">
        <f>IFERROR(_xlfn.XLOOKUP(B170, HoldSummary!$A:$A, HoldSummary!H:H), 0)</f>
        <v>0</v>
      </c>
      <c r="AJ170">
        <f>IFERROR(_xlfn.XLOOKUP(B170, HoldSummary!$A:$A, HoldSummary!I:I), 0)</f>
        <v>0</v>
      </c>
      <c r="AK170">
        <f t="shared" si="25"/>
        <v>9</v>
      </c>
      <c r="AL170">
        <f t="shared" si="26"/>
        <v>213.13177083332994</v>
      </c>
      <c r="AM170">
        <f t="shared" si="27"/>
        <v>80.173437500001455</v>
      </c>
      <c r="AN170" s="12">
        <f t="shared" si="28"/>
        <v>50.833333333335759</v>
      </c>
      <c r="AO170">
        <f t="shared" si="29"/>
        <v>0</v>
      </c>
    </row>
    <row r="171" spans="1:41" x14ac:dyDescent="0.35">
      <c r="A171" t="s">
        <v>23</v>
      </c>
      <c r="B171" t="s">
        <v>427</v>
      </c>
      <c r="C171" t="s">
        <v>113</v>
      </c>
      <c r="D171" t="s">
        <v>44</v>
      </c>
      <c r="E171" t="s">
        <v>45</v>
      </c>
      <c r="F171" t="s">
        <v>28</v>
      </c>
      <c r="G171">
        <v>5</v>
      </c>
      <c r="H171" t="s">
        <v>428</v>
      </c>
      <c r="I171" t="s">
        <v>30</v>
      </c>
      <c r="J171" t="s">
        <v>31</v>
      </c>
      <c r="K171" t="s">
        <v>38</v>
      </c>
      <c r="L171" t="s">
        <v>39</v>
      </c>
      <c r="N171" s="2">
        <v>45212.842303240737</v>
      </c>
      <c r="O171" s="2">
        <v>45337.208333333336</v>
      </c>
      <c r="P171" s="2">
        <v>45345.208333333336</v>
      </c>
      <c r="Q171" s="2">
        <v>45338</v>
      </c>
      <c r="R171" s="2">
        <v>45341.59039568287</v>
      </c>
      <c r="S171" t="s">
        <v>119</v>
      </c>
      <c r="T171" s="2">
        <v>45236.208333333336</v>
      </c>
      <c r="U171" s="2">
        <v>45328.208333333336</v>
      </c>
      <c r="V171" s="2">
        <v>45328.208333333336</v>
      </c>
      <c r="W171" s="2">
        <v>45329.208333333336</v>
      </c>
      <c r="X171" s="3">
        <f t="shared" si="20"/>
        <v>92</v>
      </c>
      <c r="Y171">
        <f t="shared" si="21"/>
        <v>1</v>
      </c>
      <c r="Z171">
        <f t="shared" si="22"/>
        <v>93</v>
      </c>
      <c r="AA171">
        <f t="shared" si="23"/>
        <v>125.15769675926276</v>
      </c>
      <c r="AB171">
        <f t="shared" si="24"/>
        <v>32.157696759262762</v>
      </c>
      <c r="AC171">
        <f>IFERROR(_xlfn.XLOOKUP(B171, HoldSummary!$A:$A, HoldSummary!B:B), 0)</f>
        <v>0</v>
      </c>
      <c r="AD171">
        <f>IFERROR(_xlfn.XLOOKUP(B171, HoldSummary!$A:$A, HoldSummary!C:C), 0)</f>
        <v>0</v>
      </c>
      <c r="AE171">
        <f>IFERROR(_xlfn.XLOOKUP(B171, HoldSummary!$A:$A, HoldSummary!D:D), 0)</f>
        <v>0</v>
      </c>
      <c r="AF171">
        <f>IFERROR(_xlfn.XLOOKUP(B171, HoldSummary!$A:$A, HoldSummary!E:E), 0)</f>
        <v>0</v>
      </c>
      <c r="AG171">
        <f>IFERROR(_xlfn.XLOOKUP(B171, HoldSummary!$A:$A, HoldSummary!F:F), 0)</f>
        <v>0</v>
      </c>
      <c r="AH171">
        <f>IFERROR(_xlfn.XLOOKUP(B171, HoldSummary!$A:$A, HoldSummary!G:G), 0)</f>
        <v>0</v>
      </c>
      <c r="AI171">
        <f>IFERROR(_xlfn.XLOOKUP(B171, HoldSummary!$A:$A, HoldSummary!H:H), 0)</f>
        <v>0</v>
      </c>
      <c r="AJ171">
        <f>IFERROR(_xlfn.XLOOKUP(B171, HoldSummary!$A:$A, HoldSummary!I:I), 0)</f>
        <v>0</v>
      </c>
      <c r="AK171">
        <f t="shared" si="25"/>
        <v>0</v>
      </c>
      <c r="AL171">
        <f t="shared" si="26"/>
        <v>125.15769675926276</v>
      </c>
      <c r="AM171">
        <f t="shared" si="27"/>
        <v>32.157696759262762</v>
      </c>
      <c r="AN171" s="12">
        <f t="shared" si="28"/>
        <v>0.79166666666424135</v>
      </c>
      <c r="AO171">
        <f t="shared" si="29"/>
        <v>0</v>
      </c>
    </row>
    <row r="172" spans="1:41" x14ac:dyDescent="0.35">
      <c r="A172" t="s">
        <v>23</v>
      </c>
      <c r="B172" t="s">
        <v>429</v>
      </c>
      <c r="C172" t="s">
        <v>76</v>
      </c>
      <c r="D172" t="s">
        <v>44</v>
      </c>
      <c r="E172" t="s">
        <v>45</v>
      </c>
      <c r="F172" t="s">
        <v>28</v>
      </c>
      <c r="G172">
        <v>5</v>
      </c>
      <c r="H172" t="s">
        <v>430</v>
      </c>
      <c r="I172" t="s">
        <v>30</v>
      </c>
      <c r="J172" t="s">
        <v>31</v>
      </c>
      <c r="K172" t="s">
        <v>57</v>
      </c>
      <c r="L172" t="s">
        <v>39</v>
      </c>
      <c r="N172" s="2">
        <v>45236.874108796299</v>
      </c>
      <c r="O172" s="2">
        <v>45351.208333333336</v>
      </c>
      <c r="P172" s="2">
        <v>45351.208333333336</v>
      </c>
      <c r="Q172" s="2">
        <v>45343</v>
      </c>
      <c r="R172" s="2">
        <v>45343.676331249997</v>
      </c>
      <c r="S172" t="s">
        <v>431</v>
      </c>
      <c r="T172" s="2">
        <v>45261.208333333336</v>
      </c>
      <c r="U172" s="2">
        <v>45281.208333333336</v>
      </c>
      <c r="V172" s="2">
        <v>45281.208333333336</v>
      </c>
      <c r="W172" s="2">
        <v>45315.208333333336</v>
      </c>
      <c r="X172" s="3">
        <f t="shared" si="20"/>
        <v>20</v>
      </c>
      <c r="Y172">
        <f t="shared" si="21"/>
        <v>34</v>
      </c>
      <c r="Z172">
        <f t="shared" si="22"/>
        <v>54</v>
      </c>
      <c r="AA172">
        <f t="shared" si="23"/>
        <v>106.12589120370103</v>
      </c>
      <c r="AB172">
        <f t="shared" si="24"/>
        <v>52.12589120370103</v>
      </c>
      <c r="AC172">
        <f>IFERROR(_xlfn.XLOOKUP(B172, HoldSummary!$A:$A, HoldSummary!B:B), 0)</f>
        <v>0</v>
      </c>
      <c r="AD172">
        <f>IFERROR(_xlfn.XLOOKUP(B172, HoldSummary!$A:$A, HoldSummary!C:C), 0)</f>
        <v>0</v>
      </c>
      <c r="AE172">
        <f>IFERROR(_xlfn.XLOOKUP(B172, HoldSummary!$A:$A, HoldSummary!D:D), 0)</f>
        <v>0</v>
      </c>
      <c r="AF172">
        <f>IFERROR(_xlfn.XLOOKUP(B172, HoldSummary!$A:$A, HoldSummary!E:E), 0)</f>
        <v>0</v>
      </c>
      <c r="AG172">
        <f>IFERROR(_xlfn.XLOOKUP(B172, HoldSummary!$A:$A, HoldSummary!F:F), 0)</f>
        <v>0</v>
      </c>
      <c r="AH172">
        <f>IFERROR(_xlfn.XLOOKUP(B172, HoldSummary!$A:$A, HoldSummary!G:G), 0)</f>
        <v>8</v>
      </c>
      <c r="AI172">
        <f>IFERROR(_xlfn.XLOOKUP(B172, HoldSummary!$A:$A, HoldSummary!H:H), 0)</f>
        <v>0</v>
      </c>
      <c r="AJ172">
        <f>IFERROR(_xlfn.XLOOKUP(B172, HoldSummary!$A:$A, HoldSummary!I:I), 0)</f>
        <v>0</v>
      </c>
      <c r="AK172">
        <f t="shared" si="25"/>
        <v>8</v>
      </c>
      <c r="AL172">
        <f t="shared" si="26"/>
        <v>98.12589120370103</v>
      </c>
      <c r="AM172">
        <f t="shared" si="27"/>
        <v>44.12589120370103</v>
      </c>
      <c r="AN172" s="12">
        <f t="shared" si="28"/>
        <v>-8.2083333333357587</v>
      </c>
      <c r="AO172">
        <f t="shared" si="29"/>
        <v>1</v>
      </c>
    </row>
    <row r="173" spans="1:41" x14ac:dyDescent="0.35">
      <c r="A173" t="s">
        <v>23</v>
      </c>
      <c r="B173" t="s">
        <v>432</v>
      </c>
      <c r="C173" t="s">
        <v>76</v>
      </c>
      <c r="D173" t="s">
        <v>44</v>
      </c>
      <c r="E173" t="s">
        <v>45</v>
      </c>
      <c r="F173" t="s">
        <v>28</v>
      </c>
      <c r="G173">
        <v>5</v>
      </c>
      <c r="H173" t="s">
        <v>433</v>
      </c>
      <c r="I173" t="s">
        <v>30</v>
      </c>
      <c r="J173" t="s">
        <v>31</v>
      </c>
      <c r="K173" t="s">
        <v>48</v>
      </c>
      <c r="L173" t="s">
        <v>39</v>
      </c>
      <c r="N173" s="2">
        <v>45245.64334490741</v>
      </c>
      <c r="O173" s="2">
        <v>45377.166666666664</v>
      </c>
      <c r="P173" s="2">
        <v>45401.166666666664</v>
      </c>
      <c r="Q173" s="2">
        <v>45377</v>
      </c>
      <c r="R173" s="2">
        <v>45377.649515844911</v>
      </c>
      <c r="S173" t="s">
        <v>434</v>
      </c>
      <c r="T173" s="2">
        <v>45324.208333333336</v>
      </c>
      <c r="U173" s="2">
        <v>45327.208333333336</v>
      </c>
      <c r="V173" s="2">
        <v>45327.208333333336</v>
      </c>
      <c r="W173" s="2">
        <v>45359.208333333336</v>
      </c>
      <c r="X173" s="3">
        <f t="shared" si="20"/>
        <v>3</v>
      </c>
      <c r="Y173">
        <f t="shared" si="21"/>
        <v>32</v>
      </c>
      <c r="Z173">
        <f t="shared" si="22"/>
        <v>35</v>
      </c>
      <c r="AA173">
        <f t="shared" si="23"/>
        <v>131.35665509258979</v>
      </c>
      <c r="AB173">
        <f t="shared" si="24"/>
        <v>96.35665509258979</v>
      </c>
      <c r="AC173">
        <f>IFERROR(_xlfn.XLOOKUP(B173, HoldSummary!$A:$A, HoldSummary!B:B), 0)</f>
        <v>0</v>
      </c>
      <c r="AD173">
        <f>IFERROR(_xlfn.XLOOKUP(B173, HoldSummary!$A:$A, HoldSummary!C:C), 0)</f>
        <v>0</v>
      </c>
      <c r="AE173">
        <f>IFERROR(_xlfn.XLOOKUP(B173, HoldSummary!$A:$A, HoldSummary!D:D), 0)</f>
        <v>0</v>
      </c>
      <c r="AF173">
        <f>IFERROR(_xlfn.XLOOKUP(B173, HoldSummary!$A:$A, HoldSummary!E:E), 0)</f>
        <v>0</v>
      </c>
      <c r="AG173">
        <f>IFERROR(_xlfn.XLOOKUP(B173, HoldSummary!$A:$A, HoldSummary!F:F), 0)</f>
        <v>0</v>
      </c>
      <c r="AH173">
        <f>IFERROR(_xlfn.XLOOKUP(B173, HoldSummary!$A:$A, HoldSummary!G:G), 0)</f>
        <v>0</v>
      </c>
      <c r="AI173">
        <f>IFERROR(_xlfn.XLOOKUP(B173, HoldSummary!$A:$A, HoldSummary!H:H), 0)</f>
        <v>0</v>
      </c>
      <c r="AJ173">
        <f>IFERROR(_xlfn.XLOOKUP(B173, HoldSummary!$A:$A, HoldSummary!I:I), 0)</f>
        <v>0</v>
      </c>
      <c r="AK173">
        <f t="shared" si="25"/>
        <v>0</v>
      </c>
      <c r="AL173">
        <f t="shared" si="26"/>
        <v>131.35665509258979</v>
      </c>
      <c r="AM173">
        <f t="shared" si="27"/>
        <v>96.35665509258979</v>
      </c>
      <c r="AN173" s="12">
        <f t="shared" si="28"/>
        <v>-0.16666666666424135</v>
      </c>
      <c r="AO173">
        <f t="shared" si="29"/>
        <v>1</v>
      </c>
    </row>
    <row r="174" spans="1:41" x14ac:dyDescent="0.35">
      <c r="A174" t="s">
        <v>23</v>
      </c>
      <c r="B174" t="s">
        <v>435</v>
      </c>
      <c r="C174" t="s">
        <v>113</v>
      </c>
      <c r="D174" t="s">
        <v>44</v>
      </c>
      <c r="E174" t="s">
        <v>45</v>
      </c>
      <c r="F174" t="s">
        <v>28</v>
      </c>
      <c r="G174">
        <v>5</v>
      </c>
      <c r="H174" t="s">
        <v>436</v>
      </c>
      <c r="I174" t="s">
        <v>30</v>
      </c>
      <c r="J174" t="s">
        <v>31</v>
      </c>
      <c r="K174" t="s">
        <v>32</v>
      </c>
      <c r="L174" t="s">
        <v>39</v>
      </c>
      <c r="N174" s="2">
        <v>45246.570555555554</v>
      </c>
      <c r="O174" s="2">
        <v>45351.208333333336</v>
      </c>
      <c r="P174" s="2">
        <v>45373.166666666664</v>
      </c>
      <c r="Q174" s="2">
        <v>45365</v>
      </c>
      <c r="R174" s="2">
        <v>45366.600210104167</v>
      </c>
      <c r="S174" t="s">
        <v>437</v>
      </c>
      <c r="T174" s="2">
        <v>45268.208333333336</v>
      </c>
      <c r="U174" s="2">
        <v>45282.208333333336</v>
      </c>
      <c r="V174" s="2">
        <v>45282.208333333336</v>
      </c>
      <c r="W174" s="2">
        <v>45282.208333333336</v>
      </c>
      <c r="X174" s="3">
        <f t="shared" si="20"/>
        <v>14</v>
      </c>
      <c r="Y174">
        <f t="shared" si="21"/>
        <v>0</v>
      </c>
      <c r="Z174">
        <f t="shared" si="22"/>
        <v>14</v>
      </c>
      <c r="AA174">
        <f t="shared" si="23"/>
        <v>118.42944444444583</v>
      </c>
      <c r="AB174">
        <f t="shared" si="24"/>
        <v>104.42944444444583</v>
      </c>
      <c r="AC174">
        <f>IFERROR(_xlfn.XLOOKUP(B174, HoldSummary!$A:$A, HoldSummary!B:B), 0)</f>
        <v>0</v>
      </c>
      <c r="AD174">
        <f>IFERROR(_xlfn.XLOOKUP(B174, HoldSummary!$A:$A, HoldSummary!C:C), 0)</f>
        <v>0</v>
      </c>
      <c r="AE174">
        <f>IFERROR(_xlfn.XLOOKUP(B174, HoldSummary!$A:$A, HoldSummary!D:D), 0)</f>
        <v>0</v>
      </c>
      <c r="AF174">
        <f>IFERROR(_xlfn.XLOOKUP(B174, HoldSummary!$A:$A, HoldSummary!E:E), 0)</f>
        <v>0</v>
      </c>
      <c r="AG174">
        <f>IFERROR(_xlfn.XLOOKUP(B174, HoldSummary!$A:$A, HoldSummary!F:F), 0)</f>
        <v>0</v>
      </c>
      <c r="AH174">
        <f>IFERROR(_xlfn.XLOOKUP(B174, HoldSummary!$A:$A, HoldSummary!G:G), 0)</f>
        <v>0</v>
      </c>
      <c r="AI174">
        <f>IFERROR(_xlfn.XLOOKUP(B174, HoldSummary!$A:$A, HoldSummary!H:H), 0)</f>
        <v>0</v>
      </c>
      <c r="AJ174">
        <f>IFERROR(_xlfn.XLOOKUP(B174, HoldSummary!$A:$A, HoldSummary!I:I), 0)</f>
        <v>0</v>
      </c>
      <c r="AK174">
        <f t="shared" si="25"/>
        <v>0</v>
      </c>
      <c r="AL174">
        <f t="shared" si="26"/>
        <v>118.42944444444583</v>
      </c>
      <c r="AM174">
        <f t="shared" si="27"/>
        <v>104.42944444444583</v>
      </c>
      <c r="AN174" s="12">
        <f t="shared" si="28"/>
        <v>13.791666666664241</v>
      </c>
      <c r="AO174">
        <f t="shared" si="29"/>
        <v>0</v>
      </c>
    </row>
    <row r="175" spans="1:41" x14ac:dyDescent="0.35">
      <c r="A175" t="s">
        <v>23</v>
      </c>
      <c r="B175" t="s">
        <v>438</v>
      </c>
      <c r="C175" t="s">
        <v>43</v>
      </c>
      <c r="D175" t="s">
        <v>44</v>
      </c>
      <c r="E175" t="s">
        <v>44</v>
      </c>
      <c r="F175" t="s">
        <v>28</v>
      </c>
      <c r="G175">
        <v>5</v>
      </c>
      <c r="H175" t="s">
        <v>439</v>
      </c>
      <c r="I175" t="s">
        <v>30</v>
      </c>
      <c r="J175" t="s">
        <v>70</v>
      </c>
      <c r="K175" t="s">
        <v>48</v>
      </c>
      <c r="L175" t="s">
        <v>49</v>
      </c>
      <c r="N175" s="2">
        <v>45217.166666666664</v>
      </c>
      <c r="O175" s="2">
        <v>45366.166666666664</v>
      </c>
      <c r="P175" s="2">
        <v>45412.166666666664</v>
      </c>
      <c r="Q175" s="2">
        <v>45404</v>
      </c>
      <c r="R175" s="2">
        <v>45405.586785312502</v>
      </c>
      <c r="S175" t="s">
        <v>440</v>
      </c>
      <c r="T175" s="2">
        <v>45259.208333333336</v>
      </c>
      <c r="U175" s="2">
        <v>45313.208333333336</v>
      </c>
      <c r="V175" s="2">
        <v>45313.208333333336</v>
      </c>
      <c r="W175" s="2">
        <v>45363.166666666664</v>
      </c>
      <c r="X175" s="3">
        <f t="shared" si="20"/>
        <v>54</v>
      </c>
      <c r="Y175">
        <f t="shared" si="21"/>
        <v>49.958333333328483</v>
      </c>
      <c r="Z175">
        <f t="shared" si="22"/>
        <v>103.95833333332848</v>
      </c>
      <c r="AA175">
        <f t="shared" si="23"/>
        <v>186.83333333333576</v>
      </c>
      <c r="AB175">
        <f t="shared" si="24"/>
        <v>82.875000000007276</v>
      </c>
      <c r="AC175">
        <f>IFERROR(_xlfn.XLOOKUP(B175, HoldSummary!$A:$A, HoldSummary!B:B), 0)</f>
        <v>0</v>
      </c>
      <c r="AD175">
        <f>IFERROR(_xlfn.XLOOKUP(B175, HoldSummary!$A:$A, HoldSummary!C:C), 0)</f>
        <v>0</v>
      </c>
      <c r="AE175">
        <f>IFERROR(_xlfn.XLOOKUP(B175, HoldSummary!$A:$A, HoldSummary!D:D), 0)</f>
        <v>0</v>
      </c>
      <c r="AF175">
        <f>IFERROR(_xlfn.XLOOKUP(B175, HoldSummary!$A:$A, HoldSummary!E:E), 0)</f>
        <v>0</v>
      </c>
      <c r="AG175">
        <f>IFERROR(_xlfn.XLOOKUP(B175, HoldSummary!$A:$A, HoldSummary!F:F), 0)</f>
        <v>0</v>
      </c>
      <c r="AH175">
        <f>IFERROR(_xlfn.XLOOKUP(B175, HoldSummary!$A:$A, HoldSummary!G:G), 0)</f>
        <v>0</v>
      </c>
      <c r="AI175">
        <f>IFERROR(_xlfn.XLOOKUP(B175, HoldSummary!$A:$A, HoldSummary!H:H), 0)</f>
        <v>0</v>
      </c>
      <c r="AJ175">
        <f>IFERROR(_xlfn.XLOOKUP(B175, HoldSummary!$A:$A, HoldSummary!I:I), 0)</f>
        <v>0</v>
      </c>
      <c r="AK175">
        <f t="shared" si="25"/>
        <v>0</v>
      </c>
      <c r="AL175">
        <f t="shared" si="26"/>
        <v>186.83333333333576</v>
      </c>
      <c r="AM175">
        <f t="shared" si="27"/>
        <v>82.875000000007276</v>
      </c>
      <c r="AN175" s="12">
        <f t="shared" si="28"/>
        <v>37.833333333335759</v>
      </c>
      <c r="AO175">
        <f t="shared" si="29"/>
        <v>0</v>
      </c>
    </row>
    <row r="176" spans="1:41" x14ac:dyDescent="0.35">
      <c r="A176" t="s">
        <v>23</v>
      </c>
      <c r="B176" t="s">
        <v>441</v>
      </c>
      <c r="C176" t="s">
        <v>43</v>
      </c>
      <c r="D176" t="s">
        <v>44</v>
      </c>
      <c r="E176" t="s">
        <v>45</v>
      </c>
      <c r="F176" t="s">
        <v>28</v>
      </c>
      <c r="G176">
        <v>5</v>
      </c>
      <c r="H176" t="s">
        <v>442</v>
      </c>
      <c r="I176" t="s">
        <v>30</v>
      </c>
      <c r="J176" t="s">
        <v>70</v>
      </c>
      <c r="K176" t="s">
        <v>48</v>
      </c>
      <c r="L176" t="s">
        <v>192</v>
      </c>
      <c r="N176" s="2">
        <v>45250.765289351853</v>
      </c>
      <c r="O176" s="2">
        <v>45434.166666666664</v>
      </c>
      <c r="P176" s="2">
        <v>45457.166666666664</v>
      </c>
      <c r="Q176" s="2">
        <v>45456</v>
      </c>
      <c r="R176" s="2">
        <v>45457.748353009258</v>
      </c>
      <c r="S176" t="s">
        <v>443</v>
      </c>
      <c r="T176" s="2">
        <v>45257.208333333336</v>
      </c>
      <c r="U176" s="2">
        <v>45313.208333333336</v>
      </c>
      <c r="V176" s="2">
        <v>45313.208333333336</v>
      </c>
      <c r="W176" s="2">
        <v>45313.208333333336</v>
      </c>
      <c r="X176" s="3">
        <f t="shared" si="20"/>
        <v>56</v>
      </c>
      <c r="Y176">
        <f t="shared" si="21"/>
        <v>0</v>
      </c>
      <c r="Z176">
        <f t="shared" si="22"/>
        <v>56</v>
      </c>
      <c r="AA176">
        <f t="shared" si="23"/>
        <v>205.23471064814657</v>
      </c>
      <c r="AB176">
        <f t="shared" si="24"/>
        <v>149.23471064814657</v>
      </c>
      <c r="AC176">
        <f>IFERROR(_xlfn.XLOOKUP(B176, HoldSummary!$A:$A, HoldSummary!B:B), 0)</f>
        <v>0</v>
      </c>
      <c r="AD176">
        <f>IFERROR(_xlfn.XLOOKUP(B176, HoldSummary!$A:$A, HoldSummary!C:C), 0)</f>
        <v>0</v>
      </c>
      <c r="AE176">
        <f>IFERROR(_xlfn.XLOOKUP(B176, HoldSummary!$A:$A, HoldSummary!D:D), 0)</f>
        <v>0</v>
      </c>
      <c r="AF176">
        <f>IFERROR(_xlfn.XLOOKUP(B176, HoldSummary!$A:$A, HoldSummary!E:E), 0)</f>
        <v>0</v>
      </c>
      <c r="AG176">
        <f>IFERROR(_xlfn.XLOOKUP(B176, HoldSummary!$A:$A, HoldSummary!F:F), 0)</f>
        <v>0</v>
      </c>
      <c r="AH176">
        <f>IFERROR(_xlfn.XLOOKUP(B176, HoldSummary!$A:$A, HoldSummary!G:G), 0)</f>
        <v>0</v>
      </c>
      <c r="AI176">
        <f>IFERROR(_xlfn.XLOOKUP(B176, HoldSummary!$A:$A, HoldSummary!H:H), 0)</f>
        <v>0</v>
      </c>
      <c r="AJ176">
        <f>IFERROR(_xlfn.XLOOKUP(B176, HoldSummary!$A:$A, HoldSummary!I:I), 0)</f>
        <v>0</v>
      </c>
      <c r="AK176">
        <f t="shared" si="25"/>
        <v>0</v>
      </c>
      <c r="AL176">
        <f t="shared" si="26"/>
        <v>205.23471064814657</v>
      </c>
      <c r="AM176">
        <f t="shared" si="27"/>
        <v>149.23471064814657</v>
      </c>
      <c r="AN176" s="12">
        <f t="shared" si="28"/>
        <v>21.833333333335759</v>
      </c>
      <c r="AO176">
        <f t="shared" si="29"/>
        <v>0</v>
      </c>
    </row>
    <row r="177" spans="1:41" x14ac:dyDescent="0.35">
      <c r="A177" t="s">
        <v>23</v>
      </c>
      <c r="B177" t="s">
        <v>444</v>
      </c>
      <c r="C177" t="s">
        <v>130</v>
      </c>
      <c r="D177" t="s">
        <v>44</v>
      </c>
      <c r="E177" t="s">
        <v>45</v>
      </c>
      <c r="F177" t="s">
        <v>28</v>
      </c>
      <c r="G177">
        <v>5</v>
      </c>
      <c r="H177" t="s">
        <v>445</v>
      </c>
      <c r="I177" t="s">
        <v>30</v>
      </c>
      <c r="J177" t="s">
        <v>31</v>
      </c>
      <c r="K177" t="s">
        <v>38</v>
      </c>
      <c r="L177" t="s">
        <v>39</v>
      </c>
      <c r="N177" s="2">
        <v>45252.349756944444</v>
      </c>
      <c r="O177" s="2">
        <v>45442.166666666664</v>
      </c>
      <c r="P177" s="2">
        <v>45541.166666666664</v>
      </c>
      <c r="Q177" s="2">
        <v>45539</v>
      </c>
      <c r="R177" s="2">
        <v>45540.072593136574</v>
      </c>
      <c r="S177" t="s">
        <v>446</v>
      </c>
      <c r="T177" s="2">
        <v>45412.166666666664</v>
      </c>
      <c r="U177" s="2">
        <v>45414.166666666664</v>
      </c>
      <c r="V177" s="2">
        <v>45414.166666666664</v>
      </c>
      <c r="W177" s="2">
        <v>45427.166666666664</v>
      </c>
      <c r="X177" s="3">
        <f t="shared" si="20"/>
        <v>2</v>
      </c>
      <c r="Y177">
        <f t="shared" si="21"/>
        <v>13</v>
      </c>
      <c r="Z177">
        <f t="shared" si="22"/>
        <v>15</v>
      </c>
      <c r="AA177">
        <f t="shared" si="23"/>
        <v>286.65024305555562</v>
      </c>
      <c r="AB177">
        <f t="shared" si="24"/>
        <v>271.65024305555562</v>
      </c>
      <c r="AC177">
        <f>IFERROR(_xlfn.XLOOKUP(B177, HoldSummary!$A:$A, HoldSummary!B:B), 0)</f>
        <v>0</v>
      </c>
      <c r="AD177">
        <f>IFERROR(_xlfn.XLOOKUP(B177, HoldSummary!$A:$A, HoldSummary!C:C), 0)</f>
        <v>0</v>
      </c>
      <c r="AE177">
        <f>IFERROR(_xlfn.XLOOKUP(B177, HoldSummary!$A:$A, HoldSummary!D:D), 0)</f>
        <v>0</v>
      </c>
      <c r="AF177">
        <f>IFERROR(_xlfn.XLOOKUP(B177, HoldSummary!$A:$A, HoldSummary!E:E), 0)</f>
        <v>0</v>
      </c>
      <c r="AG177">
        <f>IFERROR(_xlfn.XLOOKUP(B177, HoldSummary!$A:$A, HoldSummary!F:F), 0)</f>
        <v>0</v>
      </c>
      <c r="AH177">
        <f>IFERROR(_xlfn.XLOOKUP(B177, HoldSummary!$A:$A, HoldSummary!G:G), 0)</f>
        <v>0</v>
      </c>
      <c r="AI177">
        <f>IFERROR(_xlfn.XLOOKUP(B177, HoldSummary!$A:$A, HoldSummary!H:H), 0)</f>
        <v>0</v>
      </c>
      <c r="AJ177">
        <f>IFERROR(_xlfn.XLOOKUP(B177, HoldSummary!$A:$A, HoldSummary!I:I), 0)</f>
        <v>0</v>
      </c>
      <c r="AK177">
        <f t="shared" si="25"/>
        <v>0</v>
      </c>
      <c r="AL177">
        <f t="shared" si="26"/>
        <v>286.65024305555562</v>
      </c>
      <c r="AM177">
        <f t="shared" si="27"/>
        <v>271.65024305555562</v>
      </c>
      <c r="AN177" s="12">
        <f t="shared" si="28"/>
        <v>96.833333333335759</v>
      </c>
      <c r="AO177">
        <f t="shared" si="29"/>
        <v>0</v>
      </c>
    </row>
    <row r="178" spans="1:41" x14ac:dyDescent="0.35">
      <c r="A178" t="s">
        <v>23</v>
      </c>
      <c r="B178" t="s">
        <v>447</v>
      </c>
      <c r="C178" t="s">
        <v>76</v>
      </c>
      <c r="D178" t="s">
        <v>44</v>
      </c>
      <c r="E178" t="s">
        <v>45</v>
      </c>
      <c r="F178" t="s">
        <v>28</v>
      </c>
      <c r="G178">
        <v>5</v>
      </c>
      <c r="H178" t="s">
        <v>448</v>
      </c>
      <c r="I178" t="s">
        <v>30</v>
      </c>
      <c r="J178" t="s">
        <v>31</v>
      </c>
      <c r="K178" t="s">
        <v>38</v>
      </c>
      <c r="L178" t="s">
        <v>39</v>
      </c>
      <c r="N178" s="2">
        <v>45348.665798611109</v>
      </c>
      <c r="O178" s="2">
        <v>45408.166666666664</v>
      </c>
      <c r="P178" s="2">
        <v>45467.166666666664</v>
      </c>
      <c r="Q178" s="2">
        <v>45448</v>
      </c>
      <c r="R178" s="2">
        <v>45448.816248807867</v>
      </c>
      <c r="S178" t="s">
        <v>306</v>
      </c>
      <c r="T178" s="2">
        <v>45351.208333333336</v>
      </c>
      <c r="U178" s="2">
        <v>45351.208333333336</v>
      </c>
      <c r="V178" s="2">
        <v>45351.208333333336</v>
      </c>
      <c r="W178" s="2">
        <v>45351.208333333336</v>
      </c>
      <c r="X178" s="3">
        <f t="shared" si="20"/>
        <v>0</v>
      </c>
      <c r="Y178">
        <f t="shared" si="21"/>
        <v>0</v>
      </c>
      <c r="Z178">
        <f t="shared" si="22"/>
        <v>0</v>
      </c>
      <c r="AA178">
        <f t="shared" si="23"/>
        <v>99.334201388890506</v>
      </c>
      <c r="AB178">
        <f t="shared" si="24"/>
        <v>99.334201388890506</v>
      </c>
      <c r="AC178">
        <f>IFERROR(_xlfn.XLOOKUP(B178, HoldSummary!$A:$A, HoldSummary!B:B), 0)</f>
        <v>0</v>
      </c>
      <c r="AD178">
        <f>IFERROR(_xlfn.XLOOKUP(B178, HoldSummary!$A:$A, HoldSummary!C:C), 0)</f>
        <v>0</v>
      </c>
      <c r="AE178">
        <f>IFERROR(_xlfn.XLOOKUP(B178, HoldSummary!$A:$A, HoldSummary!D:D), 0)</f>
        <v>0</v>
      </c>
      <c r="AF178">
        <f>IFERROR(_xlfn.XLOOKUP(B178, HoldSummary!$A:$A, HoldSummary!E:E), 0)</f>
        <v>0</v>
      </c>
      <c r="AG178">
        <f>IFERROR(_xlfn.XLOOKUP(B178, HoldSummary!$A:$A, HoldSummary!F:F), 0)</f>
        <v>56</v>
      </c>
      <c r="AH178">
        <f>IFERROR(_xlfn.XLOOKUP(B178, HoldSummary!$A:$A, HoldSummary!G:G), 0)</f>
        <v>0</v>
      </c>
      <c r="AI178">
        <f>IFERROR(_xlfn.XLOOKUP(B178, HoldSummary!$A:$A, HoldSummary!H:H), 0)</f>
        <v>0</v>
      </c>
      <c r="AJ178">
        <f>IFERROR(_xlfn.XLOOKUP(B178, HoldSummary!$A:$A, HoldSummary!I:I), 0)</f>
        <v>0</v>
      </c>
      <c r="AK178">
        <f t="shared" si="25"/>
        <v>56</v>
      </c>
      <c r="AL178">
        <f t="shared" si="26"/>
        <v>43.334201388890506</v>
      </c>
      <c r="AM178">
        <f t="shared" si="27"/>
        <v>43.334201388890506</v>
      </c>
      <c r="AN178" s="12">
        <f t="shared" si="28"/>
        <v>39.833333333335759</v>
      </c>
      <c r="AO178">
        <f t="shared" si="29"/>
        <v>0</v>
      </c>
    </row>
    <row r="179" spans="1:41" x14ac:dyDescent="0.35">
      <c r="A179" t="s">
        <v>23</v>
      </c>
      <c r="B179" t="s">
        <v>449</v>
      </c>
      <c r="C179" t="s">
        <v>54</v>
      </c>
      <c r="D179" t="s">
        <v>44</v>
      </c>
      <c r="E179" t="s">
        <v>45</v>
      </c>
      <c r="F179" t="s">
        <v>28</v>
      </c>
      <c r="G179">
        <v>5</v>
      </c>
      <c r="H179" t="s">
        <v>450</v>
      </c>
      <c r="I179" t="s">
        <v>30</v>
      </c>
      <c r="J179" t="s">
        <v>31</v>
      </c>
      <c r="K179" t="s">
        <v>38</v>
      </c>
      <c r="L179" t="s">
        <v>39</v>
      </c>
      <c r="N179" s="2">
        <v>45314.4059375</v>
      </c>
      <c r="O179" s="2">
        <v>45512.166666666664</v>
      </c>
      <c r="P179" s="2">
        <v>45471.166666666664</v>
      </c>
      <c r="Q179" s="2">
        <v>45464</v>
      </c>
      <c r="R179" s="2">
        <v>45464.826761886572</v>
      </c>
      <c r="S179" t="s">
        <v>306</v>
      </c>
      <c r="T179" s="2">
        <v>45401.166666666664</v>
      </c>
      <c r="U179" s="2">
        <v>45457.166666666664</v>
      </c>
      <c r="V179" s="2">
        <v>45457.166666666664</v>
      </c>
      <c r="W179" s="2">
        <v>45457.166666666664</v>
      </c>
      <c r="X179" s="3">
        <f t="shared" si="20"/>
        <v>56</v>
      </c>
      <c r="Y179">
        <f t="shared" si="21"/>
        <v>0</v>
      </c>
      <c r="Z179">
        <f t="shared" si="22"/>
        <v>56</v>
      </c>
      <c r="AA179">
        <f t="shared" si="23"/>
        <v>149.59406250000029</v>
      </c>
      <c r="AB179">
        <f t="shared" si="24"/>
        <v>93.594062500000291</v>
      </c>
      <c r="AC179">
        <f>IFERROR(_xlfn.XLOOKUP(B179, HoldSummary!$A:$A, HoldSummary!B:B), 0)</f>
        <v>0</v>
      </c>
      <c r="AD179">
        <f>IFERROR(_xlfn.XLOOKUP(B179, HoldSummary!$A:$A, HoldSummary!C:C), 0)</f>
        <v>0</v>
      </c>
      <c r="AE179">
        <f>IFERROR(_xlfn.XLOOKUP(B179, HoldSummary!$A:$A, HoldSummary!D:D), 0)</f>
        <v>0</v>
      </c>
      <c r="AF179">
        <f>IFERROR(_xlfn.XLOOKUP(B179, HoldSummary!$A:$A, HoldSummary!E:E), 0)</f>
        <v>0</v>
      </c>
      <c r="AG179">
        <f>IFERROR(_xlfn.XLOOKUP(B179, HoldSummary!$A:$A, HoldSummary!F:F), 0)</f>
        <v>0</v>
      </c>
      <c r="AH179">
        <f>IFERROR(_xlfn.XLOOKUP(B179, HoldSummary!$A:$A, HoldSummary!G:G), 0)</f>
        <v>0</v>
      </c>
      <c r="AI179">
        <f>IFERROR(_xlfn.XLOOKUP(B179, HoldSummary!$A:$A, HoldSummary!H:H), 0)</f>
        <v>0</v>
      </c>
      <c r="AJ179">
        <f>IFERROR(_xlfn.XLOOKUP(B179, HoldSummary!$A:$A, HoldSummary!I:I), 0)</f>
        <v>0</v>
      </c>
      <c r="AK179">
        <f t="shared" si="25"/>
        <v>0</v>
      </c>
      <c r="AL179">
        <f t="shared" si="26"/>
        <v>149.59406250000029</v>
      </c>
      <c r="AM179">
        <f t="shared" si="27"/>
        <v>93.594062500000291</v>
      </c>
      <c r="AN179" s="12">
        <f t="shared" si="28"/>
        <v>-48.166666666664241</v>
      </c>
      <c r="AO179">
        <f t="shared" si="29"/>
        <v>1</v>
      </c>
    </row>
    <row r="180" spans="1:41" x14ac:dyDescent="0.35">
      <c r="A180" t="s">
        <v>23</v>
      </c>
      <c r="B180" t="s">
        <v>451</v>
      </c>
      <c r="C180" t="s">
        <v>113</v>
      </c>
      <c r="D180" t="s">
        <v>44</v>
      </c>
      <c r="E180" t="s">
        <v>45</v>
      </c>
      <c r="F180" t="s">
        <v>28</v>
      </c>
      <c r="G180">
        <v>5</v>
      </c>
      <c r="H180" t="s">
        <v>452</v>
      </c>
      <c r="I180" t="s">
        <v>30</v>
      </c>
      <c r="J180" t="s">
        <v>31</v>
      </c>
      <c r="K180" t="s">
        <v>38</v>
      </c>
      <c r="L180" t="s">
        <v>39</v>
      </c>
      <c r="N180" s="2">
        <v>45393.689328703702</v>
      </c>
      <c r="O180" s="2">
        <v>45513.166666666664</v>
      </c>
      <c r="P180" s="2">
        <v>45520.166666666664</v>
      </c>
      <c r="Q180" s="2">
        <v>45516</v>
      </c>
      <c r="R180" s="2">
        <v>45516.817857685186</v>
      </c>
      <c r="S180" t="s">
        <v>453</v>
      </c>
      <c r="T180" s="2">
        <v>45435.166666666664</v>
      </c>
      <c r="U180" s="2">
        <v>45471.166666666664</v>
      </c>
      <c r="V180" s="2">
        <v>45471.166666666664</v>
      </c>
      <c r="W180" s="2">
        <v>45474.166666666664</v>
      </c>
      <c r="X180" s="3">
        <f t="shared" si="20"/>
        <v>36</v>
      </c>
      <c r="Y180">
        <f t="shared" si="21"/>
        <v>3</v>
      </c>
      <c r="Z180">
        <f t="shared" si="22"/>
        <v>39</v>
      </c>
      <c r="AA180">
        <f t="shared" si="23"/>
        <v>122.3106712962981</v>
      </c>
      <c r="AB180">
        <f t="shared" si="24"/>
        <v>83.310671296298096</v>
      </c>
      <c r="AC180">
        <f>IFERROR(_xlfn.XLOOKUP(B180, HoldSummary!$A:$A, HoldSummary!B:B), 0)</f>
        <v>0</v>
      </c>
      <c r="AD180">
        <f>IFERROR(_xlfn.XLOOKUP(B180, HoldSummary!$A:$A, HoldSummary!C:C), 0)</f>
        <v>0</v>
      </c>
      <c r="AE180">
        <f>IFERROR(_xlfn.XLOOKUP(B180, HoldSummary!$A:$A, HoldSummary!D:D), 0)</f>
        <v>0</v>
      </c>
      <c r="AF180">
        <f>IFERROR(_xlfn.XLOOKUP(B180, HoldSummary!$A:$A, HoldSummary!E:E), 0)</f>
        <v>0</v>
      </c>
      <c r="AG180">
        <f>IFERROR(_xlfn.XLOOKUP(B180, HoldSummary!$A:$A, HoldSummary!F:F), 0)</f>
        <v>12</v>
      </c>
      <c r="AH180">
        <f>IFERROR(_xlfn.XLOOKUP(B180, HoldSummary!$A:$A, HoldSummary!G:G), 0)</f>
        <v>0</v>
      </c>
      <c r="AI180">
        <f>IFERROR(_xlfn.XLOOKUP(B180, HoldSummary!$A:$A, HoldSummary!H:H), 0)</f>
        <v>0</v>
      </c>
      <c r="AJ180">
        <f>IFERROR(_xlfn.XLOOKUP(B180, HoldSummary!$A:$A, HoldSummary!I:I), 0)</f>
        <v>0</v>
      </c>
      <c r="AK180">
        <f t="shared" si="25"/>
        <v>12</v>
      </c>
      <c r="AL180">
        <f t="shared" si="26"/>
        <v>110.3106712962981</v>
      </c>
      <c r="AM180">
        <f t="shared" si="27"/>
        <v>71.310671296298096</v>
      </c>
      <c r="AN180" s="12">
        <f t="shared" si="28"/>
        <v>2.8333333333357587</v>
      </c>
      <c r="AO180">
        <f t="shared" si="29"/>
        <v>0</v>
      </c>
    </row>
    <row r="181" spans="1:41" x14ac:dyDescent="0.35">
      <c r="A181" t="s">
        <v>23</v>
      </c>
      <c r="B181" t="s">
        <v>454</v>
      </c>
      <c r="C181" t="s">
        <v>43</v>
      </c>
      <c r="D181" t="s">
        <v>44</v>
      </c>
      <c r="E181" t="s">
        <v>45</v>
      </c>
      <c r="F181" t="s">
        <v>28</v>
      </c>
      <c r="G181">
        <v>5</v>
      </c>
      <c r="H181" t="s">
        <v>455</v>
      </c>
      <c r="I181" t="s">
        <v>30</v>
      </c>
      <c r="J181" t="s">
        <v>31</v>
      </c>
      <c r="K181" t="s">
        <v>38</v>
      </c>
      <c r="L181" t="s">
        <v>39</v>
      </c>
      <c r="M181" t="s">
        <v>81</v>
      </c>
      <c r="N181" s="2">
        <v>45456.89435185185</v>
      </c>
      <c r="O181" s="2">
        <v>45565.166666666664</v>
      </c>
      <c r="P181" s="2">
        <v>45485.166666666664</v>
      </c>
      <c r="Q181" s="2">
        <v>45481</v>
      </c>
      <c r="R181" s="2">
        <v>45481.88691601852</v>
      </c>
      <c r="S181" t="s">
        <v>215</v>
      </c>
      <c r="T181" s="2">
        <v>45463.166666666664</v>
      </c>
      <c r="U181" s="2">
        <v>45463.166666666664</v>
      </c>
      <c r="V181" s="2">
        <v>45463.166666666664</v>
      </c>
      <c r="W181" s="2">
        <v>45463.166666666664</v>
      </c>
      <c r="X181" s="3">
        <f t="shared" si="20"/>
        <v>0</v>
      </c>
      <c r="Y181">
        <f t="shared" si="21"/>
        <v>0</v>
      </c>
      <c r="Z181">
        <f t="shared" si="22"/>
        <v>0</v>
      </c>
      <c r="AA181">
        <f t="shared" si="23"/>
        <v>24.105648148150067</v>
      </c>
      <c r="AB181">
        <f t="shared" si="24"/>
        <v>24.105648148150067</v>
      </c>
      <c r="AC181">
        <f>IFERROR(_xlfn.XLOOKUP(B181, HoldSummary!$A:$A, HoldSummary!B:B), 0)</f>
        <v>0</v>
      </c>
      <c r="AD181">
        <f>IFERROR(_xlfn.XLOOKUP(B181, HoldSummary!$A:$A, HoldSummary!C:C), 0)</f>
        <v>0</v>
      </c>
      <c r="AE181">
        <f>IFERROR(_xlfn.XLOOKUP(B181, HoldSummary!$A:$A, HoldSummary!D:D), 0)</f>
        <v>0</v>
      </c>
      <c r="AF181">
        <f>IFERROR(_xlfn.XLOOKUP(B181, HoldSummary!$A:$A, HoldSummary!E:E), 0)</f>
        <v>0</v>
      </c>
      <c r="AG181">
        <f>IFERROR(_xlfn.XLOOKUP(B181, HoldSummary!$A:$A, HoldSummary!F:F), 0)</f>
        <v>0</v>
      </c>
      <c r="AH181">
        <f>IFERROR(_xlfn.XLOOKUP(B181, HoldSummary!$A:$A, HoldSummary!G:G), 0)</f>
        <v>0</v>
      </c>
      <c r="AI181">
        <f>IFERROR(_xlfn.XLOOKUP(B181, HoldSummary!$A:$A, HoldSummary!H:H), 0)</f>
        <v>0</v>
      </c>
      <c r="AJ181">
        <f>IFERROR(_xlfn.XLOOKUP(B181, HoldSummary!$A:$A, HoldSummary!I:I), 0)</f>
        <v>0</v>
      </c>
      <c r="AK181">
        <f t="shared" si="25"/>
        <v>0</v>
      </c>
      <c r="AL181">
        <f t="shared" si="26"/>
        <v>24.105648148150067</v>
      </c>
      <c r="AM181">
        <f t="shared" si="27"/>
        <v>24.105648148150067</v>
      </c>
      <c r="AN181" s="12">
        <f t="shared" si="28"/>
        <v>-84.166666666664241</v>
      </c>
      <c r="AO181">
        <f t="shared" si="29"/>
        <v>1</v>
      </c>
    </row>
    <row r="182" spans="1:41" x14ac:dyDescent="0.35">
      <c r="A182" t="s">
        <v>23</v>
      </c>
      <c r="B182" t="s">
        <v>456</v>
      </c>
      <c r="C182" t="s">
        <v>43</v>
      </c>
      <c r="D182" t="s">
        <v>44</v>
      </c>
      <c r="E182" t="s">
        <v>44</v>
      </c>
      <c r="F182" t="s">
        <v>28</v>
      </c>
      <c r="G182">
        <v>5</v>
      </c>
      <c r="H182" t="s">
        <v>457</v>
      </c>
      <c r="I182" t="s">
        <v>30</v>
      </c>
      <c r="J182" t="s">
        <v>300</v>
      </c>
      <c r="K182" t="s">
        <v>38</v>
      </c>
      <c r="L182" t="s">
        <v>53</v>
      </c>
      <c r="M182" t="s">
        <v>33</v>
      </c>
      <c r="N182" s="2">
        <v>45467.166666666664</v>
      </c>
      <c r="O182" s="2">
        <v>45597.166666666664</v>
      </c>
      <c r="P182" s="2">
        <v>45504.166666666664</v>
      </c>
      <c r="Q182" s="2">
        <v>45490</v>
      </c>
      <c r="R182" s="2">
        <v>45490.852834502315</v>
      </c>
      <c r="S182" t="s">
        <v>458</v>
      </c>
      <c r="T182" s="2"/>
      <c r="U182" s="2"/>
      <c r="V182" s="2"/>
      <c r="W182" s="2"/>
      <c r="X182" s="3" t="str">
        <f t="shared" si="20"/>
        <v/>
      </c>
      <c r="Y182" t="str">
        <f t="shared" si="21"/>
        <v/>
      </c>
      <c r="Z182">
        <f t="shared" si="22"/>
        <v>0</v>
      </c>
      <c r="AA182">
        <f t="shared" si="23"/>
        <v>22.833333333335759</v>
      </c>
      <c r="AB182">
        <f t="shared" si="24"/>
        <v>22.833333333335759</v>
      </c>
      <c r="AC182">
        <f>IFERROR(_xlfn.XLOOKUP(B182, HoldSummary!$A:$A, HoldSummary!B:B), 0)</f>
        <v>0</v>
      </c>
      <c r="AD182">
        <f>IFERROR(_xlfn.XLOOKUP(B182, HoldSummary!$A:$A, HoldSummary!C:C), 0)</f>
        <v>0</v>
      </c>
      <c r="AE182">
        <f>IFERROR(_xlfn.XLOOKUP(B182, HoldSummary!$A:$A, HoldSummary!D:D), 0)</f>
        <v>0</v>
      </c>
      <c r="AF182">
        <f>IFERROR(_xlfn.XLOOKUP(B182, HoldSummary!$A:$A, HoldSummary!E:E), 0)</f>
        <v>0</v>
      </c>
      <c r="AG182">
        <f>IFERROR(_xlfn.XLOOKUP(B182, HoldSummary!$A:$A, HoldSummary!F:F), 0)</f>
        <v>0</v>
      </c>
      <c r="AH182">
        <f>IFERROR(_xlfn.XLOOKUP(B182, HoldSummary!$A:$A, HoldSummary!G:G), 0)</f>
        <v>0</v>
      </c>
      <c r="AI182">
        <f>IFERROR(_xlfn.XLOOKUP(B182, HoldSummary!$A:$A, HoldSummary!H:H), 0)</f>
        <v>0</v>
      </c>
      <c r="AJ182">
        <f>IFERROR(_xlfn.XLOOKUP(B182, HoldSummary!$A:$A, HoldSummary!I:I), 0)</f>
        <v>0</v>
      </c>
      <c r="AK182">
        <f t="shared" si="25"/>
        <v>0</v>
      </c>
      <c r="AL182">
        <f t="shared" si="26"/>
        <v>22.833333333335759</v>
      </c>
      <c r="AM182">
        <f t="shared" si="27"/>
        <v>22.833333333335759</v>
      </c>
      <c r="AN182" s="12">
        <f t="shared" si="28"/>
        <v>-107.16666666666424</v>
      </c>
      <c r="AO182">
        <f t="shared" si="29"/>
        <v>1</v>
      </c>
    </row>
    <row r="183" spans="1:41" x14ac:dyDescent="0.35">
      <c r="A183" t="s">
        <v>23</v>
      </c>
      <c r="B183">
        <v>107928</v>
      </c>
      <c r="C183" t="s">
        <v>43</v>
      </c>
      <c r="D183" t="s">
        <v>44</v>
      </c>
      <c r="E183" t="s">
        <v>55</v>
      </c>
      <c r="F183" t="s">
        <v>28</v>
      </c>
      <c r="G183">
        <v>5</v>
      </c>
      <c r="H183" t="s">
        <v>459</v>
      </c>
      <c r="I183" t="s">
        <v>30</v>
      </c>
      <c r="J183" t="s">
        <v>31</v>
      </c>
      <c r="K183" t="s">
        <v>57</v>
      </c>
      <c r="L183" t="s">
        <v>39</v>
      </c>
      <c r="N183" s="2">
        <v>45530.166666666664</v>
      </c>
      <c r="O183" s="2">
        <v>45534.166666666664</v>
      </c>
      <c r="P183" s="2">
        <v>45534.166666666664</v>
      </c>
      <c r="Q183" s="2">
        <v>45532</v>
      </c>
      <c r="R183" s="2">
        <v>45532.847935706021</v>
      </c>
      <c r="T183" s="2"/>
      <c r="U183" s="2"/>
      <c r="V183" s="2"/>
      <c r="W183" s="2"/>
      <c r="X183" s="3" t="str">
        <f t="shared" si="20"/>
        <v/>
      </c>
      <c r="Y183" t="str">
        <f t="shared" si="21"/>
        <v/>
      </c>
      <c r="Z183">
        <f t="shared" si="22"/>
        <v>0</v>
      </c>
      <c r="AA183">
        <f t="shared" si="23"/>
        <v>1.8333333333357587</v>
      </c>
      <c r="AB183">
        <f t="shared" si="24"/>
        <v>1.8333333333357587</v>
      </c>
      <c r="AC183">
        <f>IFERROR(_xlfn.XLOOKUP(B183, HoldSummary!$A:$A, HoldSummary!B:B), 0)</f>
        <v>0</v>
      </c>
      <c r="AD183">
        <f>IFERROR(_xlfn.XLOOKUP(B183, HoldSummary!$A:$A, HoldSummary!C:C), 0)</f>
        <v>0</v>
      </c>
      <c r="AE183">
        <f>IFERROR(_xlfn.XLOOKUP(B183, HoldSummary!$A:$A, HoldSummary!D:D), 0)</f>
        <v>0</v>
      </c>
      <c r="AF183">
        <f>IFERROR(_xlfn.XLOOKUP(B183, HoldSummary!$A:$A, HoldSummary!E:E), 0)</f>
        <v>0</v>
      </c>
      <c r="AG183">
        <f>IFERROR(_xlfn.XLOOKUP(B183, HoldSummary!$A:$A, HoldSummary!F:F), 0)</f>
        <v>0</v>
      </c>
      <c r="AH183">
        <f>IFERROR(_xlfn.XLOOKUP(B183, HoldSummary!$A:$A, HoldSummary!G:G), 0)</f>
        <v>0</v>
      </c>
      <c r="AI183">
        <f>IFERROR(_xlfn.XLOOKUP(B183, HoldSummary!$A:$A, HoldSummary!H:H), 0)</f>
        <v>0</v>
      </c>
      <c r="AJ183">
        <f>IFERROR(_xlfn.XLOOKUP(B183, HoldSummary!$A:$A, HoldSummary!I:I), 0)</f>
        <v>0</v>
      </c>
      <c r="AK183">
        <f t="shared" si="25"/>
        <v>0</v>
      </c>
      <c r="AL183">
        <f t="shared" si="26"/>
        <v>1.8333333333357587</v>
      </c>
      <c r="AM183">
        <f t="shared" si="27"/>
        <v>1.8333333333357587</v>
      </c>
      <c r="AN183" s="12">
        <f t="shared" si="28"/>
        <v>-2.1666666666642413</v>
      </c>
      <c r="AO183">
        <f t="shared" si="29"/>
        <v>1</v>
      </c>
    </row>
    <row r="184" spans="1:41" x14ac:dyDescent="0.35">
      <c r="A184" t="s">
        <v>23</v>
      </c>
      <c r="B184" t="s">
        <v>460</v>
      </c>
      <c r="C184" t="s">
        <v>461</v>
      </c>
      <c r="D184" t="s">
        <v>44</v>
      </c>
      <c r="E184" t="s">
        <v>44</v>
      </c>
      <c r="F184" t="s">
        <v>28</v>
      </c>
      <c r="G184">
        <v>5</v>
      </c>
      <c r="H184" t="s">
        <v>462</v>
      </c>
      <c r="I184" t="s">
        <v>30</v>
      </c>
      <c r="J184" t="s">
        <v>70</v>
      </c>
      <c r="K184" t="s">
        <v>48</v>
      </c>
      <c r="L184" t="s">
        <v>185</v>
      </c>
      <c r="N184" s="2">
        <v>45572.166666666664</v>
      </c>
      <c r="O184" s="2">
        <v>45624.208333333336</v>
      </c>
      <c r="P184" s="2">
        <v>45624.208333333336</v>
      </c>
      <c r="Q184" s="2">
        <v>45609</v>
      </c>
      <c r="R184" s="2">
        <v>45609.880804155095</v>
      </c>
      <c r="S184" t="s">
        <v>463</v>
      </c>
      <c r="T184" s="2"/>
      <c r="U184" s="2"/>
      <c r="V184" s="2"/>
      <c r="W184" s="2"/>
      <c r="X184" s="3" t="str">
        <f t="shared" si="20"/>
        <v/>
      </c>
      <c r="Y184" t="str">
        <f t="shared" si="21"/>
        <v/>
      </c>
      <c r="Z184">
        <f t="shared" si="22"/>
        <v>0</v>
      </c>
      <c r="AA184">
        <f t="shared" si="23"/>
        <v>36.833333333335759</v>
      </c>
      <c r="AB184">
        <f t="shared" si="24"/>
        <v>36.833333333335759</v>
      </c>
      <c r="AC184">
        <f>IFERROR(_xlfn.XLOOKUP(B184, HoldSummary!$A:$A, HoldSummary!B:B), 0)</f>
        <v>0</v>
      </c>
      <c r="AD184">
        <f>IFERROR(_xlfn.XLOOKUP(B184, HoldSummary!$A:$A, HoldSummary!C:C), 0)</f>
        <v>0</v>
      </c>
      <c r="AE184">
        <f>IFERROR(_xlfn.XLOOKUP(B184, HoldSummary!$A:$A, HoldSummary!D:D), 0)</f>
        <v>0</v>
      </c>
      <c r="AF184">
        <f>IFERROR(_xlfn.XLOOKUP(B184, HoldSummary!$A:$A, HoldSummary!E:E), 0)</f>
        <v>0</v>
      </c>
      <c r="AG184">
        <f>IFERROR(_xlfn.XLOOKUP(B184, HoldSummary!$A:$A, HoldSummary!F:F), 0)</f>
        <v>0</v>
      </c>
      <c r="AH184">
        <f>IFERROR(_xlfn.XLOOKUP(B184, HoldSummary!$A:$A, HoldSummary!G:G), 0)</f>
        <v>0</v>
      </c>
      <c r="AI184">
        <f>IFERROR(_xlfn.XLOOKUP(B184, HoldSummary!$A:$A, HoldSummary!H:H), 0)</f>
        <v>0</v>
      </c>
      <c r="AJ184">
        <f>IFERROR(_xlfn.XLOOKUP(B184, HoldSummary!$A:$A, HoldSummary!I:I), 0)</f>
        <v>0</v>
      </c>
      <c r="AK184">
        <f t="shared" si="25"/>
        <v>0</v>
      </c>
      <c r="AL184">
        <f t="shared" si="26"/>
        <v>36.833333333335759</v>
      </c>
      <c r="AM184">
        <f t="shared" si="27"/>
        <v>36.833333333335759</v>
      </c>
      <c r="AN184" s="12">
        <f t="shared" si="28"/>
        <v>-15.208333333335759</v>
      </c>
      <c r="AO184">
        <f t="shared" si="29"/>
        <v>1</v>
      </c>
    </row>
    <row r="185" spans="1:41" x14ac:dyDescent="0.35">
      <c r="A185" t="s">
        <v>23</v>
      </c>
      <c r="B185" t="s">
        <v>464</v>
      </c>
      <c r="C185" t="s">
        <v>244</v>
      </c>
      <c r="D185" t="s">
        <v>44</v>
      </c>
      <c r="E185" t="s">
        <v>27</v>
      </c>
      <c r="F185" t="s">
        <v>28</v>
      </c>
      <c r="G185">
        <v>5</v>
      </c>
      <c r="H185" t="s">
        <v>465</v>
      </c>
      <c r="I185" t="s">
        <v>30</v>
      </c>
      <c r="J185" t="s">
        <v>31</v>
      </c>
      <c r="K185" t="s">
        <v>38</v>
      </c>
      <c r="L185" t="s">
        <v>39</v>
      </c>
      <c r="M185" t="s">
        <v>33</v>
      </c>
      <c r="N185" s="2">
        <v>45686.624571759261</v>
      </c>
      <c r="O185" s="2">
        <v>45744.166666666664</v>
      </c>
      <c r="P185" s="2">
        <v>45733.166666666664</v>
      </c>
      <c r="Q185" s="2">
        <v>45736</v>
      </c>
      <c r="R185" s="2">
        <v>45736.691733344909</v>
      </c>
      <c r="S185" t="s">
        <v>466</v>
      </c>
      <c r="T185" s="2">
        <v>45694.208333333336</v>
      </c>
      <c r="U185" s="2">
        <v>45713.208333333336</v>
      </c>
      <c r="V185" s="2">
        <v>45713.208333333336</v>
      </c>
      <c r="W185" s="2">
        <v>45730.166666666664</v>
      </c>
      <c r="X185" s="3">
        <f t="shared" si="20"/>
        <v>19</v>
      </c>
      <c r="Y185">
        <f t="shared" si="21"/>
        <v>16.958333333328483</v>
      </c>
      <c r="Z185">
        <f t="shared" si="22"/>
        <v>35.958333333328483</v>
      </c>
      <c r="AA185">
        <f t="shared" si="23"/>
        <v>49.375428240738984</v>
      </c>
      <c r="AB185">
        <f t="shared" si="24"/>
        <v>13.417094907410501</v>
      </c>
      <c r="AC185">
        <f>IFERROR(_xlfn.XLOOKUP(B185, HoldSummary!$A:$A, HoldSummary!B:B), 0)</f>
        <v>0</v>
      </c>
      <c r="AD185">
        <f>IFERROR(_xlfn.XLOOKUP(B185, HoldSummary!$A:$A, HoldSummary!C:C), 0)</f>
        <v>0</v>
      </c>
      <c r="AE185">
        <f>IFERROR(_xlfn.XLOOKUP(B185, HoldSummary!$A:$A, HoldSummary!D:D), 0)</f>
        <v>0</v>
      </c>
      <c r="AF185">
        <f>IFERROR(_xlfn.XLOOKUP(B185, HoldSummary!$A:$A, HoldSummary!E:E), 0)</f>
        <v>0</v>
      </c>
      <c r="AG185">
        <f>IFERROR(_xlfn.XLOOKUP(B185, HoldSummary!$A:$A, HoldSummary!F:F), 0)</f>
        <v>6</v>
      </c>
      <c r="AH185">
        <f>IFERROR(_xlfn.XLOOKUP(B185, HoldSummary!$A:$A, HoldSummary!G:G), 0)</f>
        <v>0</v>
      </c>
      <c r="AI185">
        <f>IFERROR(_xlfn.XLOOKUP(B185, HoldSummary!$A:$A, HoldSummary!H:H), 0)</f>
        <v>0</v>
      </c>
      <c r="AJ185">
        <f>IFERROR(_xlfn.XLOOKUP(B185, HoldSummary!$A:$A, HoldSummary!I:I), 0)</f>
        <v>0</v>
      </c>
      <c r="AK185">
        <f t="shared" si="25"/>
        <v>6</v>
      </c>
      <c r="AL185">
        <f t="shared" si="26"/>
        <v>43.375428240738984</v>
      </c>
      <c r="AM185">
        <f t="shared" si="27"/>
        <v>7.417094907410501</v>
      </c>
      <c r="AN185" s="12">
        <f t="shared" si="28"/>
        <v>-8.1666666666642413</v>
      </c>
      <c r="AO185">
        <f t="shared" si="29"/>
        <v>1</v>
      </c>
    </row>
    <row r="186" spans="1:41" x14ac:dyDescent="0.35">
      <c r="A186" t="s">
        <v>23</v>
      </c>
      <c r="B186" t="s">
        <v>467</v>
      </c>
      <c r="C186" t="s">
        <v>373</v>
      </c>
      <c r="D186" t="s">
        <v>44</v>
      </c>
      <c r="E186" t="s">
        <v>45</v>
      </c>
      <c r="F186" t="s">
        <v>28</v>
      </c>
      <c r="G186">
        <v>5</v>
      </c>
      <c r="H186" t="s">
        <v>468</v>
      </c>
      <c r="I186" t="s">
        <v>30</v>
      </c>
      <c r="J186" t="s">
        <v>31</v>
      </c>
      <c r="K186" t="s">
        <v>174</v>
      </c>
      <c r="L186" t="s">
        <v>174</v>
      </c>
      <c r="M186" t="s">
        <v>33</v>
      </c>
      <c r="N186" s="2">
        <v>45827.57435185185</v>
      </c>
      <c r="O186" s="2">
        <v>45827.166666666664</v>
      </c>
      <c r="P186" s="2">
        <v>45827.166666666664</v>
      </c>
      <c r="Q186" s="2">
        <v>45827</v>
      </c>
      <c r="R186" s="2">
        <v>45828.64746521991</v>
      </c>
      <c r="S186" t="s">
        <v>469</v>
      </c>
      <c r="T186" s="2"/>
      <c r="U186" s="2"/>
      <c r="V186" s="2"/>
      <c r="W186" s="2"/>
      <c r="X186" s="3" t="str">
        <f t="shared" si="20"/>
        <v/>
      </c>
      <c r="Y186" t="str">
        <f t="shared" si="21"/>
        <v/>
      </c>
      <c r="Z186">
        <f t="shared" si="22"/>
        <v>0</v>
      </c>
      <c r="AA186">
        <f t="shared" si="23"/>
        <v>-0.57435185185022419</v>
      </c>
      <c r="AB186">
        <f t="shared" si="24"/>
        <v>-0.57435185185022419</v>
      </c>
      <c r="AC186">
        <f>IFERROR(_xlfn.XLOOKUP(B186, HoldSummary!$A:$A, HoldSummary!B:B), 0)</f>
        <v>0</v>
      </c>
      <c r="AD186">
        <f>IFERROR(_xlfn.XLOOKUP(B186, HoldSummary!$A:$A, HoldSummary!C:C), 0)</f>
        <v>0</v>
      </c>
      <c r="AE186">
        <f>IFERROR(_xlfn.XLOOKUP(B186, HoldSummary!$A:$A, HoldSummary!D:D), 0)</f>
        <v>0</v>
      </c>
      <c r="AF186">
        <f>IFERROR(_xlfn.XLOOKUP(B186, HoldSummary!$A:$A, HoldSummary!E:E), 0)</f>
        <v>0</v>
      </c>
      <c r="AG186">
        <f>IFERROR(_xlfn.XLOOKUP(B186, HoldSummary!$A:$A, HoldSummary!F:F), 0)</f>
        <v>0</v>
      </c>
      <c r="AH186">
        <f>IFERROR(_xlfn.XLOOKUP(B186, HoldSummary!$A:$A, HoldSummary!G:G), 0)</f>
        <v>0</v>
      </c>
      <c r="AI186">
        <f>IFERROR(_xlfn.XLOOKUP(B186, HoldSummary!$A:$A, HoldSummary!H:H), 0)</f>
        <v>0</v>
      </c>
      <c r="AJ186">
        <f>IFERROR(_xlfn.XLOOKUP(B186, HoldSummary!$A:$A, HoldSummary!I:I), 0)</f>
        <v>0</v>
      </c>
      <c r="AK186">
        <f t="shared" si="25"/>
        <v>0</v>
      </c>
      <c r="AL186">
        <f t="shared" si="26"/>
        <v>-0.57435185185022419</v>
      </c>
      <c r="AM186">
        <f t="shared" si="27"/>
        <v>-0.57435185185022419</v>
      </c>
      <c r="AN186" s="12">
        <f t="shared" si="28"/>
        <v>-0.16666666666424135</v>
      </c>
      <c r="AO186">
        <f t="shared" si="29"/>
        <v>1</v>
      </c>
    </row>
    <row r="187" spans="1:41" x14ac:dyDescent="0.35">
      <c r="A187" t="s">
        <v>23</v>
      </c>
      <c r="B187" t="s">
        <v>470</v>
      </c>
      <c r="C187" t="s">
        <v>43</v>
      </c>
      <c r="D187" t="s">
        <v>44</v>
      </c>
      <c r="E187" t="s">
        <v>45</v>
      </c>
      <c r="F187" t="s">
        <v>28</v>
      </c>
      <c r="G187">
        <v>6</v>
      </c>
      <c r="H187" t="s">
        <v>471</v>
      </c>
      <c r="I187" t="s">
        <v>30</v>
      </c>
      <c r="J187" t="s">
        <v>70</v>
      </c>
      <c r="K187" t="s">
        <v>48</v>
      </c>
      <c r="L187" t="s">
        <v>192</v>
      </c>
      <c r="N187" s="2">
        <v>44852.38386574074</v>
      </c>
      <c r="O187" s="2">
        <v>45107.166666666664</v>
      </c>
      <c r="P187" s="2">
        <v>45449.166666666664</v>
      </c>
      <c r="Q187" s="2">
        <v>45450</v>
      </c>
      <c r="R187" s="2">
        <v>45453.464847060182</v>
      </c>
      <c r="S187" t="s">
        <v>472</v>
      </c>
      <c r="T187" s="2">
        <v>44894.208333333336</v>
      </c>
      <c r="U187" s="2">
        <v>44907.208333333336</v>
      </c>
      <c r="V187" s="2">
        <v>44907.208333333336</v>
      </c>
      <c r="W187" s="2">
        <v>44908.208333333336</v>
      </c>
      <c r="X187" s="3">
        <f t="shared" si="20"/>
        <v>13</v>
      </c>
      <c r="Y187">
        <f t="shared" si="21"/>
        <v>1</v>
      </c>
      <c r="Z187">
        <f t="shared" si="22"/>
        <v>14</v>
      </c>
      <c r="AA187">
        <f t="shared" si="23"/>
        <v>597.61613425926043</v>
      </c>
      <c r="AB187">
        <f t="shared" si="24"/>
        <v>583.61613425926043</v>
      </c>
      <c r="AC187">
        <f>IFERROR(_xlfn.XLOOKUP(B187, HoldSummary!$A:$A, HoldSummary!B:B), 0)</f>
        <v>0</v>
      </c>
      <c r="AD187">
        <f>IFERROR(_xlfn.XLOOKUP(B187, HoldSummary!$A:$A, HoldSummary!C:C), 0)</f>
        <v>0</v>
      </c>
      <c r="AE187">
        <f>IFERROR(_xlfn.XLOOKUP(B187, HoldSummary!$A:$A, HoldSummary!D:D), 0)</f>
        <v>0</v>
      </c>
      <c r="AF187">
        <f>IFERROR(_xlfn.XLOOKUP(B187, HoldSummary!$A:$A, HoldSummary!E:E), 0)</f>
        <v>0</v>
      </c>
      <c r="AG187">
        <f>IFERROR(_xlfn.XLOOKUP(B187, HoldSummary!$A:$A, HoldSummary!F:F), 0)</f>
        <v>0</v>
      </c>
      <c r="AH187">
        <f>IFERROR(_xlfn.XLOOKUP(B187, HoldSummary!$A:$A, HoldSummary!G:G), 0)</f>
        <v>0</v>
      </c>
      <c r="AI187">
        <f>IFERROR(_xlfn.XLOOKUP(B187, HoldSummary!$A:$A, HoldSummary!H:H), 0)</f>
        <v>0</v>
      </c>
      <c r="AJ187">
        <f>IFERROR(_xlfn.XLOOKUP(B187, HoldSummary!$A:$A, HoldSummary!I:I), 0)</f>
        <v>0</v>
      </c>
      <c r="AK187">
        <f t="shared" si="25"/>
        <v>0</v>
      </c>
      <c r="AL187">
        <f t="shared" si="26"/>
        <v>597.61613425926043</v>
      </c>
      <c r="AM187">
        <f t="shared" si="27"/>
        <v>583.61613425926043</v>
      </c>
      <c r="AN187" s="12">
        <f t="shared" si="28"/>
        <v>342.83333333333576</v>
      </c>
      <c r="AO187">
        <f t="shared" si="29"/>
        <v>0</v>
      </c>
    </row>
    <row r="188" spans="1:41" x14ac:dyDescent="0.35">
      <c r="A188" t="s">
        <v>23</v>
      </c>
      <c r="B188" t="s">
        <v>473</v>
      </c>
      <c r="C188" t="s">
        <v>113</v>
      </c>
      <c r="D188" t="s">
        <v>44</v>
      </c>
      <c r="E188" t="s">
        <v>45</v>
      </c>
      <c r="F188" t="s">
        <v>28</v>
      </c>
      <c r="G188">
        <v>6</v>
      </c>
      <c r="H188" t="s">
        <v>474</v>
      </c>
      <c r="I188" t="s">
        <v>30</v>
      </c>
      <c r="J188" t="s">
        <v>31</v>
      </c>
      <c r="K188" t="s">
        <v>38</v>
      </c>
      <c r="L188" t="s">
        <v>39</v>
      </c>
      <c r="N188" s="2">
        <v>45029.734722222223</v>
      </c>
      <c r="O188" s="2">
        <v>45310.208333333336</v>
      </c>
      <c r="P188" s="2">
        <v>45359.208333333336</v>
      </c>
      <c r="Q188" s="2">
        <v>45356</v>
      </c>
      <c r="R188" s="2">
        <v>45356.754832280094</v>
      </c>
      <c r="S188" t="s">
        <v>437</v>
      </c>
      <c r="T188" s="2">
        <v>45184.166666666664</v>
      </c>
      <c r="U188" s="2">
        <v>45201.166666666664</v>
      </c>
      <c r="V188" s="2">
        <v>45201.166666666664</v>
      </c>
      <c r="W188" s="2">
        <v>45271.208333333336</v>
      </c>
      <c r="X188" s="3">
        <f t="shared" si="20"/>
        <v>17</v>
      </c>
      <c r="Y188">
        <f t="shared" si="21"/>
        <v>70.041666666671517</v>
      </c>
      <c r="Z188">
        <f t="shared" si="22"/>
        <v>87.041666666671517</v>
      </c>
      <c r="AA188">
        <f t="shared" si="23"/>
        <v>326.26527777777665</v>
      </c>
      <c r="AB188">
        <f t="shared" si="24"/>
        <v>239.22361111110513</v>
      </c>
      <c r="AC188">
        <f>IFERROR(_xlfn.XLOOKUP(B188, HoldSummary!$A:$A, HoldSummary!B:B), 0)</f>
        <v>0</v>
      </c>
      <c r="AD188">
        <f>IFERROR(_xlfn.XLOOKUP(B188, HoldSummary!$A:$A, HoldSummary!C:C), 0)</f>
        <v>0</v>
      </c>
      <c r="AE188">
        <f>IFERROR(_xlfn.XLOOKUP(B188, HoldSummary!$A:$A, HoldSummary!D:D), 0)</f>
        <v>0</v>
      </c>
      <c r="AF188">
        <f>IFERROR(_xlfn.XLOOKUP(B188, HoldSummary!$A:$A, HoldSummary!E:E), 0)</f>
        <v>0</v>
      </c>
      <c r="AG188">
        <f>IFERROR(_xlfn.XLOOKUP(B188, HoldSummary!$A:$A, HoldSummary!F:F), 0)</f>
        <v>0</v>
      </c>
      <c r="AH188">
        <f>IFERROR(_xlfn.XLOOKUP(B188, HoldSummary!$A:$A, HoldSummary!G:G), 0)</f>
        <v>0</v>
      </c>
      <c r="AI188">
        <f>IFERROR(_xlfn.XLOOKUP(B188, HoldSummary!$A:$A, HoldSummary!H:H), 0)</f>
        <v>0</v>
      </c>
      <c r="AJ188">
        <f>IFERROR(_xlfn.XLOOKUP(B188, HoldSummary!$A:$A, HoldSummary!I:I), 0)</f>
        <v>0</v>
      </c>
      <c r="AK188">
        <f t="shared" si="25"/>
        <v>0</v>
      </c>
      <c r="AL188">
        <f t="shared" si="26"/>
        <v>326.26527777777665</v>
      </c>
      <c r="AM188">
        <f t="shared" si="27"/>
        <v>239.22361111110513</v>
      </c>
      <c r="AN188" s="12">
        <f t="shared" si="28"/>
        <v>45.791666666664241</v>
      </c>
      <c r="AO188">
        <f t="shared" si="29"/>
        <v>0</v>
      </c>
    </row>
    <row r="189" spans="1:41" x14ac:dyDescent="0.35">
      <c r="A189" t="s">
        <v>23</v>
      </c>
      <c r="B189" t="s">
        <v>475</v>
      </c>
      <c r="C189" t="s">
        <v>113</v>
      </c>
      <c r="D189" t="s">
        <v>44</v>
      </c>
      <c r="E189" t="s">
        <v>45</v>
      </c>
      <c r="F189" t="s">
        <v>28</v>
      </c>
      <c r="G189">
        <v>6</v>
      </c>
      <c r="H189" t="s">
        <v>476</v>
      </c>
      <c r="I189" t="s">
        <v>30</v>
      </c>
      <c r="J189" t="s">
        <v>31</v>
      </c>
      <c r="K189" t="s">
        <v>38</v>
      </c>
      <c r="L189" t="s">
        <v>39</v>
      </c>
      <c r="N189" s="2">
        <v>45140.588240740741</v>
      </c>
      <c r="O189" s="2">
        <v>45243.208333333336</v>
      </c>
      <c r="P189" s="2">
        <v>45387.166666666664</v>
      </c>
      <c r="Q189" s="2">
        <v>45380</v>
      </c>
      <c r="R189" s="2">
        <v>45383.580846608798</v>
      </c>
      <c r="S189" t="s">
        <v>477</v>
      </c>
      <c r="T189" s="2">
        <v>45182.166666666664</v>
      </c>
      <c r="U189" s="2">
        <v>45211.166666666664</v>
      </c>
      <c r="V189" s="2">
        <v>45211.166666666664</v>
      </c>
      <c r="W189" s="2">
        <v>45301.208333333336</v>
      </c>
      <c r="X189" s="3">
        <f t="shared" si="20"/>
        <v>29</v>
      </c>
      <c r="Y189">
        <f t="shared" si="21"/>
        <v>90.041666666671517</v>
      </c>
      <c r="Z189">
        <f t="shared" si="22"/>
        <v>119.04166666667152</v>
      </c>
      <c r="AA189">
        <f t="shared" si="23"/>
        <v>239.41175925925927</v>
      </c>
      <c r="AB189">
        <f t="shared" si="24"/>
        <v>120.37009259258775</v>
      </c>
      <c r="AC189">
        <f>IFERROR(_xlfn.XLOOKUP(B189, HoldSummary!$A:$A, HoldSummary!B:B), 0)</f>
        <v>0</v>
      </c>
      <c r="AD189">
        <f>IFERROR(_xlfn.XLOOKUP(B189, HoldSummary!$A:$A, HoldSummary!C:C), 0)</f>
        <v>0</v>
      </c>
      <c r="AE189">
        <f>IFERROR(_xlfn.XLOOKUP(B189, HoldSummary!$A:$A, HoldSummary!D:D), 0)</f>
        <v>0</v>
      </c>
      <c r="AF189">
        <f>IFERROR(_xlfn.XLOOKUP(B189, HoldSummary!$A:$A, HoldSummary!E:E), 0)</f>
        <v>0</v>
      </c>
      <c r="AG189">
        <f>IFERROR(_xlfn.XLOOKUP(B189, HoldSummary!$A:$A, HoldSummary!F:F), 0)</f>
        <v>0</v>
      </c>
      <c r="AH189">
        <f>IFERROR(_xlfn.XLOOKUP(B189, HoldSummary!$A:$A, HoldSummary!G:G), 0)</f>
        <v>21</v>
      </c>
      <c r="AI189">
        <f>IFERROR(_xlfn.XLOOKUP(B189, HoldSummary!$A:$A, HoldSummary!H:H), 0)</f>
        <v>32</v>
      </c>
      <c r="AJ189">
        <f>IFERROR(_xlfn.XLOOKUP(B189, HoldSummary!$A:$A, HoldSummary!I:I), 0)</f>
        <v>0</v>
      </c>
      <c r="AK189">
        <f t="shared" si="25"/>
        <v>53</v>
      </c>
      <c r="AL189">
        <f t="shared" si="26"/>
        <v>186.41175925925927</v>
      </c>
      <c r="AM189">
        <f t="shared" si="27"/>
        <v>67.370092592587753</v>
      </c>
      <c r="AN189" s="12">
        <f t="shared" si="28"/>
        <v>136.79166666666424</v>
      </c>
      <c r="AO189">
        <f t="shared" si="29"/>
        <v>0</v>
      </c>
    </row>
    <row r="190" spans="1:41" x14ac:dyDescent="0.35">
      <c r="A190" t="s">
        <v>23</v>
      </c>
      <c r="B190" t="s">
        <v>478</v>
      </c>
      <c r="C190" t="s">
        <v>43</v>
      </c>
      <c r="D190" t="s">
        <v>44</v>
      </c>
      <c r="E190" t="s">
        <v>45</v>
      </c>
      <c r="F190" t="s">
        <v>28</v>
      </c>
      <c r="G190">
        <v>6</v>
      </c>
      <c r="H190" t="s">
        <v>479</v>
      </c>
      <c r="I190" t="s">
        <v>30</v>
      </c>
      <c r="J190" t="s">
        <v>70</v>
      </c>
      <c r="K190" t="s">
        <v>48</v>
      </c>
      <c r="L190" t="s">
        <v>192</v>
      </c>
      <c r="N190" s="2">
        <v>45226.512615740743</v>
      </c>
      <c r="O190" s="2">
        <v>45324.208333333336</v>
      </c>
      <c r="P190" s="2">
        <v>45380.166666666664</v>
      </c>
      <c r="Q190" s="2">
        <v>45378</v>
      </c>
      <c r="R190" s="2">
        <v>45378.733365219909</v>
      </c>
      <c r="S190" t="s">
        <v>480</v>
      </c>
      <c r="T190" s="2">
        <v>45349.208333333336</v>
      </c>
      <c r="U190" s="2">
        <v>45358.208333333336</v>
      </c>
      <c r="V190" s="2">
        <v>45358.208333333336</v>
      </c>
      <c r="W190" s="2">
        <v>45358.208333333336</v>
      </c>
      <c r="X190" s="3">
        <f t="shared" si="20"/>
        <v>9</v>
      </c>
      <c r="Y190">
        <f t="shared" si="21"/>
        <v>0</v>
      </c>
      <c r="Z190">
        <f t="shared" si="22"/>
        <v>9</v>
      </c>
      <c r="AA190">
        <f t="shared" si="23"/>
        <v>151.48738425925694</v>
      </c>
      <c r="AB190">
        <f t="shared" si="24"/>
        <v>142.48738425925694</v>
      </c>
      <c r="AC190">
        <f>IFERROR(_xlfn.XLOOKUP(B190, HoldSummary!$A:$A, HoldSummary!B:B), 0)</f>
        <v>0</v>
      </c>
      <c r="AD190">
        <f>IFERROR(_xlfn.XLOOKUP(B190, HoldSummary!$A:$A, HoldSummary!C:C), 0)</f>
        <v>0</v>
      </c>
      <c r="AE190">
        <f>IFERROR(_xlfn.XLOOKUP(B190, HoldSummary!$A:$A, HoldSummary!D:D), 0)</f>
        <v>0</v>
      </c>
      <c r="AF190">
        <f>IFERROR(_xlfn.XLOOKUP(B190, HoldSummary!$A:$A, HoldSummary!E:E), 0)</f>
        <v>0</v>
      </c>
      <c r="AG190">
        <f>IFERROR(_xlfn.XLOOKUP(B190, HoldSummary!$A:$A, HoldSummary!F:F), 0)</f>
        <v>0</v>
      </c>
      <c r="AH190">
        <f>IFERROR(_xlfn.XLOOKUP(B190, HoldSummary!$A:$A, HoldSummary!G:G), 0)</f>
        <v>0</v>
      </c>
      <c r="AI190">
        <f>IFERROR(_xlfn.XLOOKUP(B190, HoldSummary!$A:$A, HoldSummary!H:H), 0)</f>
        <v>0</v>
      </c>
      <c r="AJ190">
        <f>IFERROR(_xlfn.XLOOKUP(B190, HoldSummary!$A:$A, HoldSummary!I:I), 0)</f>
        <v>0</v>
      </c>
      <c r="AK190">
        <f t="shared" si="25"/>
        <v>0</v>
      </c>
      <c r="AL190">
        <f t="shared" si="26"/>
        <v>151.48738425925694</v>
      </c>
      <c r="AM190">
        <f t="shared" si="27"/>
        <v>142.48738425925694</v>
      </c>
      <c r="AN190" s="12">
        <f t="shared" si="28"/>
        <v>53.791666666664241</v>
      </c>
      <c r="AO190">
        <f t="shared" si="29"/>
        <v>0</v>
      </c>
    </row>
    <row r="191" spans="1:41" x14ac:dyDescent="0.35">
      <c r="A191" t="s">
        <v>23</v>
      </c>
      <c r="B191" t="s">
        <v>481</v>
      </c>
      <c r="C191" t="s">
        <v>76</v>
      </c>
      <c r="D191" t="s">
        <v>44</v>
      </c>
      <c r="E191" t="s">
        <v>45</v>
      </c>
      <c r="F191" t="s">
        <v>28</v>
      </c>
      <c r="G191">
        <v>6</v>
      </c>
      <c r="H191" t="s">
        <v>482</v>
      </c>
      <c r="I191" t="s">
        <v>30</v>
      </c>
      <c r="J191" t="s">
        <v>31</v>
      </c>
      <c r="K191" t="s">
        <v>38</v>
      </c>
      <c r="L191" t="s">
        <v>39</v>
      </c>
      <c r="N191" s="2">
        <v>45223.861261574071</v>
      </c>
      <c r="O191" s="2">
        <v>45316.208333333336</v>
      </c>
      <c r="P191" s="2">
        <v>45330.208333333336</v>
      </c>
      <c r="Q191" s="2">
        <v>45321</v>
      </c>
      <c r="R191" s="2">
        <v>45321.92228230324</v>
      </c>
      <c r="T191" s="2">
        <v>45246.208333333336</v>
      </c>
      <c r="U191" s="2">
        <v>45279.208333333336</v>
      </c>
      <c r="V191" s="2">
        <v>45279.208333333336</v>
      </c>
      <c r="W191" s="2">
        <v>45306.208333333336</v>
      </c>
      <c r="X191" s="3">
        <f t="shared" si="20"/>
        <v>33</v>
      </c>
      <c r="Y191">
        <f t="shared" si="21"/>
        <v>27</v>
      </c>
      <c r="Z191">
        <f t="shared" si="22"/>
        <v>60</v>
      </c>
      <c r="AA191">
        <f t="shared" si="23"/>
        <v>97.13873842592875</v>
      </c>
      <c r="AB191">
        <f t="shared" si="24"/>
        <v>37.13873842592875</v>
      </c>
      <c r="AC191">
        <f>IFERROR(_xlfn.XLOOKUP(B191, HoldSummary!$A:$A, HoldSummary!B:B), 0)</f>
        <v>0</v>
      </c>
      <c r="AD191">
        <f>IFERROR(_xlfn.XLOOKUP(B191, HoldSummary!$A:$A, HoldSummary!C:C), 0)</f>
        <v>0</v>
      </c>
      <c r="AE191">
        <f>IFERROR(_xlfn.XLOOKUP(B191, HoldSummary!$A:$A, HoldSummary!D:D), 0)</f>
        <v>0</v>
      </c>
      <c r="AF191">
        <f>IFERROR(_xlfn.XLOOKUP(B191, HoldSummary!$A:$A, HoldSummary!E:E), 0)</f>
        <v>0</v>
      </c>
      <c r="AG191">
        <f>IFERROR(_xlfn.XLOOKUP(B191, HoldSummary!$A:$A, HoldSummary!F:F), 0)</f>
        <v>0</v>
      </c>
      <c r="AH191">
        <f>IFERROR(_xlfn.XLOOKUP(B191, HoldSummary!$A:$A, HoldSummary!G:G), 0)</f>
        <v>10</v>
      </c>
      <c r="AI191">
        <f>IFERROR(_xlfn.XLOOKUP(B191, HoldSummary!$A:$A, HoldSummary!H:H), 0)</f>
        <v>14</v>
      </c>
      <c r="AJ191">
        <f>IFERROR(_xlfn.XLOOKUP(B191, HoldSummary!$A:$A, HoldSummary!I:I), 0)</f>
        <v>0</v>
      </c>
      <c r="AK191">
        <f t="shared" si="25"/>
        <v>24</v>
      </c>
      <c r="AL191">
        <f t="shared" si="26"/>
        <v>73.13873842592875</v>
      </c>
      <c r="AM191">
        <f t="shared" si="27"/>
        <v>13.13873842592875</v>
      </c>
      <c r="AN191" s="12">
        <f t="shared" si="28"/>
        <v>4.7916666666642413</v>
      </c>
      <c r="AO191">
        <f t="shared" si="29"/>
        <v>0</v>
      </c>
    </row>
    <row r="192" spans="1:41" x14ac:dyDescent="0.35">
      <c r="A192" t="s">
        <v>23</v>
      </c>
      <c r="B192" t="s">
        <v>483</v>
      </c>
      <c r="C192" t="s">
        <v>76</v>
      </c>
      <c r="D192" t="s">
        <v>44</v>
      </c>
      <c r="E192" t="s">
        <v>45</v>
      </c>
      <c r="F192" t="s">
        <v>28</v>
      </c>
      <c r="G192">
        <v>6</v>
      </c>
      <c r="H192" t="s">
        <v>484</v>
      </c>
      <c r="I192" t="s">
        <v>30</v>
      </c>
      <c r="J192" t="s">
        <v>31</v>
      </c>
      <c r="K192" t="s">
        <v>57</v>
      </c>
      <c r="L192" t="s">
        <v>39</v>
      </c>
      <c r="N192" s="2">
        <v>45266.840416666666</v>
      </c>
      <c r="O192" s="2">
        <v>45394.166666666664</v>
      </c>
      <c r="P192" s="2">
        <v>45407.166666666664</v>
      </c>
      <c r="Q192" s="2">
        <v>45405</v>
      </c>
      <c r="R192" s="2">
        <v>45405.6741056713</v>
      </c>
      <c r="T192" s="2">
        <v>45348.208333333336</v>
      </c>
      <c r="U192" s="2">
        <v>45349.208333333336</v>
      </c>
      <c r="V192" s="2">
        <v>45349.208333333336</v>
      </c>
      <c r="W192" s="2">
        <v>45370.166666666664</v>
      </c>
      <c r="X192" s="3">
        <f t="shared" si="20"/>
        <v>1</v>
      </c>
      <c r="Y192">
        <f t="shared" si="21"/>
        <v>20.958333333328483</v>
      </c>
      <c r="Z192">
        <f t="shared" si="22"/>
        <v>21.958333333328483</v>
      </c>
      <c r="AA192">
        <f t="shared" si="23"/>
        <v>138.15958333333401</v>
      </c>
      <c r="AB192">
        <f t="shared" si="24"/>
        <v>116.20125000000553</v>
      </c>
      <c r="AC192">
        <f>IFERROR(_xlfn.XLOOKUP(B192, HoldSummary!$A:$A, HoldSummary!B:B), 0)</f>
        <v>0</v>
      </c>
      <c r="AD192">
        <f>IFERROR(_xlfn.XLOOKUP(B192, HoldSummary!$A:$A, HoldSummary!C:C), 0)</f>
        <v>0</v>
      </c>
      <c r="AE192">
        <f>IFERROR(_xlfn.XLOOKUP(B192, HoldSummary!$A:$A, HoldSummary!D:D), 0)</f>
        <v>0</v>
      </c>
      <c r="AF192">
        <f>IFERROR(_xlfn.XLOOKUP(B192, HoldSummary!$A:$A, HoldSummary!E:E), 0)</f>
        <v>0</v>
      </c>
      <c r="AG192">
        <f>IFERROR(_xlfn.XLOOKUP(B192, HoldSummary!$A:$A, HoldSummary!F:F), 0)</f>
        <v>0</v>
      </c>
      <c r="AH192">
        <f>IFERROR(_xlfn.XLOOKUP(B192, HoldSummary!$A:$A, HoldSummary!G:G), 0)</f>
        <v>7</v>
      </c>
      <c r="AI192">
        <f>IFERROR(_xlfn.XLOOKUP(B192, HoldSummary!$A:$A, HoldSummary!H:H), 0)</f>
        <v>0</v>
      </c>
      <c r="AJ192">
        <f>IFERROR(_xlfn.XLOOKUP(B192, HoldSummary!$A:$A, HoldSummary!I:I), 0)</f>
        <v>12</v>
      </c>
      <c r="AK192">
        <f t="shared" si="25"/>
        <v>19</v>
      </c>
      <c r="AL192">
        <f t="shared" si="26"/>
        <v>119.15958333333401</v>
      </c>
      <c r="AM192">
        <f t="shared" si="27"/>
        <v>97.20125000000553</v>
      </c>
      <c r="AN192" s="12">
        <f t="shared" si="28"/>
        <v>10.833333333335759</v>
      </c>
      <c r="AO192">
        <f t="shared" si="29"/>
        <v>0</v>
      </c>
    </row>
    <row r="193" spans="1:41" x14ac:dyDescent="0.35">
      <c r="A193" t="s">
        <v>23</v>
      </c>
      <c r="B193" t="s">
        <v>485</v>
      </c>
      <c r="C193" t="s">
        <v>113</v>
      </c>
      <c r="D193" t="s">
        <v>44</v>
      </c>
      <c r="E193" t="s">
        <v>45</v>
      </c>
      <c r="F193" t="s">
        <v>28</v>
      </c>
      <c r="G193">
        <v>6</v>
      </c>
      <c r="H193" t="s">
        <v>486</v>
      </c>
      <c r="I193" t="s">
        <v>30</v>
      </c>
      <c r="J193" t="s">
        <v>31</v>
      </c>
      <c r="K193" t="s">
        <v>38</v>
      </c>
      <c r="L193" t="s">
        <v>39</v>
      </c>
      <c r="N193" s="2">
        <v>45286.727673611109</v>
      </c>
      <c r="O193" s="2">
        <v>45387.166666666664</v>
      </c>
      <c r="P193" s="2">
        <v>45366.166666666664</v>
      </c>
      <c r="Q193" s="2">
        <v>45351</v>
      </c>
      <c r="R193" s="2">
        <v>45351.773753877314</v>
      </c>
      <c r="T193" s="2">
        <v>45320.208333333336</v>
      </c>
      <c r="U193" s="2">
        <v>45329.208333333336</v>
      </c>
      <c r="V193" s="2">
        <v>45329.208333333336</v>
      </c>
      <c r="W193" s="2">
        <v>45329.208333333336</v>
      </c>
      <c r="X193" s="3">
        <f t="shared" si="20"/>
        <v>9</v>
      </c>
      <c r="Y193">
        <f t="shared" si="21"/>
        <v>0</v>
      </c>
      <c r="Z193">
        <f t="shared" si="22"/>
        <v>9</v>
      </c>
      <c r="AA193">
        <f t="shared" si="23"/>
        <v>64.272326388891088</v>
      </c>
      <c r="AB193">
        <f t="shared" si="24"/>
        <v>55.272326388891088</v>
      </c>
      <c r="AC193">
        <f>IFERROR(_xlfn.XLOOKUP(B193, HoldSummary!$A:$A, HoldSummary!B:B), 0)</f>
        <v>0</v>
      </c>
      <c r="AD193">
        <f>IFERROR(_xlfn.XLOOKUP(B193, HoldSummary!$A:$A, HoldSummary!C:C), 0)</f>
        <v>0</v>
      </c>
      <c r="AE193">
        <f>IFERROR(_xlfn.XLOOKUP(B193, HoldSummary!$A:$A, HoldSummary!D:D), 0)</f>
        <v>0</v>
      </c>
      <c r="AF193">
        <f>IFERROR(_xlfn.XLOOKUP(B193, HoldSummary!$A:$A, HoldSummary!E:E), 0)</f>
        <v>0</v>
      </c>
      <c r="AG193">
        <f>IFERROR(_xlfn.XLOOKUP(B193, HoldSummary!$A:$A, HoldSummary!F:F), 0)</f>
        <v>0</v>
      </c>
      <c r="AH193">
        <f>IFERROR(_xlfn.XLOOKUP(B193, HoldSummary!$A:$A, HoldSummary!G:G), 0)</f>
        <v>0</v>
      </c>
      <c r="AI193">
        <f>IFERROR(_xlfn.XLOOKUP(B193, HoldSummary!$A:$A, HoldSummary!H:H), 0)</f>
        <v>0</v>
      </c>
      <c r="AJ193">
        <f>IFERROR(_xlfn.XLOOKUP(B193, HoldSummary!$A:$A, HoldSummary!I:I), 0)</f>
        <v>0</v>
      </c>
      <c r="AK193">
        <f t="shared" si="25"/>
        <v>0</v>
      </c>
      <c r="AL193">
        <f t="shared" si="26"/>
        <v>64.272326388891088</v>
      </c>
      <c r="AM193">
        <f t="shared" si="27"/>
        <v>55.272326388891088</v>
      </c>
      <c r="AN193" s="12">
        <f t="shared" si="28"/>
        <v>-36.166666666664241</v>
      </c>
      <c r="AO193">
        <f t="shared" si="29"/>
        <v>1</v>
      </c>
    </row>
    <row r="194" spans="1:41" x14ac:dyDescent="0.35">
      <c r="A194" t="s">
        <v>23</v>
      </c>
      <c r="B194" t="s">
        <v>487</v>
      </c>
      <c r="C194" t="s">
        <v>76</v>
      </c>
      <c r="D194" t="s">
        <v>44</v>
      </c>
      <c r="E194" t="s">
        <v>45</v>
      </c>
      <c r="F194" t="s">
        <v>28</v>
      </c>
      <c r="G194">
        <v>6</v>
      </c>
      <c r="H194" t="s">
        <v>488</v>
      </c>
      <c r="I194" t="s">
        <v>30</v>
      </c>
      <c r="J194" t="s">
        <v>31</v>
      </c>
      <c r="K194" t="s">
        <v>38</v>
      </c>
      <c r="L194" t="s">
        <v>39</v>
      </c>
      <c r="N194" s="2">
        <v>45317.905972222223</v>
      </c>
      <c r="O194" s="2">
        <v>45399.166666666664</v>
      </c>
      <c r="P194" s="2">
        <v>45414.166666666664</v>
      </c>
      <c r="Q194" s="2">
        <v>45401</v>
      </c>
      <c r="R194" s="2">
        <v>45401.868674027777</v>
      </c>
      <c r="T194" s="2">
        <v>45323.208333333336</v>
      </c>
      <c r="U194" s="2">
        <v>45329.208333333336</v>
      </c>
      <c r="V194" s="2">
        <v>45329.208333333336</v>
      </c>
      <c r="W194" s="2">
        <v>45400.166666666664</v>
      </c>
      <c r="X194" s="3">
        <f t="shared" si="20"/>
        <v>6</v>
      </c>
      <c r="Y194">
        <f t="shared" si="21"/>
        <v>70.958333333328483</v>
      </c>
      <c r="Z194">
        <f t="shared" si="22"/>
        <v>76.958333333328483</v>
      </c>
      <c r="AA194">
        <f t="shared" si="23"/>
        <v>83.094027777777228</v>
      </c>
      <c r="AB194">
        <f t="shared" si="24"/>
        <v>6.1356944444487453</v>
      </c>
      <c r="AC194">
        <f>IFERROR(_xlfn.XLOOKUP(B194, HoldSummary!$A:$A, HoldSummary!B:B), 0)</f>
        <v>0</v>
      </c>
      <c r="AD194">
        <f>IFERROR(_xlfn.XLOOKUP(B194, HoldSummary!$A:$A, HoldSummary!C:C), 0)</f>
        <v>0</v>
      </c>
      <c r="AE194">
        <f>IFERROR(_xlfn.XLOOKUP(B194, HoldSummary!$A:$A, HoldSummary!D:D), 0)</f>
        <v>0</v>
      </c>
      <c r="AF194">
        <f>IFERROR(_xlfn.XLOOKUP(B194, HoldSummary!$A:$A, HoldSummary!E:E), 0)</f>
        <v>0</v>
      </c>
      <c r="AG194">
        <f>IFERROR(_xlfn.XLOOKUP(B194, HoldSummary!$A:$A, HoldSummary!F:F), 0)</f>
        <v>0</v>
      </c>
      <c r="AH194">
        <f>IFERROR(_xlfn.XLOOKUP(B194, HoldSummary!$A:$A, HoldSummary!G:G), 0)</f>
        <v>0</v>
      </c>
      <c r="AI194">
        <f>IFERROR(_xlfn.XLOOKUP(B194, HoldSummary!$A:$A, HoldSummary!H:H), 0)</f>
        <v>0</v>
      </c>
      <c r="AJ194">
        <f>IFERROR(_xlfn.XLOOKUP(B194, HoldSummary!$A:$A, HoldSummary!I:I), 0)</f>
        <v>0</v>
      </c>
      <c r="AK194">
        <f t="shared" si="25"/>
        <v>0</v>
      </c>
      <c r="AL194">
        <f t="shared" si="26"/>
        <v>83.094027777777228</v>
      </c>
      <c r="AM194">
        <f t="shared" si="27"/>
        <v>6.1356944444487453</v>
      </c>
      <c r="AN194" s="12">
        <f t="shared" si="28"/>
        <v>1.8333333333357587</v>
      </c>
      <c r="AO194">
        <f t="shared" si="29"/>
        <v>0</v>
      </c>
    </row>
    <row r="195" spans="1:41" x14ac:dyDescent="0.35">
      <c r="A195" t="s">
        <v>23</v>
      </c>
      <c r="B195" t="s">
        <v>489</v>
      </c>
      <c r="C195" t="s">
        <v>76</v>
      </c>
      <c r="D195" t="s">
        <v>44</v>
      </c>
      <c r="E195" t="s">
        <v>45</v>
      </c>
      <c r="F195" t="s">
        <v>28</v>
      </c>
      <c r="G195">
        <v>6</v>
      </c>
      <c r="H195" t="s">
        <v>490</v>
      </c>
      <c r="I195" t="s">
        <v>30</v>
      </c>
      <c r="J195" t="s">
        <v>31</v>
      </c>
      <c r="K195" t="s">
        <v>38</v>
      </c>
      <c r="L195" t="s">
        <v>39</v>
      </c>
      <c r="N195" s="2">
        <v>45345.696215277778</v>
      </c>
      <c r="O195" s="2">
        <v>45477.166666666664</v>
      </c>
      <c r="P195" s="2">
        <v>45441.166666666664</v>
      </c>
      <c r="Q195" s="2">
        <v>45436</v>
      </c>
      <c r="R195" s="2">
        <v>45436.740377835646</v>
      </c>
      <c r="S195" t="s">
        <v>226</v>
      </c>
      <c r="T195" s="2">
        <v>45364.166666666664</v>
      </c>
      <c r="U195" s="2">
        <v>45407.166666666664</v>
      </c>
      <c r="V195" s="2">
        <v>45407.166666666664</v>
      </c>
      <c r="W195" s="2">
        <v>45414.166666666664</v>
      </c>
      <c r="X195" s="3">
        <f t="shared" ref="X195:X258" si="30">IF(OR(ISBLANK(T195), ISBLANK(U195)), "", U195 - T195)</f>
        <v>43</v>
      </c>
      <c r="Y195">
        <f t="shared" ref="Y195:Y258" si="31">IF(OR(ISBLANK(V195), ISBLANK(W195)), "", W195 - V195)</f>
        <v>7</v>
      </c>
      <c r="Z195">
        <f t="shared" ref="Z195:Z258" si="32">N(X195) + N(Y195)</f>
        <v>50</v>
      </c>
      <c r="AA195">
        <f t="shared" ref="AA195:AA258" si="33">IF(OR(ISBLANK(N195), ISBLANK(Q195)), "", Q195 - N195)</f>
        <v>90.30378472222219</v>
      </c>
      <c r="AB195">
        <f t="shared" ref="AB195:AB258" si="34">IF(AA195="", "", AA195 - Z195)</f>
        <v>40.30378472222219</v>
      </c>
      <c r="AC195">
        <f>IFERROR(_xlfn.XLOOKUP(B195, HoldSummary!$A:$A, HoldSummary!B:B), 0)</f>
        <v>0</v>
      </c>
      <c r="AD195">
        <f>IFERROR(_xlfn.XLOOKUP(B195, HoldSummary!$A:$A, HoldSummary!C:C), 0)</f>
        <v>0</v>
      </c>
      <c r="AE195">
        <f>IFERROR(_xlfn.XLOOKUP(B195, HoldSummary!$A:$A, HoldSummary!D:D), 0)</f>
        <v>0</v>
      </c>
      <c r="AF195">
        <f>IFERROR(_xlfn.XLOOKUP(B195, HoldSummary!$A:$A, HoldSummary!E:E), 0)</f>
        <v>0</v>
      </c>
      <c r="AG195">
        <f>IFERROR(_xlfn.XLOOKUP(B195, HoldSummary!$A:$A, HoldSummary!F:F), 0)</f>
        <v>0</v>
      </c>
      <c r="AH195">
        <f>IFERROR(_xlfn.XLOOKUP(B195, HoldSummary!$A:$A, HoldSummary!G:G), 0)</f>
        <v>12</v>
      </c>
      <c r="AI195">
        <f>IFERROR(_xlfn.XLOOKUP(B195, HoldSummary!$A:$A, HoldSummary!H:H), 0)</f>
        <v>0</v>
      </c>
      <c r="AJ195">
        <f>IFERROR(_xlfn.XLOOKUP(B195, HoldSummary!$A:$A, HoldSummary!I:I), 0)</f>
        <v>0</v>
      </c>
      <c r="AK195">
        <f t="shared" ref="AK195:AK258" si="35">SUM(AC195:AJ195)</f>
        <v>12</v>
      </c>
      <c r="AL195">
        <f t="shared" ref="AL195:AL258" si="36">IF(AA195="", "", AA195 - AK195)</f>
        <v>78.30378472222219</v>
      </c>
      <c r="AM195">
        <f t="shared" ref="AM195:AM258" si="37">IF(OR(AK195="", AB195=""), "", AB195 - AK195)</f>
        <v>28.30378472222219</v>
      </c>
      <c r="AN195" s="12">
        <f t="shared" ref="AN195:AN258" si="38">Q195-O195</f>
        <v>-41.166666666664241</v>
      </c>
      <c r="AO195">
        <f t="shared" ref="AO195:AO258" si="39">IF(OR(ISBLANK(O195), ISBLANK(Q195)), 1, IF(AN195&lt;=0,1,0))</f>
        <v>1</v>
      </c>
    </row>
    <row r="196" spans="1:41" x14ac:dyDescent="0.35">
      <c r="A196" t="s">
        <v>23</v>
      </c>
      <c r="B196" t="s">
        <v>491</v>
      </c>
      <c r="C196" t="s">
        <v>269</v>
      </c>
      <c r="D196" t="s">
        <v>44</v>
      </c>
      <c r="E196" t="s">
        <v>45</v>
      </c>
      <c r="F196" t="s">
        <v>28</v>
      </c>
      <c r="G196">
        <v>6</v>
      </c>
      <c r="H196" t="s">
        <v>492</v>
      </c>
      <c r="I196" t="s">
        <v>30</v>
      </c>
      <c r="J196" t="s">
        <v>31</v>
      </c>
      <c r="K196" t="s">
        <v>38</v>
      </c>
      <c r="M196" t="s">
        <v>33</v>
      </c>
      <c r="N196" s="2">
        <v>45464.250497685185</v>
      </c>
      <c r="O196" s="2">
        <v>45485.166666666664</v>
      </c>
      <c r="P196" s="2">
        <v>45485.166666666664</v>
      </c>
      <c r="Q196" s="2">
        <v>45485</v>
      </c>
      <c r="R196" s="2">
        <v>45486.530558530096</v>
      </c>
      <c r="T196" s="2"/>
      <c r="U196" s="2"/>
      <c r="V196" s="2"/>
      <c r="W196" s="2"/>
      <c r="X196" s="3" t="str">
        <f t="shared" si="30"/>
        <v/>
      </c>
      <c r="Y196" t="str">
        <f t="shared" si="31"/>
        <v/>
      </c>
      <c r="Z196">
        <f t="shared" si="32"/>
        <v>0</v>
      </c>
      <c r="AA196">
        <f t="shared" si="33"/>
        <v>20.74950231481489</v>
      </c>
      <c r="AB196">
        <f t="shared" si="34"/>
        <v>20.74950231481489</v>
      </c>
      <c r="AC196">
        <f>IFERROR(_xlfn.XLOOKUP(B196, HoldSummary!$A:$A, HoldSummary!B:B), 0)</f>
        <v>0</v>
      </c>
      <c r="AD196">
        <f>IFERROR(_xlfn.XLOOKUP(B196, HoldSummary!$A:$A, HoldSummary!C:C), 0)</f>
        <v>0</v>
      </c>
      <c r="AE196">
        <f>IFERROR(_xlfn.XLOOKUP(B196, HoldSummary!$A:$A, HoldSummary!D:D), 0)</f>
        <v>0</v>
      </c>
      <c r="AF196">
        <f>IFERROR(_xlfn.XLOOKUP(B196, HoldSummary!$A:$A, HoldSummary!E:E), 0)</f>
        <v>0</v>
      </c>
      <c r="AG196">
        <f>IFERROR(_xlfn.XLOOKUP(B196, HoldSummary!$A:$A, HoldSummary!F:F), 0)</f>
        <v>0</v>
      </c>
      <c r="AH196">
        <f>IFERROR(_xlfn.XLOOKUP(B196, HoldSummary!$A:$A, HoldSummary!G:G), 0)</f>
        <v>0</v>
      </c>
      <c r="AI196">
        <f>IFERROR(_xlfn.XLOOKUP(B196, HoldSummary!$A:$A, HoldSummary!H:H), 0)</f>
        <v>0</v>
      </c>
      <c r="AJ196">
        <f>IFERROR(_xlfn.XLOOKUP(B196, HoldSummary!$A:$A, HoldSummary!I:I), 0)</f>
        <v>0</v>
      </c>
      <c r="AK196">
        <f t="shared" si="35"/>
        <v>0</v>
      </c>
      <c r="AL196">
        <f t="shared" si="36"/>
        <v>20.74950231481489</v>
      </c>
      <c r="AM196">
        <f t="shared" si="37"/>
        <v>20.74950231481489</v>
      </c>
      <c r="AN196" s="12">
        <f t="shared" si="38"/>
        <v>-0.16666666666424135</v>
      </c>
      <c r="AO196">
        <f t="shared" si="39"/>
        <v>1</v>
      </c>
    </row>
    <row r="197" spans="1:41" x14ac:dyDescent="0.35">
      <c r="A197" t="s">
        <v>23</v>
      </c>
      <c r="B197" t="s">
        <v>493</v>
      </c>
      <c r="C197" t="s">
        <v>43</v>
      </c>
      <c r="D197" t="s">
        <v>44</v>
      </c>
      <c r="E197" t="s">
        <v>27</v>
      </c>
      <c r="F197" t="s">
        <v>28</v>
      </c>
      <c r="G197">
        <v>6</v>
      </c>
      <c r="H197" t="s">
        <v>494</v>
      </c>
      <c r="I197" t="s">
        <v>30</v>
      </c>
      <c r="J197" t="s">
        <v>31</v>
      </c>
      <c r="K197" t="s">
        <v>38</v>
      </c>
      <c r="L197" t="s">
        <v>39</v>
      </c>
      <c r="M197" t="s">
        <v>81</v>
      </c>
      <c r="N197" s="2">
        <v>45496.82130787037</v>
      </c>
      <c r="O197" s="2">
        <v>45657.208333333336</v>
      </c>
      <c r="P197" s="2">
        <v>45565.166666666664</v>
      </c>
      <c r="Q197" s="2">
        <v>45559</v>
      </c>
      <c r="R197" s="2">
        <v>45559.718395416668</v>
      </c>
      <c r="T197" s="2">
        <v>45531.166666666664</v>
      </c>
      <c r="U197" s="2">
        <v>45531.166666666664</v>
      </c>
      <c r="V197" s="2">
        <v>45531.166666666664</v>
      </c>
      <c r="W197" s="2">
        <v>45547.166666666664</v>
      </c>
      <c r="X197" s="3">
        <f t="shared" si="30"/>
        <v>0</v>
      </c>
      <c r="Y197">
        <f t="shared" si="31"/>
        <v>16</v>
      </c>
      <c r="Z197">
        <f t="shared" si="32"/>
        <v>16</v>
      </c>
      <c r="AA197">
        <f t="shared" si="33"/>
        <v>62.178692129629781</v>
      </c>
      <c r="AB197">
        <f t="shared" si="34"/>
        <v>46.178692129629781</v>
      </c>
      <c r="AC197">
        <f>IFERROR(_xlfn.XLOOKUP(B197, HoldSummary!$A:$A, HoldSummary!B:B), 0)</f>
        <v>0</v>
      </c>
      <c r="AD197">
        <f>IFERROR(_xlfn.XLOOKUP(B197, HoldSummary!$A:$A, HoldSummary!C:C), 0)</f>
        <v>0</v>
      </c>
      <c r="AE197">
        <f>IFERROR(_xlfn.XLOOKUP(B197, HoldSummary!$A:$A, HoldSummary!D:D), 0)</f>
        <v>0</v>
      </c>
      <c r="AF197">
        <f>IFERROR(_xlfn.XLOOKUP(B197, HoldSummary!$A:$A, HoldSummary!E:E), 0)</f>
        <v>0</v>
      </c>
      <c r="AG197">
        <f>IFERROR(_xlfn.XLOOKUP(B197, HoldSummary!$A:$A, HoldSummary!F:F), 0)</f>
        <v>0</v>
      </c>
      <c r="AH197">
        <f>IFERROR(_xlfn.XLOOKUP(B197, HoldSummary!$A:$A, HoldSummary!G:G), 0)</f>
        <v>0</v>
      </c>
      <c r="AI197">
        <f>IFERROR(_xlfn.XLOOKUP(B197, HoldSummary!$A:$A, HoldSummary!H:H), 0)</f>
        <v>0</v>
      </c>
      <c r="AJ197">
        <f>IFERROR(_xlfn.XLOOKUP(B197, HoldSummary!$A:$A, HoldSummary!I:I), 0)</f>
        <v>0</v>
      </c>
      <c r="AK197">
        <f t="shared" si="35"/>
        <v>0</v>
      </c>
      <c r="AL197">
        <f t="shared" si="36"/>
        <v>62.178692129629781</v>
      </c>
      <c r="AM197">
        <f t="shared" si="37"/>
        <v>46.178692129629781</v>
      </c>
      <c r="AN197" s="12">
        <f t="shared" si="38"/>
        <v>-98.208333333335759</v>
      </c>
      <c r="AO197">
        <f t="shared" si="39"/>
        <v>1</v>
      </c>
    </row>
    <row r="198" spans="1:41" x14ac:dyDescent="0.35">
      <c r="A198" t="s">
        <v>23</v>
      </c>
      <c r="B198" t="s">
        <v>495</v>
      </c>
      <c r="C198" t="s">
        <v>36</v>
      </c>
      <c r="D198" t="s">
        <v>44</v>
      </c>
      <c r="E198" t="s">
        <v>45</v>
      </c>
      <c r="F198" t="s">
        <v>28</v>
      </c>
      <c r="G198">
        <v>6</v>
      </c>
      <c r="H198" t="s">
        <v>496</v>
      </c>
      <c r="I198" t="s">
        <v>30</v>
      </c>
      <c r="J198" t="s">
        <v>31</v>
      </c>
      <c r="K198" t="s">
        <v>48</v>
      </c>
      <c r="L198" t="s">
        <v>192</v>
      </c>
      <c r="M198" t="s">
        <v>81</v>
      </c>
      <c r="N198" s="2">
        <v>45719.494293981479</v>
      </c>
      <c r="O198" s="2">
        <v>45793.166666666664</v>
      </c>
      <c r="P198" s="2">
        <v>45793.166666666664</v>
      </c>
      <c r="Q198" s="2">
        <v>45789</v>
      </c>
      <c r="R198" s="2">
        <v>45805.543319143515</v>
      </c>
      <c r="S198" t="s">
        <v>104</v>
      </c>
      <c r="T198" s="2">
        <v>45778.166666666664</v>
      </c>
      <c r="U198" s="2">
        <v>45783.166666666664</v>
      </c>
      <c r="V198" s="2">
        <v>45783.166666666664</v>
      </c>
      <c r="W198" s="2">
        <v>45785.166666666664</v>
      </c>
      <c r="X198" s="3">
        <f t="shared" si="30"/>
        <v>5</v>
      </c>
      <c r="Y198">
        <f t="shared" si="31"/>
        <v>2</v>
      </c>
      <c r="Z198">
        <f t="shared" si="32"/>
        <v>7</v>
      </c>
      <c r="AA198">
        <f t="shared" si="33"/>
        <v>69.505706018520868</v>
      </c>
      <c r="AB198">
        <f t="shared" si="34"/>
        <v>62.505706018520868</v>
      </c>
      <c r="AC198">
        <f>IFERROR(_xlfn.XLOOKUP(B198, HoldSummary!$A:$A, HoldSummary!B:B), 0)</f>
        <v>0</v>
      </c>
      <c r="AD198">
        <f>IFERROR(_xlfn.XLOOKUP(B198, HoldSummary!$A:$A, HoldSummary!C:C), 0)</f>
        <v>0</v>
      </c>
      <c r="AE198">
        <f>IFERROR(_xlfn.XLOOKUP(B198, HoldSummary!$A:$A, HoldSummary!D:D), 0)</f>
        <v>0</v>
      </c>
      <c r="AF198">
        <f>IFERROR(_xlfn.XLOOKUP(B198, HoldSummary!$A:$A, HoldSummary!E:E), 0)</f>
        <v>0</v>
      </c>
      <c r="AG198">
        <f>IFERROR(_xlfn.XLOOKUP(B198, HoldSummary!$A:$A, HoldSummary!F:F), 0)</f>
        <v>0</v>
      </c>
      <c r="AH198">
        <f>IFERROR(_xlfn.XLOOKUP(B198, HoldSummary!$A:$A, HoldSummary!G:G), 0)</f>
        <v>0</v>
      </c>
      <c r="AI198">
        <f>IFERROR(_xlfn.XLOOKUP(B198, HoldSummary!$A:$A, HoldSummary!H:H), 0)</f>
        <v>0</v>
      </c>
      <c r="AJ198">
        <f>IFERROR(_xlfn.XLOOKUP(B198, HoldSummary!$A:$A, HoldSummary!I:I), 0)</f>
        <v>0</v>
      </c>
      <c r="AK198">
        <f t="shared" si="35"/>
        <v>0</v>
      </c>
      <c r="AL198">
        <f t="shared" si="36"/>
        <v>69.505706018520868</v>
      </c>
      <c r="AM198">
        <f t="shared" si="37"/>
        <v>62.505706018520868</v>
      </c>
      <c r="AN198" s="12">
        <f t="shared" si="38"/>
        <v>-4.1666666666642413</v>
      </c>
      <c r="AO198">
        <f t="shared" si="39"/>
        <v>1</v>
      </c>
    </row>
    <row r="199" spans="1:41" x14ac:dyDescent="0.35">
      <c r="A199" t="s">
        <v>23</v>
      </c>
      <c r="B199" t="s">
        <v>497</v>
      </c>
      <c r="C199" t="s">
        <v>54</v>
      </c>
      <c r="D199" t="s">
        <v>44</v>
      </c>
      <c r="E199" t="s">
        <v>44</v>
      </c>
      <c r="F199" t="s">
        <v>28</v>
      </c>
      <c r="G199">
        <v>6</v>
      </c>
      <c r="H199" t="s">
        <v>498</v>
      </c>
      <c r="I199" t="s">
        <v>30</v>
      </c>
      <c r="J199" t="s">
        <v>70</v>
      </c>
      <c r="K199" t="s">
        <v>48</v>
      </c>
      <c r="L199" t="s">
        <v>185</v>
      </c>
      <c r="M199" t="s">
        <v>33</v>
      </c>
      <c r="N199" s="2">
        <v>45726.166666666664</v>
      </c>
      <c r="O199" s="2">
        <v>45884.166666666664</v>
      </c>
      <c r="P199" s="2">
        <v>45852.166666666664</v>
      </c>
      <c r="Q199" s="2">
        <v>45841</v>
      </c>
      <c r="R199" s="2">
        <v>45844.736190474534</v>
      </c>
      <c r="S199" t="s">
        <v>499</v>
      </c>
      <c r="T199" s="2"/>
      <c r="U199" s="2"/>
      <c r="V199" s="2"/>
      <c r="W199" s="2"/>
      <c r="X199" s="3" t="str">
        <f t="shared" si="30"/>
        <v/>
      </c>
      <c r="Y199" t="str">
        <f t="shared" si="31"/>
        <v/>
      </c>
      <c r="Z199">
        <f t="shared" si="32"/>
        <v>0</v>
      </c>
      <c r="AA199">
        <f t="shared" si="33"/>
        <v>114.83333333333576</v>
      </c>
      <c r="AB199">
        <f t="shared" si="34"/>
        <v>114.83333333333576</v>
      </c>
      <c r="AC199">
        <f>IFERROR(_xlfn.XLOOKUP(B199, HoldSummary!$A:$A, HoldSummary!B:B), 0)</f>
        <v>0</v>
      </c>
      <c r="AD199">
        <f>IFERROR(_xlfn.XLOOKUP(B199, HoldSummary!$A:$A, HoldSummary!C:C), 0)</f>
        <v>0</v>
      </c>
      <c r="AE199">
        <f>IFERROR(_xlfn.XLOOKUP(B199, HoldSummary!$A:$A, HoldSummary!D:D), 0)</f>
        <v>0</v>
      </c>
      <c r="AF199">
        <f>IFERROR(_xlfn.XLOOKUP(B199, HoldSummary!$A:$A, HoldSummary!E:E), 0)</f>
        <v>0</v>
      </c>
      <c r="AG199">
        <f>IFERROR(_xlfn.XLOOKUP(B199, HoldSummary!$A:$A, HoldSummary!F:F), 0)</f>
        <v>0</v>
      </c>
      <c r="AH199">
        <f>IFERROR(_xlfn.XLOOKUP(B199, HoldSummary!$A:$A, HoldSummary!G:G), 0)</f>
        <v>0</v>
      </c>
      <c r="AI199">
        <f>IFERROR(_xlfn.XLOOKUP(B199, HoldSummary!$A:$A, HoldSummary!H:H), 0)</f>
        <v>0</v>
      </c>
      <c r="AJ199">
        <f>IFERROR(_xlfn.XLOOKUP(B199, HoldSummary!$A:$A, HoldSummary!I:I), 0)</f>
        <v>0</v>
      </c>
      <c r="AK199">
        <f t="shared" si="35"/>
        <v>0</v>
      </c>
      <c r="AL199">
        <f t="shared" si="36"/>
        <v>114.83333333333576</v>
      </c>
      <c r="AM199">
        <f t="shared" si="37"/>
        <v>114.83333333333576</v>
      </c>
      <c r="AN199" s="12">
        <f t="shared" si="38"/>
        <v>-43.166666666664241</v>
      </c>
      <c r="AO199">
        <f t="shared" si="39"/>
        <v>1</v>
      </c>
    </row>
    <row r="200" spans="1:41" x14ac:dyDescent="0.35">
      <c r="A200" t="s">
        <v>23</v>
      </c>
      <c r="B200" t="s">
        <v>500</v>
      </c>
      <c r="C200" t="s">
        <v>36</v>
      </c>
      <c r="D200" t="s">
        <v>44</v>
      </c>
      <c r="E200" t="s">
        <v>45</v>
      </c>
      <c r="F200" t="s">
        <v>28</v>
      </c>
      <c r="G200">
        <v>6</v>
      </c>
      <c r="H200" t="s">
        <v>501</v>
      </c>
      <c r="I200" t="s">
        <v>30</v>
      </c>
      <c r="J200" t="s">
        <v>31</v>
      </c>
      <c r="K200" t="s">
        <v>38</v>
      </c>
      <c r="L200" t="s">
        <v>53</v>
      </c>
      <c r="M200" t="s">
        <v>33</v>
      </c>
      <c r="N200" s="2">
        <v>45786.89912037037</v>
      </c>
      <c r="O200" s="2">
        <v>45819.166666666664</v>
      </c>
      <c r="P200" s="2">
        <v>45826.166666666664</v>
      </c>
      <c r="Q200" s="2">
        <v>45827</v>
      </c>
      <c r="R200" s="2">
        <v>45827.846380613424</v>
      </c>
      <c r="S200" t="s">
        <v>97</v>
      </c>
      <c r="T200" s="2">
        <v>45811.166666666664</v>
      </c>
      <c r="U200" s="2">
        <v>45811.166666666664</v>
      </c>
      <c r="V200" s="2">
        <v>45811.166666666664</v>
      </c>
      <c r="W200" s="2">
        <v>45821.166666666664</v>
      </c>
      <c r="X200" s="3">
        <f t="shared" si="30"/>
        <v>0</v>
      </c>
      <c r="Y200">
        <f t="shared" si="31"/>
        <v>10</v>
      </c>
      <c r="Z200">
        <f t="shared" si="32"/>
        <v>10</v>
      </c>
      <c r="AA200">
        <f t="shared" si="33"/>
        <v>40.100879629630072</v>
      </c>
      <c r="AB200">
        <f t="shared" si="34"/>
        <v>30.100879629630072</v>
      </c>
      <c r="AC200">
        <f>IFERROR(_xlfn.XLOOKUP(B200, HoldSummary!$A:$A, HoldSummary!B:B), 0)</f>
        <v>0</v>
      </c>
      <c r="AD200">
        <f>IFERROR(_xlfn.XLOOKUP(B200, HoldSummary!$A:$A, HoldSummary!C:C), 0)</f>
        <v>0</v>
      </c>
      <c r="AE200">
        <f>IFERROR(_xlfn.XLOOKUP(B200, HoldSummary!$A:$A, HoldSummary!D:D), 0)</f>
        <v>0</v>
      </c>
      <c r="AF200">
        <f>IFERROR(_xlfn.XLOOKUP(B200, HoldSummary!$A:$A, HoldSummary!E:E), 0)</f>
        <v>0</v>
      </c>
      <c r="AG200">
        <f>IFERROR(_xlfn.XLOOKUP(B200, HoldSummary!$A:$A, HoldSummary!F:F), 0)</f>
        <v>0</v>
      </c>
      <c r="AH200">
        <f>IFERROR(_xlfn.XLOOKUP(B200, HoldSummary!$A:$A, HoldSummary!G:G), 0)</f>
        <v>0</v>
      </c>
      <c r="AI200">
        <f>IFERROR(_xlfn.XLOOKUP(B200, HoldSummary!$A:$A, HoldSummary!H:H), 0)</f>
        <v>0</v>
      </c>
      <c r="AJ200">
        <f>IFERROR(_xlfn.XLOOKUP(B200, HoldSummary!$A:$A, HoldSummary!I:I), 0)</f>
        <v>0</v>
      </c>
      <c r="AK200">
        <f t="shared" si="35"/>
        <v>0</v>
      </c>
      <c r="AL200">
        <f t="shared" si="36"/>
        <v>40.100879629630072</v>
      </c>
      <c r="AM200">
        <f t="shared" si="37"/>
        <v>30.100879629630072</v>
      </c>
      <c r="AN200" s="12">
        <f t="shared" si="38"/>
        <v>7.8333333333357587</v>
      </c>
      <c r="AO200">
        <f t="shared" si="39"/>
        <v>0</v>
      </c>
    </row>
    <row r="201" spans="1:41" x14ac:dyDescent="0.35">
      <c r="A201" t="s">
        <v>23</v>
      </c>
      <c r="B201" t="s">
        <v>502</v>
      </c>
      <c r="C201" t="s">
        <v>54</v>
      </c>
      <c r="D201" t="s">
        <v>44</v>
      </c>
      <c r="E201" t="s">
        <v>45</v>
      </c>
      <c r="F201" t="s">
        <v>28</v>
      </c>
      <c r="G201">
        <v>6</v>
      </c>
      <c r="H201" t="s">
        <v>503</v>
      </c>
      <c r="I201" t="s">
        <v>30</v>
      </c>
      <c r="J201" t="s">
        <v>31</v>
      </c>
      <c r="K201" t="s">
        <v>174</v>
      </c>
      <c r="L201" t="s">
        <v>174</v>
      </c>
      <c r="M201" t="s">
        <v>33</v>
      </c>
      <c r="N201" s="2">
        <v>45838.555879629632</v>
      </c>
      <c r="O201" s="2">
        <v>45912.166666666664</v>
      </c>
      <c r="P201" s="2">
        <v>45912.166666666664</v>
      </c>
      <c r="Q201" s="2">
        <v>45839</v>
      </c>
      <c r="R201" s="2">
        <v>45839.883747083331</v>
      </c>
      <c r="S201" t="s">
        <v>504</v>
      </c>
      <c r="T201" s="2"/>
      <c r="U201" s="2"/>
      <c r="V201" s="2"/>
      <c r="W201" s="2"/>
      <c r="X201" s="3" t="str">
        <f t="shared" si="30"/>
        <v/>
      </c>
      <c r="Y201" t="str">
        <f t="shared" si="31"/>
        <v/>
      </c>
      <c r="Z201">
        <f t="shared" si="32"/>
        <v>0</v>
      </c>
      <c r="AA201">
        <f t="shared" si="33"/>
        <v>0.44412037036818219</v>
      </c>
      <c r="AB201">
        <f t="shared" si="34"/>
        <v>0.44412037036818219</v>
      </c>
      <c r="AC201">
        <f>IFERROR(_xlfn.XLOOKUP(B201, HoldSummary!$A:$A, HoldSummary!B:B), 0)</f>
        <v>0</v>
      </c>
      <c r="AD201">
        <f>IFERROR(_xlfn.XLOOKUP(B201, HoldSummary!$A:$A, HoldSummary!C:C), 0)</f>
        <v>0</v>
      </c>
      <c r="AE201">
        <f>IFERROR(_xlfn.XLOOKUP(B201, HoldSummary!$A:$A, HoldSummary!D:D), 0)</f>
        <v>0</v>
      </c>
      <c r="AF201">
        <f>IFERROR(_xlfn.XLOOKUP(B201, HoldSummary!$A:$A, HoldSummary!E:E), 0)</f>
        <v>0</v>
      </c>
      <c r="AG201">
        <f>IFERROR(_xlfn.XLOOKUP(B201, HoldSummary!$A:$A, HoldSummary!F:F), 0)</f>
        <v>0</v>
      </c>
      <c r="AH201">
        <f>IFERROR(_xlfn.XLOOKUP(B201, HoldSummary!$A:$A, HoldSummary!G:G), 0)</f>
        <v>0</v>
      </c>
      <c r="AI201">
        <f>IFERROR(_xlfn.XLOOKUP(B201, HoldSummary!$A:$A, HoldSummary!H:H), 0)</f>
        <v>0</v>
      </c>
      <c r="AJ201">
        <f>IFERROR(_xlfn.XLOOKUP(B201, HoldSummary!$A:$A, HoldSummary!I:I), 0)</f>
        <v>0</v>
      </c>
      <c r="AK201">
        <f t="shared" si="35"/>
        <v>0</v>
      </c>
      <c r="AL201">
        <f t="shared" si="36"/>
        <v>0.44412037036818219</v>
      </c>
      <c r="AM201">
        <f t="shared" si="37"/>
        <v>0.44412037036818219</v>
      </c>
      <c r="AN201" s="12">
        <f t="shared" si="38"/>
        <v>-73.166666666664241</v>
      </c>
      <c r="AO201">
        <f t="shared" si="39"/>
        <v>1</v>
      </c>
    </row>
    <row r="202" spans="1:41" x14ac:dyDescent="0.35">
      <c r="A202" t="s">
        <v>23</v>
      </c>
      <c r="B202" t="s">
        <v>505</v>
      </c>
      <c r="C202" t="s">
        <v>54</v>
      </c>
      <c r="D202" t="s">
        <v>44</v>
      </c>
      <c r="E202" t="s">
        <v>45</v>
      </c>
      <c r="F202" t="s">
        <v>28</v>
      </c>
      <c r="G202">
        <v>7</v>
      </c>
      <c r="H202" t="s">
        <v>506</v>
      </c>
      <c r="I202" t="s">
        <v>30</v>
      </c>
      <c r="J202" t="s">
        <v>70</v>
      </c>
      <c r="K202" t="s">
        <v>349</v>
      </c>
      <c r="L202" t="s">
        <v>414</v>
      </c>
      <c r="N202" s="2">
        <v>44692.879537037035</v>
      </c>
      <c r="O202" s="2">
        <v>44915.208333333336</v>
      </c>
      <c r="P202" s="2">
        <v>45407.166666666664</v>
      </c>
      <c r="Q202" s="2">
        <v>45386</v>
      </c>
      <c r="R202" s="2">
        <v>45386.769983437502</v>
      </c>
      <c r="S202" t="s">
        <v>198</v>
      </c>
      <c r="T202" s="2">
        <v>44847.166666666664</v>
      </c>
      <c r="U202" s="2">
        <v>45008.166666666664</v>
      </c>
      <c r="V202" s="2">
        <v>45008.166666666664</v>
      </c>
      <c r="W202" s="2">
        <v>45168.166666666664</v>
      </c>
      <c r="X202" s="3">
        <f t="shared" si="30"/>
        <v>161</v>
      </c>
      <c r="Y202">
        <f t="shared" si="31"/>
        <v>160</v>
      </c>
      <c r="Z202">
        <f t="shared" si="32"/>
        <v>321</v>
      </c>
      <c r="AA202">
        <f t="shared" si="33"/>
        <v>693.12046296296467</v>
      </c>
      <c r="AB202">
        <f t="shared" si="34"/>
        <v>372.12046296296467</v>
      </c>
      <c r="AC202">
        <f>IFERROR(_xlfn.XLOOKUP(B202, HoldSummary!$A:$A, HoldSummary!B:B), 0)</f>
        <v>0</v>
      </c>
      <c r="AD202">
        <f>IFERROR(_xlfn.XLOOKUP(B202, HoldSummary!$A:$A, HoldSummary!C:C), 0)</f>
        <v>0</v>
      </c>
      <c r="AE202">
        <f>IFERROR(_xlfn.XLOOKUP(B202, HoldSummary!$A:$A, HoldSummary!D:D), 0)</f>
        <v>0</v>
      </c>
      <c r="AF202">
        <f>IFERROR(_xlfn.XLOOKUP(B202, HoldSummary!$A:$A, HoldSummary!E:E), 0)</f>
        <v>0</v>
      </c>
      <c r="AG202">
        <f>IFERROR(_xlfn.XLOOKUP(B202, HoldSummary!$A:$A, HoldSummary!F:F), 0)</f>
        <v>0</v>
      </c>
      <c r="AH202">
        <f>IFERROR(_xlfn.XLOOKUP(B202, HoldSummary!$A:$A, HoldSummary!G:G), 0)</f>
        <v>13.084853634260071</v>
      </c>
      <c r="AI202">
        <f>IFERROR(_xlfn.XLOOKUP(B202, HoldSummary!$A:$A, HoldSummary!H:H), 0)</f>
        <v>0</v>
      </c>
      <c r="AJ202">
        <f>IFERROR(_xlfn.XLOOKUP(B202, HoldSummary!$A:$A, HoldSummary!I:I), 0)</f>
        <v>0</v>
      </c>
      <c r="AK202">
        <f t="shared" si="35"/>
        <v>13.084853634260071</v>
      </c>
      <c r="AL202">
        <f t="shared" si="36"/>
        <v>680.0356093287046</v>
      </c>
      <c r="AM202">
        <f t="shared" si="37"/>
        <v>359.0356093287046</v>
      </c>
      <c r="AN202" s="12">
        <f t="shared" si="38"/>
        <v>470.79166666666424</v>
      </c>
      <c r="AO202">
        <f t="shared" si="39"/>
        <v>0</v>
      </c>
    </row>
    <row r="203" spans="1:41" x14ac:dyDescent="0.35">
      <c r="A203" t="s">
        <v>23</v>
      </c>
      <c r="B203" t="s">
        <v>507</v>
      </c>
      <c r="C203" t="s">
        <v>76</v>
      </c>
      <c r="D203" t="s">
        <v>44</v>
      </c>
      <c r="E203" t="s">
        <v>45</v>
      </c>
      <c r="F203" t="s">
        <v>28</v>
      </c>
      <c r="G203">
        <v>7</v>
      </c>
      <c r="H203" t="s">
        <v>508</v>
      </c>
      <c r="I203" t="s">
        <v>30</v>
      </c>
      <c r="J203" t="s">
        <v>31</v>
      </c>
      <c r="K203" t="s">
        <v>38</v>
      </c>
      <c r="L203" t="s">
        <v>39</v>
      </c>
      <c r="N203" s="2">
        <v>45082.760891203703</v>
      </c>
      <c r="O203" s="2">
        <v>45364.166666666664</v>
      </c>
      <c r="P203" s="2">
        <v>45364.166666666664</v>
      </c>
      <c r="Q203" s="2">
        <v>45345</v>
      </c>
      <c r="R203" s="2">
        <v>45345.686041805558</v>
      </c>
      <c r="T203" s="2">
        <v>45331.208333333336</v>
      </c>
      <c r="U203" s="2">
        <v>45334.208333333336</v>
      </c>
      <c r="V203" s="2">
        <v>45334.208333333336</v>
      </c>
      <c r="W203" s="2">
        <v>45344.208333333336</v>
      </c>
      <c r="X203" s="3">
        <f t="shared" si="30"/>
        <v>3</v>
      </c>
      <c r="Y203">
        <f t="shared" si="31"/>
        <v>10</v>
      </c>
      <c r="Z203">
        <f t="shared" si="32"/>
        <v>13</v>
      </c>
      <c r="AA203">
        <f t="shared" si="33"/>
        <v>262.23910879629693</v>
      </c>
      <c r="AB203">
        <f t="shared" si="34"/>
        <v>249.23910879629693</v>
      </c>
      <c r="AC203">
        <f>IFERROR(_xlfn.XLOOKUP(B203, HoldSummary!$A:$A, HoldSummary!B:B), 0)</f>
        <v>0</v>
      </c>
      <c r="AD203">
        <f>IFERROR(_xlfn.XLOOKUP(B203, HoldSummary!$A:$A, HoldSummary!C:C), 0)</f>
        <v>0</v>
      </c>
      <c r="AE203">
        <f>IFERROR(_xlfn.XLOOKUP(B203, HoldSummary!$A:$A, HoldSummary!D:D), 0)</f>
        <v>0</v>
      </c>
      <c r="AF203">
        <f>IFERROR(_xlfn.XLOOKUP(B203, HoldSummary!$A:$A, HoldSummary!E:E), 0)</f>
        <v>0</v>
      </c>
      <c r="AG203">
        <f>IFERROR(_xlfn.XLOOKUP(B203, HoldSummary!$A:$A, HoldSummary!F:F), 0)</f>
        <v>0</v>
      </c>
      <c r="AH203">
        <f>IFERROR(_xlfn.XLOOKUP(B203, HoldSummary!$A:$A, HoldSummary!G:G), 0)</f>
        <v>0</v>
      </c>
      <c r="AI203">
        <f>IFERROR(_xlfn.XLOOKUP(B203, HoldSummary!$A:$A, HoldSummary!H:H), 0)</f>
        <v>0</v>
      </c>
      <c r="AJ203">
        <f>IFERROR(_xlfn.XLOOKUP(B203, HoldSummary!$A:$A, HoldSummary!I:I), 0)</f>
        <v>0</v>
      </c>
      <c r="AK203">
        <f t="shared" si="35"/>
        <v>0</v>
      </c>
      <c r="AL203">
        <f t="shared" si="36"/>
        <v>262.23910879629693</v>
      </c>
      <c r="AM203">
        <f t="shared" si="37"/>
        <v>249.23910879629693</v>
      </c>
      <c r="AN203" s="12">
        <f t="shared" si="38"/>
        <v>-19.166666666664241</v>
      </c>
      <c r="AO203">
        <f t="shared" si="39"/>
        <v>1</v>
      </c>
    </row>
    <row r="204" spans="1:41" x14ac:dyDescent="0.35">
      <c r="A204" t="s">
        <v>23</v>
      </c>
      <c r="B204">
        <v>101523</v>
      </c>
      <c r="C204" t="s">
        <v>76</v>
      </c>
      <c r="D204" t="s">
        <v>44</v>
      </c>
      <c r="E204" t="s">
        <v>88</v>
      </c>
      <c r="F204" t="s">
        <v>28</v>
      </c>
      <c r="G204">
        <v>7</v>
      </c>
      <c r="H204" t="s">
        <v>509</v>
      </c>
      <c r="I204" t="s">
        <v>30</v>
      </c>
      <c r="J204" t="s">
        <v>31</v>
      </c>
      <c r="K204" t="s">
        <v>57</v>
      </c>
      <c r="L204" t="s">
        <v>39</v>
      </c>
      <c r="N204" s="2">
        <v>45203.166666666664</v>
      </c>
      <c r="O204" s="2">
        <v>45302.208333333336</v>
      </c>
      <c r="P204" s="2">
        <v>45330.208333333336</v>
      </c>
      <c r="Q204" s="2">
        <v>45303</v>
      </c>
      <c r="R204" s="2">
        <v>45303.614653368058</v>
      </c>
      <c r="S204" t="s">
        <v>115</v>
      </c>
      <c r="T204" s="2">
        <v>45224.166666666664</v>
      </c>
      <c r="U204" s="2">
        <v>45282.208333333336</v>
      </c>
      <c r="V204" s="2">
        <v>45282.208333333336</v>
      </c>
      <c r="W204" s="2">
        <v>45299.208333333336</v>
      </c>
      <c r="X204" s="3">
        <f t="shared" si="30"/>
        <v>58.041666666671517</v>
      </c>
      <c r="Y204">
        <f t="shared" si="31"/>
        <v>17</v>
      </c>
      <c r="Z204">
        <f t="shared" si="32"/>
        <v>75.041666666671517</v>
      </c>
      <c r="AA204">
        <f t="shared" si="33"/>
        <v>99.833333333335759</v>
      </c>
      <c r="AB204">
        <f t="shared" si="34"/>
        <v>24.791666666664241</v>
      </c>
      <c r="AC204">
        <f>IFERROR(_xlfn.XLOOKUP(B204, HoldSummary!$A:$A, HoldSummary!B:B), 0)</f>
        <v>0</v>
      </c>
      <c r="AD204">
        <f>IFERROR(_xlfn.XLOOKUP(B204, HoldSummary!$A:$A, HoldSummary!C:C), 0)</f>
        <v>0</v>
      </c>
      <c r="AE204">
        <f>IFERROR(_xlfn.XLOOKUP(B204, HoldSummary!$A:$A, HoldSummary!D:D), 0)</f>
        <v>0</v>
      </c>
      <c r="AF204">
        <f>IFERROR(_xlfn.XLOOKUP(B204, HoldSummary!$A:$A, HoldSummary!E:E), 0)</f>
        <v>0</v>
      </c>
      <c r="AG204">
        <f>IFERROR(_xlfn.XLOOKUP(B204, HoldSummary!$A:$A, HoldSummary!F:F), 0)</f>
        <v>0</v>
      </c>
      <c r="AH204">
        <f>IFERROR(_xlfn.XLOOKUP(B204, HoldSummary!$A:$A, HoldSummary!G:G), 0)</f>
        <v>0</v>
      </c>
      <c r="AI204">
        <f>IFERROR(_xlfn.XLOOKUP(B204, HoldSummary!$A:$A, HoldSummary!H:H), 0)</f>
        <v>0</v>
      </c>
      <c r="AJ204">
        <f>IFERROR(_xlfn.XLOOKUP(B204, HoldSummary!$A:$A, HoldSummary!I:I), 0)</f>
        <v>0</v>
      </c>
      <c r="AK204">
        <f t="shared" si="35"/>
        <v>0</v>
      </c>
      <c r="AL204">
        <f t="shared" si="36"/>
        <v>99.833333333335759</v>
      </c>
      <c r="AM204">
        <f t="shared" si="37"/>
        <v>24.791666666664241</v>
      </c>
      <c r="AN204" s="12">
        <f t="shared" si="38"/>
        <v>0.79166666666424135</v>
      </c>
      <c r="AO204">
        <f t="shared" si="39"/>
        <v>0</v>
      </c>
    </row>
    <row r="205" spans="1:41" x14ac:dyDescent="0.35">
      <c r="A205" t="s">
        <v>23</v>
      </c>
      <c r="B205">
        <v>101998</v>
      </c>
      <c r="C205" t="s">
        <v>113</v>
      </c>
      <c r="D205" t="s">
        <v>44</v>
      </c>
      <c r="E205" t="s">
        <v>55</v>
      </c>
      <c r="F205" t="s">
        <v>28</v>
      </c>
      <c r="G205">
        <v>7</v>
      </c>
      <c r="H205" t="s">
        <v>510</v>
      </c>
      <c r="I205" t="s">
        <v>30</v>
      </c>
      <c r="J205" t="s">
        <v>31</v>
      </c>
      <c r="K205" t="s">
        <v>57</v>
      </c>
      <c r="L205" t="s">
        <v>39</v>
      </c>
      <c r="N205" s="2">
        <v>45225.166666666664</v>
      </c>
      <c r="O205" s="2">
        <v>45359.208333333336</v>
      </c>
      <c r="P205" s="2">
        <v>45380.166666666664</v>
      </c>
      <c r="Q205" s="2">
        <v>45376</v>
      </c>
      <c r="R205" s="2">
        <v>45376.710859618055</v>
      </c>
      <c r="S205" t="s">
        <v>511</v>
      </c>
      <c r="T205" s="2">
        <v>45236.208333333336</v>
      </c>
      <c r="U205" s="2">
        <v>45280.208333333336</v>
      </c>
      <c r="V205" s="2">
        <v>45280.208333333336</v>
      </c>
      <c r="W205" s="2">
        <v>45349.208333333336</v>
      </c>
      <c r="X205" s="3">
        <f t="shared" si="30"/>
        <v>44</v>
      </c>
      <c r="Y205">
        <f t="shared" si="31"/>
        <v>69</v>
      </c>
      <c r="Z205">
        <f t="shared" si="32"/>
        <v>113</v>
      </c>
      <c r="AA205">
        <f t="shared" si="33"/>
        <v>150.83333333333576</v>
      </c>
      <c r="AB205">
        <f t="shared" si="34"/>
        <v>37.833333333335759</v>
      </c>
      <c r="AC205">
        <f>IFERROR(_xlfn.XLOOKUP(B205, HoldSummary!$A:$A, HoldSummary!B:B), 0)</f>
        <v>0</v>
      </c>
      <c r="AD205">
        <f>IFERROR(_xlfn.XLOOKUP(B205, HoldSummary!$A:$A, HoldSummary!C:C), 0)</f>
        <v>0</v>
      </c>
      <c r="AE205">
        <f>IFERROR(_xlfn.XLOOKUP(B205, HoldSummary!$A:$A, HoldSummary!D:D), 0)</f>
        <v>0</v>
      </c>
      <c r="AF205">
        <f>IFERROR(_xlfn.XLOOKUP(B205, HoldSummary!$A:$A, HoldSummary!E:E), 0)</f>
        <v>0</v>
      </c>
      <c r="AG205">
        <f>IFERROR(_xlfn.XLOOKUP(B205, HoldSummary!$A:$A, HoldSummary!F:F), 0)</f>
        <v>0</v>
      </c>
      <c r="AH205">
        <f>IFERROR(_xlfn.XLOOKUP(B205, HoldSummary!$A:$A, HoldSummary!G:G), 0)</f>
        <v>0</v>
      </c>
      <c r="AI205">
        <f>IFERROR(_xlfn.XLOOKUP(B205, HoldSummary!$A:$A, HoldSummary!H:H), 0)</f>
        <v>0</v>
      </c>
      <c r="AJ205">
        <f>IFERROR(_xlfn.XLOOKUP(B205, HoldSummary!$A:$A, HoldSummary!I:I), 0)</f>
        <v>0</v>
      </c>
      <c r="AK205">
        <f t="shared" si="35"/>
        <v>0</v>
      </c>
      <c r="AL205">
        <f t="shared" si="36"/>
        <v>150.83333333333576</v>
      </c>
      <c r="AM205">
        <f t="shared" si="37"/>
        <v>37.833333333335759</v>
      </c>
      <c r="AN205" s="12">
        <f t="shared" si="38"/>
        <v>16.791666666664241</v>
      </c>
      <c r="AO205">
        <f t="shared" si="39"/>
        <v>0</v>
      </c>
    </row>
    <row r="206" spans="1:41" x14ac:dyDescent="0.35">
      <c r="A206" t="s">
        <v>23</v>
      </c>
      <c r="B206">
        <v>102278</v>
      </c>
      <c r="C206" t="s">
        <v>113</v>
      </c>
      <c r="D206" t="s">
        <v>44</v>
      </c>
      <c r="E206" t="s">
        <v>55</v>
      </c>
      <c r="F206" t="s">
        <v>28</v>
      </c>
      <c r="G206">
        <v>7</v>
      </c>
      <c r="H206" t="s">
        <v>512</v>
      </c>
      <c r="I206" t="s">
        <v>30</v>
      </c>
      <c r="J206" t="s">
        <v>31</v>
      </c>
      <c r="K206" t="s">
        <v>57</v>
      </c>
      <c r="L206" t="s">
        <v>39</v>
      </c>
      <c r="N206" s="2">
        <v>45239.208333333336</v>
      </c>
      <c r="O206" s="2">
        <v>45380.166666666664</v>
      </c>
      <c r="P206" s="2">
        <v>45415.166666666664</v>
      </c>
      <c r="Q206" s="2">
        <v>45411</v>
      </c>
      <c r="R206" s="2">
        <v>45411.857052245374</v>
      </c>
      <c r="T206" s="2">
        <v>45278.208333333336</v>
      </c>
      <c r="U206" s="2">
        <v>45334.208333333336</v>
      </c>
      <c r="V206" s="2">
        <v>45334.208333333336</v>
      </c>
      <c r="W206" s="2">
        <v>45385.166666666664</v>
      </c>
      <c r="X206" s="3">
        <f t="shared" si="30"/>
        <v>56</v>
      </c>
      <c r="Y206">
        <f t="shared" si="31"/>
        <v>50.958333333328483</v>
      </c>
      <c r="Z206">
        <f t="shared" si="32"/>
        <v>106.95833333332848</v>
      </c>
      <c r="AA206">
        <f t="shared" si="33"/>
        <v>171.79166666666424</v>
      </c>
      <c r="AB206">
        <f t="shared" si="34"/>
        <v>64.833333333335759</v>
      </c>
      <c r="AC206">
        <f>IFERROR(_xlfn.XLOOKUP(B206, HoldSummary!$A:$A, HoldSummary!B:B), 0)</f>
        <v>0</v>
      </c>
      <c r="AD206">
        <f>IFERROR(_xlfn.XLOOKUP(B206, HoldSummary!$A:$A, HoldSummary!C:C), 0)</f>
        <v>0</v>
      </c>
      <c r="AE206">
        <f>IFERROR(_xlfn.XLOOKUP(B206, HoldSummary!$A:$A, HoldSummary!D:D), 0)</f>
        <v>0</v>
      </c>
      <c r="AF206">
        <f>IFERROR(_xlfn.XLOOKUP(B206, HoldSummary!$A:$A, HoldSummary!E:E), 0)</f>
        <v>0</v>
      </c>
      <c r="AG206">
        <f>IFERROR(_xlfn.XLOOKUP(B206, HoldSummary!$A:$A, HoldSummary!F:F), 0)</f>
        <v>0</v>
      </c>
      <c r="AH206">
        <f>IFERROR(_xlfn.XLOOKUP(B206, HoldSummary!$A:$A, HoldSummary!G:G), 0)</f>
        <v>0</v>
      </c>
      <c r="AI206">
        <f>IFERROR(_xlfn.XLOOKUP(B206, HoldSummary!$A:$A, HoldSummary!H:H), 0)</f>
        <v>0</v>
      </c>
      <c r="AJ206">
        <f>IFERROR(_xlfn.XLOOKUP(B206, HoldSummary!$A:$A, HoldSummary!I:I), 0)</f>
        <v>0</v>
      </c>
      <c r="AK206">
        <f t="shared" si="35"/>
        <v>0</v>
      </c>
      <c r="AL206">
        <f t="shared" si="36"/>
        <v>171.79166666666424</v>
      </c>
      <c r="AM206">
        <f t="shared" si="37"/>
        <v>64.833333333335759</v>
      </c>
      <c r="AN206" s="12">
        <f t="shared" si="38"/>
        <v>30.833333333335759</v>
      </c>
      <c r="AO206">
        <f t="shared" si="39"/>
        <v>0</v>
      </c>
    </row>
    <row r="207" spans="1:41" x14ac:dyDescent="0.35">
      <c r="A207" t="s">
        <v>23</v>
      </c>
      <c r="B207" t="s">
        <v>513</v>
      </c>
      <c r="C207" t="s">
        <v>76</v>
      </c>
      <c r="D207" t="s">
        <v>44</v>
      </c>
      <c r="E207" t="s">
        <v>45</v>
      </c>
      <c r="F207" t="s">
        <v>28</v>
      </c>
      <c r="G207">
        <v>7</v>
      </c>
      <c r="H207" t="s">
        <v>514</v>
      </c>
      <c r="I207" t="s">
        <v>30</v>
      </c>
      <c r="J207" t="s">
        <v>31</v>
      </c>
      <c r="K207" t="s">
        <v>38</v>
      </c>
      <c r="L207" t="s">
        <v>39</v>
      </c>
      <c r="N207" s="2">
        <v>45251.697962962964</v>
      </c>
      <c r="O207" s="2">
        <v>45512.166666666664</v>
      </c>
      <c r="P207" s="2">
        <v>45518.166666666664</v>
      </c>
      <c r="Q207" s="2">
        <v>45509</v>
      </c>
      <c r="R207" s="2">
        <v>45509.662313009256</v>
      </c>
      <c r="S207" t="s">
        <v>515</v>
      </c>
      <c r="T207" s="2">
        <v>45492.166666666664</v>
      </c>
      <c r="U207" s="2">
        <v>45496.166666666664</v>
      </c>
      <c r="V207" s="2">
        <v>45496.166666666664</v>
      </c>
      <c r="W207" s="2">
        <v>45502.166666666664</v>
      </c>
      <c r="X207" s="3">
        <f t="shared" si="30"/>
        <v>4</v>
      </c>
      <c r="Y207">
        <f t="shared" si="31"/>
        <v>6</v>
      </c>
      <c r="Z207">
        <f t="shared" si="32"/>
        <v>10</v>
      </c>
      <c r="AA207">
        <f t="shared" si="33"/>
        <v>257.30203703703592</v>
      </c>
      <c r="AB207">
        <f t="shared" si="34"/>
        <v>247.30203703703592</v>
      </c>
      <c r="AC207">
        <f>IFERROR(_xlfn.XLOOKUP(B207, HoldSummary!$A:$A, HoldSummary!B:B), 0)</f>
        <v>0</v>
      </c>
      <c r="AD207">
        <f>IFERROR(_xlfn.XLOOKUP(B207, HoldSummary!$A:$A, HoldSummary!C:C), 0)</f>
        <v>0</v>
      </c>
      <c r="AE207">
        <f>IFERROR(_xlfn.XLOOKUP(B207, HoldSummary!$A:$A, HoldSummary!D:D), 0)</f>
        <v>0</v>
      </c>
      <c r="AF207">
        <f>IFERROR(_xlfn.XLOOKUP(B207, HoldSummary!$A:$A, HoldSummary!E:E), 0)</f>
        <v>0</v>
      </c>
      <c r="AG207">
        <f>IFERROR(_xlfn.XLOOKUP(B207, HoldSummary!$A:$A, HoldSummary!F:F), 0)</f>
        <v>56</v>
      </c>
      <c r="AH207">
        <f>IFERROR(_xlfn.XLOOKUP(B207, HoldSummary!$A:$A, HoldSummary!G:G), 0)</f>
        <v>0</v>
      </c>
      <c r="AI207">
        <f>IFERROR(_xlfn.XLOOKUP(B207, HoldSummary!$A:$A, HoldSummary!H:H), 0)</f>
        <v>0</v>
      </c>
      <c r="AJ207">
        <f>IFERROR(_xlfn.XLOOKUP(B207, HoldSummary!$A:$A, HoldSummary!I:I), 0)</f>
        <v>0</v>
      </c>
      <c r="AK207">
        <f t="shared" si="35"/>
        <v>56</v>
      </c>
      <c r="AL207">
        <f t="shared" si="36"/>
        <v>201.30203703703592</v>
      </c>
      <c r="AM207">
        <f t="shared" si="37"/>
        <v>191.30203703703592</v>
      </c>
      <c r="AN207" s="12">
        <f t="shared" si="38"/>
        <v>-3.1666666666642413</v>
      </c>
      <c r="AO207">
        <f t="shared" si="39"/>
        <v>1</v>
      </c>
    </row>
    <row r="208" spans="1:41" x14ac:dyDescent="0.35">
      <c r="A208" t="s">
        <v>23</v>
      </c>
      <c r="B208" t="s">
        <v>516</v>
      </c>
      <c r="C208" t="s">
        <v>54</v>
      </c>
      <c r="D208" t="s">
        <v>44</v>
      </c>
      <c r="E208" t="s">
        <v>45</v>
      </c>
      <c r="F208" t="s">
        <v>28</v>
      </c>
      <c r="G208">
        <v>7</v>
      </c>
      <c r="H208" t="s">
        <v>517</v>
      </c>
      <c r="I208" t="s">
        <v>30</v>
      </c>
      <c r="J208" t="s">
        <v>31</v>
      </c>
      <c r="K208" t="s">
        <v>38</v>
      </c>
      <c r="L208" t="s">
        <v>39</v>
      </c>
      <c r="N208" s="2">
        <v>45238.526041666664</v>
      </c>
      <c r="O208" s="2">
        <v>45352.208333333336</v>
      </c>
      <c r="P208" s="2">
        <v>45352.208333333336</v>
      </c>
      <c r="Q208" s="2">
        <v>45337</v>
      </c>
      <c r="R208" s="2">
        <v>45338.161683935185</v>
      </c>
      <c r="T208" s="2">
        <v>45261.208333333336</v>
      </c>
      <c r="U208" s="2">
        <v>45272.208333333336</v>
      </c>
      <c r="V208" s="2">
        <v>45272.208333333336</v>
      </c>
      <c r="W208" s="2">
        <v>45272.208333333336</v>
      </c>
      <c r="X208" s="3">
        <f t="shared" si="30"/>
        <v>11</v>
      </c>
      <c r="Y208">
        <f t="shared" si="31"/>
        <v>0</v>
      </c>
      <c r="Z208">
        <f t="shared" si="32"/>
        <v>11</v>
      </c>
      <c r="AA208">
        <f t="shared" si="33"/>
        <v>98.473958333335759</v>
      </c>
      <c r="AB208">
        <f t="shared" si="34"/>
        <v>87.473958333335759</v>
      </c>
      <c r="AC208">
        <f>IFERROR(_xlfn.XLOOKUP(B208, HoldSummary!$A:$A, HoldSummary!B:B), 0)</f>
        <v>0</v>
      </c>
      <c r="AD208">
        <f>IFERROR(_xlfn.XLOOKUP(B208, HoldSummary!$A:$A, HoldSummary!C:C), 0)</f>
        <v>0</v>
      </c>
      <c r="AE208">
        <f>IFERROR(_xlfn.XLOOKUP(B208, HoldSummary!$A:$A, HoldSummary!D:D), 0)</f>
        <v>0</v>
      </c>
      <c r="AF208">
        <f>IFERROR(_xlfn.XLOOKUP(B208, HoldSummary!$A:$A, HoldSummary!E:E), 0)</f>
        <v>0</v>
      </c>
      <c r="AG208">
        <f>IFERROR(_xlfn.XLOOKUP(B208, HoldSummary!$A:$A, HoldSummary!F:F), 0)</f>
        <v>0</v>
      </c>
      <c r="AH208">
        <f>IFERROR(_xlfn.XLOOKUP(B208, HoldSummary!$A:$A, HoldSummary!G:G), 0)</f>
        <v>0</v>
      </c>
      <c r="AI208">
        <f>IFERROR(_xlfn.XLOOKUP(B208, HoldSummary!$A:$A, HoldSummary!H:H), 0)</f>
        <v>0</v>
      </c>
      <c r="AJ208">
        <f>IFERROR(_xlfn.XLOOKUP(B208, HoldSummary!$A:$A, HoldSummary!I:I), 0)</f>
        <v>0</v>
      </c>
      <c r="AK208">
        <f t="shared" si="35"/>
        <v>0</v>
      </c>
      <c r="AL208">
        <f t="shared" si="36"/>
        <v>98.473958333335759</v>
      </c>
      <c r="AM208">
        <f t="shared" si="37"/>
        <v>87.473958333335759</v>
      </c>
      <c r="AN208" s="12">
        <f t="shared" si="38"/>
        <v>-15.208333333335759</v>
      </c>
      <c r="AO208">
        <f t="shared" si="39"/>
        <v>1</v>
      </c>
    </row>
    <row r="209" spans="1:41" x14ac:dyDescent="0.35">
      <c r="A209" t="s">
        <v>23</v>
      </c>
      <c r="B209">
        <v>104185</v>
      </c>
      <c r="C209" t="s">
        <v>76</v>
      </c>
      <c r="D209" t="s">
        <v>44</v>
      </c>
      <c r="E209" t="s">
        <v>55</v>
      </c>
      <c r="F209" t="s">
        <v>28</v>
      </c>
      <c r="G209">
        <v>7</v>
      </c>
      <c r="H209" t="s">
        <v>518</v>
      </c>
      <c r="I209" t="s">
        <v>30</v>
      </c>
      <c r="J209" t="s">
        <v>31</v>
      </c>
      <c r="K209" t="s">
        <v>57</v>
      </c>
      <c r="L209" t="s">
        <v>39</v>
      </c>
      <c r="N209" s="2">
        <v>45341.208333333336</v>
      </c>
      <c r="O209" s="2">
        <v>45478.166666666664</v>
      </c>
      <c r="P209" s="2">
        <v>45525.166666666664</v>
      </c>
      <c r="Q209" s="2">
        <v>45519</v>
      </c>
      <c r="R209" s="2">
        <v>45523.57848113426</v>
      </c>
      <c r="S209" t="s">
        <v>239</v>
      </c>
      <c r="T209" s="2">
        <v>45383.166666666664</v>
      </c>
      <c r="U209" s="2">
        <v>45391.166666666664</v>
      </c>
      <c r="V209" s="2">
        <v>45391.166666666664</v>
      </c>
      <c r="W209" s="2">
        <v>45391.166666666664</v>
      </c>
      <c r="X209" s="3">
        <f t="shared" si="30"/>
        <v>8</v>
      </c>
      <c r="Y209">
        <f t="shared" si="31"/>
        <v>0</v>
      </c>
      <c r="Z209">
        <f t="shared" si="32"/>
        <v>8</v>
      </c>
      <c r="AA209">
        <f t="shared" si="33"/>
        <v>177.79166666666424</v>
      </c>
      <c r="AB209">
        <f t="shared" si="34"/>
        <v>169.79166666666424</v>
      </c>
      <c r="AC209">
        <f>IFERROR(_xlfn.XLOOKUP(B209, HoldSummary!$A:$A, HoldSummary!B:B), 0)</f>
        <v>0</v>
      </c>
      <c r="AD209">
        <f>IFERROR(_xlfn.XLOOKUP(B209, HoldSummary!$A:$A, HoldSummary!C:C), 0)</f>
        <v>0</v>
      </c>
      <c r="AE209">
        <f>IFERROR(_xlfn.XLOOKUP(B209, HoldSummary!$A:$A, HoldSummary!D:D), 0)</f>
        <v>0</v>
      </c>
      <c r="AF209">
        <f>IFERROR(_xlfn.XLOOKUP(B209, HoldSummary!$A:$A, HoldSummary!E:E), 0)</f>
        <v>0</v>
      </c>
      <c r="AG209">
        <f>IFERROR(_xlfn.XLOOKUP(B209, HoldSummary!$A:$A, HoldSummary!F:F), 0)</f>
        <v>0</v>
      </c>
      <c r="AH209">
        <f>IFERROR(_xlfn.XLOOKUP(B209, HoldSummary!$A:$A, HoldSummary!G:G), 0)</f>
        <v>0</v>
      </c>
      <c r="AI209">
        <f>IFERROR(_xlfn.XLOOKUP(B209, HoldSummary!$A:$A, HoldSummary!H:H), 0)</f>
        <v>0</v>
      </c>
      <c r="AJ209">
        <f>IFERROR(_xlfn.XLOOKUP(B209, HoldSummary!$A:$A, HoldSummary!I:I), 0)</f>
        <v>0</v>
      </c>
      <c r="AK209">
        <f t="shared" si="35"/>
        <v>0</v>
      </c>
      <c r="AL209">
        <f t="shared" si="36"/>
        <v>177.79166666666424</v>
      </c>
      <c r="AM209">
        <f t="shared" si="37"/>
        <v>169.79166666666424</v>
      </c>
      <c r="AN209" s="12">
        <f t="shared" si="38"/>
        <v>40.833333333335759</v>
      </c>
      <c r="AO209">
        <f t="shared" si="39"/>
        <v>0</v>
      </c>
    </row>
    <row r="210" spans="1:41" x14ac:dyDescent="0.35">
      <c r="A210" t="s">
        <v>23</v>
      </c>
      <c r="B210">
        <v>104738</v>
      </c>
      <c r="C210" t="s">
        <v>113</v>
      </c>
      <c r="D210" t="s">
        <v>44</v>
      </c>
      <c r="E210" t="s">
        <v>55</v>
      </c>
      <c r="F210" t="s">
        <v>28</v>
      </c>
      <c r="G210">
        <v>7</v>
      </c>
      <c r="H210" t="s">
        <v>519</v>
      </c>
      <c r="I210" t="s">
        <v>30</v>
      </c>
      <c r="J210" t="s">
        <v>31</v>
      </c>
      <c r="K210" t="s">
        <v>57</v>
      </c>
      <c r="L210" t="s">
        <v>39</v>
      </c>
      <c r="N210" s="2">
        <v>45366.166666666664</v>
      </c>
      <c r="O210" s="2">
        <v>45485.166666666664</v>
      </c>
      <c r="P210" s="2">
        <v>45506.166666666664</v>
      </c>
      <c r="Q210" s="2">
        <v>45495</v>
      </c>
      <c r="R210" s="2">
        <v>45495.829660243056</v>
      </c>
      <c r="T210" s="2">
        <v>45413.166666666664</v>
      </c>
      <c r="U210" s="2">
        <v>45420.166666666664</v>
      </c>
      <c r="V210" s="2">
        <v>45420.166666666664</v>
      </c>
      <c r="W210" s="2">
        <v>45420.166666666664</v>
      </c>
      <c r="X210" s="3">
        <f t="shared" si="30"/>
        <v>7</v>
      </c>
      <c r="Y210">
        <f t="shared" si="31"/>
        <v>0</v>
      </c>
      <c r="Z210">
        <f t="shared" si="32"/>
        <v>7</v>
      </c>
      <c r="AA210">
        <f t="shared" si="33"/>
        <v>128.83333333333576</v>
      </c>
      <c r="AB210">
        <f t="shared" si="34"/>
        <v>121.83333333333576</v>
      </c>
      <c r="AC210">
        <f>IFERROR(_xlfn.XLOOKUP(B210, HoldSummary!$A:$A, HoldSummary!B:B), 0)</f>
        <v>0</v>
      </c>
      <c r="AD210">
        <f>IFERROR(_xlfn.XLOOKUP(B210, HoldSummary!$A:$A, HoldSummary!C:C), 0)</f>
        <v>0</v>
      </c>
      <c r="AE210">
        <f>IFERROR(_xlfn.XLOOKUP(B210, HoldSummary!$A:$A, HoldSummary!D:D), 0)</f>
        <v>0</v>
      </c>
      <c r="AF210">
        <f>IFERROR(_xlfn.XLOOKUP(B210, HoldSummary!$A:$A, HoldSummary!E:E), 0)</f>
        <v>0</v>
      </c>
      <c r="AG210">
        <f>IFERROR(_xlfn.XLOOKUP(B210, HoldSummary!$A:$A, HoldSummary!F:F), 0)</f>
        <v>0</v>
      </c>
      <c r="AH210">
        <f>IFERROR(_xlfn.XLOOKUP(B210, HoldSummary!$A:$A, HoldSummary!G:G), 0)</f>
        <v>0</v>
      </c>
      <c r="AI210">
        <f>IFERROR(_xlfn.XLOOKUP(B210, HoldSummary!$A:$A, HoldSummary!H:H), 0)</f>
        <v>0</v>
      </c>
      <c r="AJ210">
        <f>IFERROR(_xlfn.XLOOKUP(B210, HoldSummary!$A:$A, HoldSummary!I:I), 0)</f>
        <v>0</v>
      </c>
      <c r="AK210">
        <f t="shared" si="35"/>
        <v>0</v>
      </c>
      <c r="AL210">
        <f t="shared" si="36"/>
        <v>128.83333333333576</v>
      </c>
      <c r="AM210">
        <f t="shared" si="37"/>
        <v>121.83333333333576</v>
      </c>
      <c r="AN210" s="12">
        <f t="shared" si="38"/>
        <v>9.8333333333357587</v>
      </c>
      <c r="AO210">
        <f t="shared" si="39"/>
        <v>0</v>
      </c>
    </row>
    <row r="211" spans="1:41" x14ac:dyDescent="0.35">
      <c r="A211" t="s">
        <v>23</v>
      </c>
      <c r="B211" t="s">
        <v>520</v>
      </c>
      <c r="C211" t="s">
        <v>43</v>
      </c>
      <c r="D211" t="s">
        <v>44</v>
      </c>
      <c r="E211" t="s">
        <v>45</v>
      </c>
      <c r="F211" t="s">
        <v>28</v>
      </c>
      <c r="G211">
        <v>7</v>
      </c>
      <c r="H211" t="s">
        <v>521</v>
      </c>
      <c r="I211" t="s">
        <v>30</v>
      </c>
      <c r="J211" t="s">
        <v>70</v>
      </c>
      <c r="K211" t="s">
        <v>57</v>
      </c>
      <c r="L211" t="s">
        <v>39</v>
      </c>
      <c r="N211" s="2">
        <v>45467.463773148149</v>
      </c>
      <c r="O211" s="2">
        <v>45638.208333333336</v>
      </c>
      <c r="P211" s="2">
        <v>45562.166666666664</v>
      </c>
      <c r="Q211" s="2">
        <v>45560</v>
      </c>
      <c r="R211" s="2">
        <v>45560.653187546297</v>
      </c>
      <c r="S211" t="s">
        <v>231</v>
      </c>
      <c r="T211" s="2">
        <v>45490.166666666664</v>
      </c>
      <c r="U211" s="2">
        <v>45513.166666666664</v>
      </c>
      <c r="V211" s="2">
        <v>45513.166666666664</v>
      </c>
      <c r="W211" s="2">
        <v>45517.166666666664</v>
      </c>
      <c r="X211" s="3">
        <f t="shared" si="30"/>
        <v>23</v>
      </c>
      <c r="Y211">
        <f t="shared" si="31"/>
        <v>4</v>
      </c>
      <c r="Z211">
        <f t="shared" si="32"/>
        <v>27</v>
      </c>
      <c r="AA211">
        <f t="shared" si="33"/>
        <v>92.536226851851097</v>
      </c>
      <c r="AB211">
        <f t="shared" si="34"/>
        <v>65.536226851851097</v>
      </c>
      <c r="AC211">
        <f>IFERROR(_xlfn.XLOOKUP(B211, HoldSummary!$A:$A, HoldSummary!B:B), 0)</f>
        <v>0</v>
      </c>
      <c r="AD211">
        <f>IFERROR(_xlfn.XLOOKUP(B211, HoldSummary!$A:$A, HoldSummary!C:C), 0)</f>
        <v>0</v>
      </c>
      <c r="AE211">
        <f>IFERROR(_xlfn.XLOOKUP(B211, HoldSummary!$A:$A, HoldSummary!D:D), 0)</f>
        <v>0</v>
      </c>
      <c r="AF211">
        <f>IFERROR(_xlfn.XLOOKUP(B211, HoldSummary!$A:$A, HoldSummary!E:E), 0)</f>
        <v>0</v>
      </c>
      <c r="AG211">
        <f>IFERROR(_xlfn.XLOOKUP(B211, HoldSummary!$A:$A, HoldSummary!F:F), 0)</f>
        <v>0</v>
      </c>
      <c r="AH211">
        <f>IFERROR(_xlfn.XLOOKUP(B211, HoldSummary!$A:$A, HoldSummary!G:G), 0)</f>
        <v>0</v>
      </c>
      <c r="AI211">
        <f>IFERROR(_xlfn.XLOOKUP(B211, HoldSummary!$A:$A, HoldSummary!H:H), 0)</f>
        <v>0</v>
      </c>
      <c r="AJ211">
        <f>IFERROR(_xlfn.XLOOKUP(B211, HoldSummary!$A:$A, HoldSummary!I:I), 0)</f>
        <v>0</v>
      </c>
      <c r="AK211">
        <f t="shared" si="35"/>
        <v>0</v>
      </c>
      <c r="AL211">
        <f t="shared" si="36"/>
        <v>92.536226851851097</v>
      </c>
      <c r="AM211">
        <f t="shared" si="37"/>
        <v>65.536226851851097</v>
      </c>
      <c r="AN211" s="12">
        <f t="shared" si="38"/>
        <v>-78.208333333335759</v>
      </c>
      <c r="AO211">
        <f t="shared" si="39"/>
        <v>1</v>
      </c>
    </row>
    <row r="212" spans="1:41" x14ac:dyDescent="0.35">
      <c r="A212" t="s">
        <v>23</v>
      </c>
      <c r="B212" t="s">
        <v>522</v>
      </c>
      <c r="C212" t="s">
        <v>54</v>
      </c>
      <c r="D212" t="s">
        <v>44</v>
      </c>
      <c r="E212" t="s">
        <v>45</v>
      </c>
      <c r="F212" t="s">
        <v>28</v>
      </c>
      <c r="G212">
        <v>8</v>
      </c>
      <c r="H212" t="s">
        <v>523</v>
      </c>
      <c r="I212" t="s">
        <v>30</v>
      </c>
      <c r="J212" t="s">
        <v>70</v>
      </c>
      <c r="K212" t="s">
        <v>349</v>
      </c>
      <c r="L212" t="s">
        <v>414</v>
      </c>
      <c r="N212" s="2">
        <v>44693.481087962966</v>
      </c>
      <c r="O212" s="2">
        <v>45268.208333333336</v>
      </c>
      <c r="P212" s="2">
        <v>45407.166666666664</v>
      </c>
      <c r="Q212" s="2">
        <v>45385</v>
      </c>
      <c r="R212" s="2">
        <v>45386.391172916665</v>
      </c>
      <c r="S212" t="s">
        <v>524</v>
      </c>
      <c r="T212" s="2"/>
      <c r="U212" s="2"/>
      <c r="V212" s="2"/>
      <c r="W212" s="2"/>
      <c r="X212" s="3" t="str">
        <f t="shared" si="30"/>
        <v/>
      </c>
      <c r="Y212" t="str">
        <f t="shared" si="31"/>
        <v/>
      </c>
      <c r="Z212">
        <f t="shared" si="32"/>
        <v>0</v>
      </c>
      <c r="AA212">
        <f t="shared" si="33"/>
        <v>691.51891203703417</v>
      </c>
      <c r="AB212">
        <f t="shared" si="34"/>
        <v>691.51891203703417</v>
      </c>
      <c r="AC212">
        <f>IFERROR(_xlfn.XLOOKUP(B212, HoldSummary!$A:$A, HoldSummary!B:B), 0)</f>
        <v>0</v>
      </c>
      <c r="AD212">
        <f>IFERROR(_xlfn.XLOOKUP(B212, HoldSummary!$A:$A, HoldSummary!C:C), 0)</f>
        <v>0</v>
      </c>
      <c r="AE212">
        <f>IFERROR(_xlfn.XLOOKUP(B212, HoldSummary!$A:$A, HoldSummary!D:D), 0)</f>
        <v>0</v>
      </c>
      <c r="AF212">
        <f>IFERROR(_xlfn.XLOOKUP(B212, HoldSummary!$A:$A, HoldSummary!E:E), 0)</f>
        <v>0</v>
      </c>
      <c r="AG212">
        <f>IFERROR(_xlfn.XLOOKUP(B212, HoldSummary!$A:$A, HoldSummary!F:F), 0)</f>
        <v>0</v>
      </c>
      <c r="AH212">
        <f>IFERROR(_xlfn.XLOOKUP(B212, HoldSummary!$A:$A, HoldSummary!G:G), 0)</f>
        <v>0</v>
      </c>
      <c r="AI212">
        <f>IFERROR(_xlfn.XLOOKUP(B212, HoldSummary!$A:$A, HoldSummary!H:H), 0)</f>
        <v>0</v>
      </c>
      <c r="AJ212">
        <f>IFERROR(_xlfn.XLOOKUP(B212, HoldSummary!$A:$A, HoldSummary!I:I), 0)</f>
        <v>13.984068182871852</v>
      </c>
      <c r="AK212">
        <f t="shared" si="35"/>
        <v>13.984068182871852</v>
      </c>
      <c r="AL212">
        <f t="shared" si="36"/>
        <v>677.53484385416232</v>
      </c>
      <c r="AM212">
        <f t="shared" si="37"/>
        <v>677.53484385416232</v>
      </c>
      <c r="AN212" s="12">
        <f t="shared" si="38"/>
        <v>116.79166666666424</v>
      </c>
      <c r="AO212">
        <f t="shared" si="39"/>
        <v>0</v>
      </c>
    </row>
    <row r="213" spans="1:41" x14ac:dyDescent="0.35">
      <c r="A213" t="s">
        <v>23</v>
      </c>
      <c r="B213" t="s">
        <v>525</v>
      </c>
      <c r="C213" t="s">
        <v>113</v>
      </c>
      <c r="D213" t="s">
        <v>44</v>
      </c>
      <c r="E213" t="s">
        <v>45</v>
      </c>
      <c r="F213" t="s">
        <v>28</v>
      </c>
      <c r="G213">
        <v>8</v>
      </c>
      <c r="H213" t="s">
        <v>526</v>
      </c>
      <c r="I213" t="s">
        <v>30</v>
      </c>
      <c r="J213" t="s">
        <v>31</v>
      </c>
      <c r="K213" t="s">
        <v>38</v>
      </c>
      <c r="L213" t="s">
        <v>39</v>
      </c>
      <c r="N213" s="2">
        <v>45147.893923611111</v>
      </c>
      <c r="O213" s="2">
        <v>45363.166666666664</v>
      </c>
      <c r="P213" s="2">
        <v>45401.166666666664</v>
      </c>
      <c r="Q213" s="2">
        <v>45401</v>
      </c>
      <c r="R213" s="2">
        <v>45401.66064991898</v>
      </c>
      <c r="S213" t="s">
        <v>127</v>
      </c>
      <c r="T213" s="2">
        <v>45295.208333333336</v>
      </c>
      <c r="U213" s="2">
        <v>45323.208333333336</v>
      </c>
      <c r="V213" s="2">
        <v>45323.208333333336</v>
      </c>
      <c r="W213" s="2">
        <v>45357.208333333336</v>
      </c>
      <c r="X213" s="3">
        <f t="shared" si="30"/>
        <v>28</v>
      </c>
      <c r="Y213">
        <f t="shared" si="31"/>
        <v>34</v>
      </c>
      <c r="Z213">
        <f t="shared" si="32"/>
        <v>62</v>
      </c>
      <c r="AA213">
        <f t="shared" si="33"/>
        <v>253.10607638888905</v>
      </c>
      <c r="AB213">
        <f t="shared" si="34"/>
        <v>191.10607638888905</v>
      </c>
      <c r="AC213">
        <f>IFERROR(_xlfn.XLOOKUP(B213, HoldSummary!$A:$A, HoldSummary!B:B), 0)</f>
        <v>0</v>
      </c>
      <c r="AD213">
        <f>IFERROR(_xlfn.XLOOKUP(B213, HoldSummary!$A:$A, HoldSummary!C:C), 0)</f>
        <v>0</v>
      </c>
      <c r="AE213">
        <f>IFERROR(_xlfn.XLOOKUP(B213, HoldSummary!$A:$A, HoldSummary!D:D), 0)</f>
        <v>0</v>
      </c>
      <c r="AF213">
        <f>IFERROR(_xlfn.XLOOKUP(B213, HoldSummary!$A:$A, HoldSummary!E:E), 0)</f>
        <v>0</v>
      </c>
      <c r="AG213">
        <f>IFERROR(_xlfn.XLOOKUP(B213, HoldSummary!$A:$A, HoldSummary!F:F), 0)</f>
        <v>0</v>
      </c>
      <c r="AH213">
        <f>IFERROR(_xlfn.XLOOKUP(B213, HoldSummary!$A:$A, HoldSummary!G:G), 0)</f>
        <v>0</v>
      </c>
      <c r="AI213">
        <f>IFERROR(_xlfn.XLOOKUP(B213, HoldSummary!$A:$A, HoldSummary!H:H), 0)</f>
        <v>0</v>
      </c>
      <c r="AJ213">
        <f>IFERROR(_xlfn.XLOOKUP(B213, HoldSummary!$A:$A, HoldSummary!I:I), 0)</f>
        <v>0</v>
      </c>
      <c r="AK213">
        <f t="shared" si="35"/>
        <v>0</v>
      </c>
      <c r="AL213">
        <f t="shared" si="36"/>
        <v>253.10607638888905</v>
      </c>
      <c r="AM213">
        <f t="shared" si="37"/>
        <v>191.10607638888905</v>
      </c>
      <c r="AN213" s="12">
        <f t="shared" si="38"/>
        <v>37.833333333335759</v>
      </c>
      <c r="AO213">
        <f t="shared" si="39"/>
        <v>0</v>
      </c>
    </row>
    <row r="214" spans="1:41" x14ac:dyDescent="0.35">
      <c r="A214" t="s">
        <v>23</v>
      </c>
      <c r="B214" t="s">
        <v>527</v>
      </c>
      <c r="C214" t="s">
        <v>135</v>
      </c>
      <c r="D214" t="s">
        <v>44</v>
      </c>
      <c r="E214" t="s">
        <v>45</v>
      </c>
      <c r="F214" t="s">
        <v>28</v>
      </c>
      <c r="G214">
        <v>8</v>
      </c>
      <c r="H214" t="s">
        <v>528</v>
      </c>
      <c r="I214" t="s">
        <v>30</v>
      </c>
      <c r="J214" t="s">
        <v>31</v>
      </c>
      <c r="K214" t="s">
        <v>32</v>
      </c>
      <c r="L214" t="s">
        <v>32</v>
      </c>
      <c r="N214" s="2">
        <v>45168.325138888889</v>
      </c>
      <c r="O214" s="2">
        <v>45240.208333333336</v>
      </c>
      <c r="P214" s="2">
        <v>45504.166666666664</v>
      </c>
      <c r="Q214" s="2">
        <v>45497</v>
      </c>
      <c r="R214" s="2">
        <v>45503.072911921299</v>
      </c>
      <c r="S214" t="s">
        <v>215</v>
      </c>
      <c r="T214" s="2">
        <v>45194.166666666664</v>
      </c>
      <c r="U214" s="2">
        <v>45197.166666666664</v>
      </c>
      <c r="V214" s="2">
        <v>45197.166666666664</v>
      </c>
      <c r="W214" s="2">
        <v>45208.166666666664</v>
      </c>
      <c r="X214" s="3">
        <f t="shared" si="30"/>
        <v>3</v>
      </c>
      <c r="Y214">
        <f t="shared" si="31"/>
        <v>11</v>
      </c>
      <c r="Z214">
        <f t="shared" si="32"/>
        <v>14</v>
      </c>
      <c r="AA214">
        <f t="shared" si="33"/>
        <v>328.67486111111066</v>
      </c>
      <c r="AB214">
        <f t="shared" si="34"/>
        <v>314.67486111111066</v>
      </c>
      <c r="AC214">
        <f>IFERROR(_xlfn.XLOOKUP(B214, HoldSummary!$A:$A, HoldSummary!B:B), 0)</f>
        <v>0</v>
      </c>
      <c r="AD214">
        <f>IFERROR(_xlfn.XLOOKUP(B214, HoldSummary!$A:$A, HoldSummary!C:C), 0)</f>
        <v>0</v>
      </c>
      <c r="AE214">
        <f>IFERROR(_xlfn.XLOOKUP(B214, HoldSummary!$A:$A, HoldSummary!D:D), 0)</f>
        <v>0</v>
      </c>
      <c r="AF214">
        <f>IFERROR(_xlfn.XLOOKUP(B214, HoldSummary!$A:$A, HoldSummary!E:E), 0)</f>
        <v>0</v>
      </c>
      <c r="AG214">
        <f>IFERROR(_xlfn.XLOOKUP(B214, HoldSummary!$A:$A, HoldSummary!F:F), 0)</f>
        <v>0</v>
      </c>
      <c r="AH214">
        <f>IFERROR(_xlfn.XLOOKUP(B214, HoldSummary!$A:$A, HoldSummary!G:G), 0)</f>
        <v>0</v>
      </c>
      <c r="AI214">
        <f>IFERROR(_xlfn.XLOOKUP(B214, HoldSummary!$A:$A, HoldSummary!H:H), 0)</f>
        <v>0</v>
      </c>
      <c r="AJ214">
        <f>IFERROR(_xlfn.XLOOKUP(B214, HoldSummary!$A:$A, HoldSummary!I:I), 0)</f>
        <v>0</v>
      </c>
      <c r="AK214">
        <f t="shared" si="35"/>
        <v>0</v>
      </c>
      <c r="AL214">
        <f t="shared" si="36"/>
        <v>328.67486111111066</v>
      </c>
      <c r="AM214">
        <f t="shared" si="37"/>
        <v>314.67486111111066</v>
      </c>
      <c r="AN214" s="12">
        <f t="shared" si="38"/>
        <v>256.79166666666424</v>
      </c>
      <c r="AO214">
        <f t="shared" si="39"/>
        <v>0</v>
      </c>
    </row>
    <row r="215" spans="1:41" x14ac:dyDescent="0.35">
      <c r="A215" t="s">
        <v>23</v>
      </c>
      <c r="B215" t="s">
        <v>529</v>
      </c>
      <c r="C215" t="s">
        <v>113</v>
      </c>
      <c r="D215" t="s">
        <v>44</v>
      </c>
      <c r="E215" t="s">
        <v>45</v>
      </c>
      <c r="F215" t="s">
        <v>28</v>
      </c>
      <c r="G215">
        <v>8</v>
      </c>
      <c r="H215" t="s">
        <v>530</v>
      </c>
      <c r="I215" t="s">
        <v>30</v>
      </c>
      <c r="J215" t="s">
        <v>31</v>
      </c>
      <c r="K215" t="s">
        <v>38</v>
      </c>
      <c r="L215" t="s">
        <v>39</v>
      </c>
      <c r="N215" s="2">
        <v>45225.80269675926</v>
      </c>
      <c r="O215" s="2">
        <v>45344.208333333336</v>
      </c>
      <c r="P215" s="2">
        <v>45344.208333333336</v>
      </c>
      <c r="Q215" s="2">
        <v>45330</v>
      </c>
      <c r="R215" s="2">
        <v>45331.524656076392</v>
      </c>
      <c r="S215" t="s">
        <v>119</v>
      </c>
      <c r="T215" s="2">
        <v>45260.208333333336</v>
      </c>
      <c r="U215" s="2">
        <v>45272.208333333336</v>
      </c>
      <c r="V215" s="2">
        <v>45272.208333333336</v>
      </c>
      <c r="W215" s="2">
        <v>45317.208333333336</v>
      </c>
      <c r="X215" s="3">
        <f t="shared" si="30"/>
        <v>12</v>
      </c>
      <c r="Y215">
        <f t="shared" si="31"/>
        <v>45</v>
      </c>
      <c r="Z215">
        <f t="shared" si="32"/>
        <v>57</v>
      </c>
      <c r="AA215">
        <f t="shared" si="33"/>
        <v>104.19730324074044</v>
      </c>
      <c r="AB215">
        <f t="shared" si="34"/>
        <v>47.197303240740439</v>
      </c>
      <c r="AC215">
        <f>IFERROR(_xlfn.XLOOKUP(B215, HoldSummary!$A:$A, HoldSummary!B:B), 0)</f>
        <v>0</v>
      </c>
      <c r="AD215">
        <f>IFERROR(_xlfn.XLOOKUP(B215, HoldSummary!$A:$A, HoldSummary!C:C), 0)</f>
        <v>0</v>
      </c>
      <c r="AE215">
        <f>IFERROR(_xlfn.XLOOKUP(B215, HoldSummary!$A:$A, HoldSummary!D:D), 0)</f>
        <v>0</v>
      </c>
      <c r="AF215">
        <f>IFERROR(_xlfn.XLOOKUP(B215, HoldSummary!$A:$A, HoldSummary!E:E), 0)</f>
        <v>0</v>
      </c>
      <c r="AG215">
        <f>IFERROR(_xlfn.XLOOKUP(B215, HoldSummary!$A:$A, HoldSummary!F:F), 0)</f>
        <v>0</v>
      </c>
      <c r="AH215">
        <f>IFERROR(_xlfn.XLOOKUP(B215, HoldSummary!$A:$A, HoldSummary!G:G), 0)</f>
        <v>0</v>
      </c>
      <c r="AI215">
        <f>IFERROR(_xlfn.XLOOKUP(B215, HoldSummary!$A:$A, HoldSummary!H:H), 0)</f>
        <v>0</v>
      </c>
      <c r="AJ215">
        <f>IFERROR(_xlfn.XLOOKUP(B215, HoldSummary!$A:$A, HoldSummary!I:I), 0)</f>
        <v>0</v>
      </c>
      <c r="AK215">
        <f t="shared" si="35"/>
        <v>0</v>
      </c>
      <c r="AL215">
        <f t="shared" si="36"/>
        <v>104.19730324074044</v>
      </c>
      <c r="AM215">
        <f t="shared" si="37"/>
        <v>47.197303240740439</v>
      </c>
      <c r="AN215" s="12">
        <f t="shared" si="38"/>
        <v>-14.208333333335759</v>
      </c>
      <c r="AO215">
        <f t="shared" si="39"/>
        <v>1</v>
      </c>
    </row>
    <row r="216" spans="1:41" x14ac:dyDescent="0.35">
      <c r="A216" t="s">
        <v>23</v>
      </c>
      <c r="B216" t="s">
        <v>531</v>
      </c>
      <c r="C216" t="s">
        <v>113</v>
      </c>
      <c r="D216" t="s">
        <v>44</v>
      </c>
      <c r="E216" t="s">
        <v>45</v>
      </c>
      <c r="F216" t="s">
        <v>28</v>
      </c>
      <c r="G216">
        <v>8</v>
      </c>
      <c r="H216" t="s">
        <v>532</v>
      </c>
      <c r="I216" t="s">
        <v>30</v>
      </c>
      <c r="J216" t="s">
        <v>31</v>
      </c>
      <c r="K216" t="s">
        <v>32</v>
      </c>
      <c r="L216" t="s">
        <v>39</v>
      </c>
      <c r="N216" s="2">
        <v>45265.838263888887</v>
      </c>
      <c r="O216" s="2">
        <v>45371.166666666664</v>
      </c>
      <c r="P216" s="2">
        <v>45429.166666666664</v>
      </c>
      <c r="Q216" s="2">
        <v>45432</v>
      </c>
      <c r="R216" s="2">
        <v>45432.849137534722</v>
      </c>
      <c r="S216" t="s">
        <v>426</v>
      </c>
      <c r="T216" s="2">
        <v>45302.208333333336</v>
      </c>
      <c r="U216" s="2">
        <v>45329.208333333336</v>
      </c>
      <c r="V216" s="2">
        <v>45329.208333333336</v>
      </c>
      <c r="W216" s="2">
        <v>45350.208333333336</v>
      </c>
      <c r="X216" s="3">
        <f t="shared" si="30"/>
        <v>27</v>
      </c>
      <c r="Y216">
        <f t="shared" si="31"/>
        <v>21</v>
      </c>
      <c r="Z216">
        <f t="shared" si="32"/>
        <v>48</v>
      </c>
      <c r="AA216">
        <f t="shared" si="33"/>
        <v>166.16173611111299</v>
      </c>
      <c r="AB216">
        <f t="shared" si="34"/>
        <v>118.16173611111299</v>
      </c>
      <c r="AC216">
        <f>IFERROR(_xlfn.XLOOKUP(B216, HoldSummary!$A:$A, HoldSummary!B:B), 0)</f>
        <v>0</v>
      </c>
      <c r="AD216">
        <f>IFERROR(_xlfn.XLOOKUP(B216, HoldSummary!$A:$A, HoldSummary!C:C), 0)</f>
        <v>0</v>
      </c>
      <c r="AE216">
        <f>IFERROR(_xlfn.XLOOKUP(B216, HoldSummary!$A:$A, HoldSummary!D:D), 0)</f>
        <v>0</v>
      </c>
      <c r="AF216">
        <f>IFERROR(_xlfn.XLOOKUP(B216, HoldSummary!$A:$A, HoldSummary!E:E), 0)</f>
        <v>0</v>
      </c>
      <c r="AG216">
        <f>IFERROR(_xlfn.XLOOKUP(B216, HoldSummary!$A:$A, HoldSummary!F:F), 0)</f>
        <v>0</v>
      </c>
      <c r="AH216">
        <f>IFERROR(_xlfn.XLOOKUP(B216, HoldSummary!$A:$A, HoldSummary!G:G), 0)</f>
        <v>0</v>
      </c>
      <c r="AI216">
        <f>IFERROR(_xlfn.XLOOKUP(B216, HoldSummary!$A:$A, HoldSummary!H:H), 0)</f>
        <v>0</v>
      </c>
      <c r="AJ216">
        <f>IFERROR(_xlfn.XLOOKUP(B216, HoldSummary!$A:$A, HoldSummary!I:I), 0)</f>
        <v>0</v>
      </c>
      <c r="AK216">
        <f t="shared" si="35"/>
        <v>0</v>
      </c>
      <c r="AL216">
        <f t="shared" si="36"/>
        <v>166.16173611111299</v>
      </c>
      <c r="AM216">
        <f t="shared" si="37"/>
        <v>118.16173611111299</v>
      </c>
      <c r="AN216" s="12">
        <f t="shared" si="38"/>
        <v>60.833333333335759</v>
      </c>
      <c r="AO216">
        <f t="shared" si="39"/>
        <v>0</v>
      </c>
    </row>
    <row r="217" spans="1:41" x14ac:dyDescent="0.35">
      <c r="A217" t="s">
        <v>23</v>
      </c>
      <c r="B217" t="s">
        <v>533</v>
      </c>
      <c r="C217" t="s">
        <v>54</v>
      </c>
      <c r="D217" t="s">
        <v>44</v>
      </c>
      <c r="E217" t="s">
        <v>44</v>
      </c>
      <c r="F217" t="s">
        <v>28</v>
      </c>
      <c r="G217">
        <v>8</v>
      </c>
      <c r="H217" t="s">
        <v>534</v>
      </c>
      <c r="I217" t="s">
        <v>30</v>
      </c>
      <c r="J217" t="s">
        <v>70</v>
      </c>
      <c r="K217" t="s">
        <v>48</v>
      </c>
      <c r="L217" t="s">
        <v>49</v>
      </c>
      <c r="N217" s="2">
        <v>45275.208333333336</v>
      </c>
      <c r="O217" s="2">
        <v>45380.166666666664</v>
      </c>
      <c r="P217" s="2">
        <v>45449.166666666664</v>
      </c>
      <c r="Q217" s="2">
        <v>45462</v>
      </c>
      <c r="R217" s="2">
        <v>45462.576592974539</v>
      </c>
      <c r="S217" t="s">
        <v>535</v>
      </c>
      <c r="T217" s="2"/>
      <c r="U217" s="2"/>
      <c r="V217" s="2"/>
      <c r="W217" s="2"/>
      <c r="X217" s="3" t="str">
        <f t="shared" si="30"/>
        <v/>
      </c>
      <c r="Y217" t="str">
        <f t="shared" si="31"/>
        <v/>
      </c>
      <c r="Z217">
        <f t="shared" si="32"/>
        <v>0</v>
      </c>
      <c r="AA217">
        <f t="shared" si="33"/>
        <v>186.79166666666424</v>
      </c>
      <c r="AB217">
        <f t="shared" si="34"/>
        <v>186.79166666666424</v>
      </c>
      <c r="AC217">
        <f>IFERROR(_xlfn.XLOOKUP(B217, HoldSummary!$A:$A, HoldSummary!B:B), 0)</f>
        <v>0</v>
      </c>
      <c r="AD217">
        <f>IFERROR(_xlfn.XLOOKUP(B217, HoldSummary!$A:$A, HoldSummary!C:C), 0)</f>
        <v>0</v>
      </c>
      <c r="AE217">
        <f>IFERROR(_xlfn.XLOOKUP(B217, HoldSummary!$A:$A, HoldSummary!D:D), 0)</f>
        <v>0</v>
      </c>
      <c r="AF217">
        <f>IFERROR(_xlfn.XLOOKUP(B217, HoldSummary!$A:$A, HoldSummary!E:E), 0)</f>
        <v>0</v>
      </c>
      <c r="AG217">
        <f>IFERROR(_xlfn.XLOOKUP(B217, HoldSummary!$A:$A, HoldSummary!F:F), 0)</f>
        <v>0</v>
      </c>
      <c r="AH217">
        <f>IFERROR(_xlfn.XLOOKUP(B217, HoldSummary!$A:$A, HoldSummary!G:G), 0)</f>
        <v>0</v>
      </c>
      <c r="AI217">
        <f>IFERROR(_xlfn.XLOOKUP(B217, HoldSummary!$A:$A, HoldSummary!H:H), 0)</f>
        <v>0</v>
      </c>
      <c r="AJ217">
        <f>IFERROR(_xlfn.XLOOKUP(B217, HoldSummary!$A:$A, HoldSummary!I:I), 0)</f>
        <v>15.160699467596714</v>
      </c>
      <c r="AK217">
        <f t="shared" si="35"/>
        <v>15.160699467596714</v>
      </c>
      <c r="AL217">
        <f t="shared" si="36"/>
        <v>171.63096719906753</v>
      </c>
      <c r="AM217">
        <f t="shared" si="37"/>
        <v>171.63096719906753</v>
      </c>
      <c r="AN217" s="12">
        <f t="shared" si="38"/>
        <v>81.833333333335759</v>
      </c>
      <c r="AO217">
        <f t="shared" si="39"/>
        <v>0</v>
      </c>
    </row>
    <row r="218" spans="1:41" x14ac:dyDescent="0.35">
      <c r="A218" t="s">
        <v>23</v>
      </c>
      <c r="B218" t="s">
        <v>536</v>
      </c>
      <c r="C218" t="s">
        <v>76</v>
      </c>
      <c r="D218" t="s">
        <v>44</v>
      </c>
      <c r="E218" t="s">
        <v>45</v>
      </c>
      <c r="F218" t="s">
        <v>28</v>
      </c>
      <c r="G218">
        <v>8</v>
      </c>
      <c r="H218" t="s">
        <v>537</v>
      </c>
      <c r="I218" t="s">
        <v>30</v>
      </c>
      <c r="J218" t="s">
        <v>31</v>
      </c>
      <c r="K218" t="s">
        <v>38</v>
      </c>
      <c r="L218" t="s">
        <v>39</v>
      </c>
      <c r="N218" s="2">
        <v>45351.941307870373</v>
      </c>
      <c r="O218" s="2">
        <v>45482.166666666664</v>
      </c>
      <c r="P218" s="2">
        <v>45482.166666666664</v>
      </c>
      <c r="Q218" s="2">
        <v>45462</v>
      </c>
      <c r="R218" s="2">
        <v>45462.796950902775</v>
      </c>
      <c r="S218" t="s">
        <v>306</v>
      </c>
      <c r="T218" s="2">
        <v>45359.208333333336</v>
      </c>
      <c r="U218" s="2">
        <v>45371.166666666664</v>
      </c>
      <c r="V218" s="2">
        <v>45371.166666666664</v>
      </c>
      <c r="W218" s="2">
        <v>45425.166666666664</v>
      </c>
      <c r="X218" s="3">
        <f t="shared" si="30"/>
        <v>11.958333333328483</v>
      </c>
      <c r="Y218">
        <f t="shared" si="31"/>
        <v>54</v>
      </c>
      <c r="Z218">
        <f t="shared" si="32"/>
        <v>65.958333333328483</v>
      </c>
      <c r="AA218">
        <f t="shared" si="33"/>
        <v>110.05869212962716</v>
      </c>
      <c r="AB218">
        <f t="shared" si="34"/>
        <v>44.100358796298678</v>
      </c>
      <c r="AC218">
        <f>IFERROR(_xlfn.XLOOKUP(B218, HoldSummary!$A:$A, HoldSummary!B:B), 0)</f>
        <v>0</v>
      </c>
      <c r="AD218">
        <f>IFERROR(_xlfn.XLOOKUP(B218, HoldSummary!$A:$A, HoldSummary!C:C), 0)</f>
        <v>0</v>
      </c>
      <c r="AE218">
        <f>IFERROR(_xlfn.XLOOKUP(B218, HoldSummary!$A:$A, HoldSummary!D:D), 0)</f>
        <v>0</v>
      </c>
      <c r="AF218">
        <f>IFERROR(_xlfn.XLOOKUP(B218, HoldSummary!$A:$A, HoldSummary!E:E), 0)</f>
        <v>0</v>
      </c>
      <c r="AG218">
        <f>IFERROR(_xlfn.XLOOKUP(B218, HoldSummary!$A:$A, HoldSummary!F:F), 0)</f>
        <v>0</v>
      </c>
      <c r="AH218">
        <f>IFERROR(_xlfn.XLOOKUP(B218, HoldSummary!$A:$A, HoldSummary!G:G), 0)</f>
        <v>0</v>
      </c>
      <c r="AI218">
        <f>IFERROR(_xlfn.XLOOKUP(B218, HoldSummary!$A:$A, HoldSummary!H:H), 0)</f>
        <v>0</v>
      </c>
      <c r="AJ218">
        <f>IFERROR(_xlfn.XLOOKUP(B218, HoldSummary!$A:$A, HoldSummary!I:I), 0)</f>
        <v>0</v>
      </c>
      <c r="AK218">
        <f t="shared" si="35"/>
        <v>0</v>
      </c>
      <c r="AL218">
        <f t="shared" si="36"/>
        <v>110.05869212962716</v>
      </c>
      <c r="AM218">
        <f t="shared" si="37"/>
        <v>44.100358796298678</v>
      </c>
      <c r="AN218" s="12">
        <f t="shared" si="38"/>
        <v>-20.166666666664241</v>
      </c>
      <c r="AO218">
        <f t="shared" si="39"/>
        <v>1</v>
      </c>
    </row>
    <row r="219" spans="1:41" x14ac:dyDescent="0.35">
      <c r="A219" t="s">
        <v>23</v>
      </c>
      <c r="B219" t="s">
        <v>538</v>
      </c>
      <c r="C219" t="s">
        <v>76</v>
      </c>
      <c r="D219" t="s">
        <v>44</v>
      </c>
      <c r="E219" t="s">
        <v>45</v>
      </c>
      <c r="F219" t="s">
        <v>28</v>
      </c>
      <c r="G219">
        <v>8</v>
      </c>
      <c r="H219" t="s">
        <v>539</v>
      </c>
      <c r="I219" t="s">
        <v>30</v>
      </c>
      <c r="J219" t="s">
        <v>31</v>
      </c>
      <c r="K219" t="s">
        <v>32</v>
      </c>
      <c r="L219" t="s">
        <v>39</v>
      </c>
      <c r="N219" s="2">
        <v>45365.669918981483</v>
      </c>
      <c r="O219" s="2">
        <v>45474.166666666664</v>
      </c>
      <c r="P219" s="2">
        <v>45553.166666666664</v>
      </c>
      <c r="Q219" s="2">
        <v>45552</v>
      </c>
      <c r="R219" s="2">
        <v>45553.563777673611</v>
      </c>
      <c r="S219" t="s">
        <v>231</v>
      </c>
      <c r="T219" s="2">
        <v>45383.166666666664</v>
      </c>
      <c r="U219" s="2">
        <v>45393.166666666664</v>
      </c>
      <c r="V219" s="2">
        <v>45393.166666666664</v>
      </c>
      <c r="W219" s="2">
        <v>45541.166666666664</v>
      </c>
      <c r="X219" s="3">
        <f t="shared" si="30"/>
        <v>10</v>
      </c>
      <c r="Y219">
        <f t="shared" si="31"/>
        <v>148</v>
      </c>
      <c r="Z219">
        <f t="shared" si="32"/>
        <v>158</v>
      </c>
      <c r="AA219">
        <f t="shared" si="33"/>
        <v>186.33008101851738</v>
      </c>
      <c r="AB219">
        <f t="shared" si="34"/>
        <v>28.330081018517376</v>
      </c>
      <c r="AC219">
        <f>IFERROR(_xlfn.XLOOKUP(B219, HoldSummary!$A:$A, HoldSummary!B:B), 0)</f>
        <v>0</v>
      </c>
      <c r="AD219">
        <f>IFERROR(_xlfn.XLOOKUP(B219, HoldSummary!$A:$A, HoldSummary!C:C), 0)</f>
        <v>0</v>
      </c>
      <c r="AE219">
        <f>IFERROR(_xlfn.XLOOKUP(B219, HoldSummary!$A:$A, HoldSummary!D:D), 0)</f>
        <v>0</v>
      </c>
      <c r="AF219">
        <f>IFERROR(_xlfn.XLOOKUP(B219, HoldSummary!$A:$A, HoldSummary!E:E), 0)</f>
        <v>0</v>
      </c>
      <c r="AG219">
        <f>IFERROR(_xlfn.XLOOKUP(B219, HoldSummary!$A:$A, HoldSummary!F:F), 0)</f>
        <v>0</v>
      </c>
      <c r="AH219">
        <f>IFERROR(_xlfn.XLOOKUP(B219, HoldSummary!$A:$A, HoldSummary!G:G), 0)</f>
        <v>0</v>
      </c>
      <c r="AI219">
        <f>IFERROR(_xlfn.XLOOKUP(B219, HoldSummary!$A:$A, HoldSummary!H:H), 0)</f>
        <v>20</v>
      </c>
      <c r="AJ219">
        <f>IFERROR(_xlfn.XLOOKUP(B219, HoldSummary!$A:$A, HoldSummary!I:I), 0)</f>
        <v>0</v>
      </c>
      <c r="AK219">
        <f t="shared" si="35"/>
        <v>20</v>
      </c>
      <c r="AL219">
        <f t="shared" si="36"/>
        <v>166.33008101851738</v>
      </c>
      <c r="AM219">
        <f t="shared" si="37"/>
        <v>8.3300810185173759</v>
      </c>
      <c r="AN219" s="12">
        <f t="shared" si="38"/>
        <v>77.833333333335759</v>
      </c>
      <c r="AO219">
        <f t="shared" si="39"/>
        <v>0</v>
      </c>
    </row>
    <row r="220" spans="1:41" x14ac:dyDescent="0.35">
      <c r="A220" t="s">
        <v>23</v>
      </c>
      <c r="B220">
        <v>106590</v>
      </c>
      <c r="C220" t="s">
        <v>43</v>
      </c>
      <c r="D220" t="s">
        <v>44</v>
      </c>
      <c r="E220" t="s">
        <v>55</v>
      </c>
      <c r="F220" t="s">
        <v>28</v>
      </c>
      <c r="G220">
        <v>8</v>
      </c>
      <c r="H220" t="s">
        <v>540</v>
      </c>
      <c r="I220" t="s">
        <v>30</v>
      </c>
      <c r="J220" t="s">
        <v>31</v>
      </c>
      <c r="K220" t="s">
        <v>57</v>
      </c>
      <c r="L220" t="s">
        <v>39</v>
      </c>
      <c r="M220" t="s">
        <v>81</v>
      </c>
      <c r="N220" s="2">
        <v>45467.166666666664</v>
      </c>
      <c r="O220" s="2">
        <v>45534.166666666664</v>
      </c>
      <c r="P220" s="2">
        <v>45534.166666666664</v>
      </c>
      <c r="Q220" s="2">
        <v>45520</v>
      </c>
      <c r="R220" s="2">
        <v>45520.841888090275</v>
      </c>
      <c r="T220" s="2"/>
      <c r="U220" s="2"/>
      <c r="V220" s="2"/>
      <c r="W220" s="2"/>
      <c r="X220" s="3" t="str">
        <f t="shared" si="30"/>
        <v/>
      </c>
      <c r="Y220" t="str">
        <f t="shared" si="31"/>
        <v/>
      </c>
      <c r="Z220">
        <f t="shared" si="32"/>
        <v>0</v>
      </c>
      <c r="AA220">
        <f t="shared" si="33"/>
        <v>52.833333333335759</v>
      </c>
      <c r="AB220">
        <f t="shared" si="34"/>
        <v>52.833333333335759</v>
      </c>
      <c r="AC220">
        <f>IFERROR(_xlfn.XLOOKUP(B220, HoldSummary!$A:$A, HoldSummary!B:B), 0)</f>
        <v>0</v>
      </c>
      <c r="AD220">
        <f>IFERROR(_xlfn.XLOOKUP(B220, HoldSummary!$A:$A, HoldSummary!C:C), 0)</f>
        <v>0</v>
      </c>
      <c r="AE220">
        <f>IFERROR(_xlfn.XLOOKUP(B220, HoldSummary!$A:$A, HoldSummary!D:D), 0)</f>
        <v>0</v>
      </c>
      <c r="AF220">
        <f>IFERROR(_xlfn.XLOOKUP(B220, HoldSummary!$A:$A, HoldSummary!E:E), 0)</f>
        <v>0</v>
      </c>
      <c r="AG220">
        <f>IFERROR(_xlfn.XLOOKUP(B220, HoldSummary!$A:$A, HoldSummary!F:F), 0)</f>
        <v>0</v>
      </c>
      <c r="AH220">
        <f>IFERROR(_xlfn.XLOOKUP(B220, HoldSummary!$A:$A, HoldSummary!G:G), 0)</f>
        <v>0</v>
      </c>
      <c r="AI220">
        <f>IFERROR(_xlfn.XLOOKUP(B220, HoldSummary!$A:$A, HoldSummary!H:H), 0)</f>
        <v>0</v>
      </c>
      <c r="AJ220">
        <f>IFERROR(_xlfn.XLOOKUP(B220, HoldSummary!$A:$A, HoldSummary!I:I), 0)</f>
        <v>0</v>
      </c>
      <c r="AK220">
        <f t="shared" si="35"/>
        <v>0</v>
      </c>
      <c r="AL220">
        <f t="shared" si="36"/>
        <v>52.833333333335759</v>
      </c>
      <c r="AM220">
        <f t="shared" si="37"/>
        <v>52.833333333335759</v>
      </c>
      <c r="AN220" s="12">
        <f t="shared" si="38"/>
        <v>-14.166666666664241</v>
      </c>
      <c r="AO220">
        <f t="shared" si="39"/>
        <v>1</v>
      </c>
    </row>
    <row r="221" spans="1:41" x14ac:dyDescent="0.35">
      <c r="A221" t="s">
        <v>23</v>
      </c>
      <c r="B221" t="s">
        <v>541</v>
      </c>
      <c r="C221" t="s">
        <v>409</v>
      </c>
      <c r="D221" t="s">
        <v>44</v>
      </c>
      <c r="E221" t="s">
        <v>45</v>
      </c>
      <c r="F221" t="s">
        <v>28</v>
      </c>
      <c r="G221">
        <v>8</v>
      </c>
      <c r="H221" t="s">
        <v>542</v>
      </c>
      <c r="I221" t="s">
        <v>30</v>
      </c>
      <c r="J221" t="s">
        <v>31</v>
      </c>
      <c r="K221" t="s">
        <v>48</v>
      </c>
      <c r="L221" t="s">
        <v>49</v>
      </c>
      <c r="M221" t="s">
        <v>33</v>
      </c>
      <c r="N221" s="2">
        <v>45491.625497685185</v>
      </c>
      <c r="O221" s="2">
        <v>45548.166666666664</v>
      </c>
      <c r="P221" s="2">
        <v>45548.166666666664</v>
      </c>
      <c r="Q221" s="2">
        <v>45533</v>
      </c>
      <c r="R221" s="2">
        <v>45533.776866273147</v>
      </c>
      <c r="S221" t="s">
        <v>543</v>
      </c>
      <c r="T221" s="2">
        <v>45519.166666666664</v>
      </c>
      <c r="U221" s="2">
        <v>45520.166666666664</v>
      </c>
      <c r="V221" s="2">
        <v>45520.166666666664</v>
      </c>
      <c r="W221" s="2">
        <v>45523.166666666664</v>
      </c>
      <c r="X221" s="3">
        <f t="shared" si="30"/>
        <v>1</v>
      </c>
      <c r="Y221">
        <f t="shared" si="31"/>
        <v>3</v>
      </c>
      <c r="Z221">
        <f t="shared" si="32"/>
        <v>4</v>
      </c>
      <c r="AA221">
        <f t="shared" si="33"/>
        <v>41.37450231481489</v>
      </c>
      <c r="AB221">
        <f t="shared" si="34"/>
        <v>37.37450231481489</v>
      </c>
      <c r="AC221">
        <f>IFERROR(_xlfn.XLOOKUP(B221, HoldSummary!$A:$A, HoldSummary!B:B), 0)</f>
        <v>0</v>
      </c>
      <c r="AD221">
        <f>IFERROR(_xlfn.XLOOKUP(B221, HoldSummary!$A:$A, HoldSummary!C:C), 0)</f>
        <v>0</v>
      </c>
      <c r="AE221">
        <f>IFERROR(_xlfn.XLOOKUP(B221, HoldSummary!$A:$A, HoldSummary!D:D), 0)</f>
        <v>0</v>
      </c>
      <c r="AF221">
        <f>IFERROR(_xlfn.XLOOKUP(B221, HoldSummary!$A:$A, HoldSummary!E:E), 0)</f>
        <v>0</v>
      </c>
      <c r="AG221">
        <f>IFERROR(_xlfn.XLOOKUP(B221, HoldSummary!$A:$A, HoldSummary!F:F), 0)</f>
        <v>0</v>
      </c>
      <c r="AH221">
        <f>IFERROR(_xlfn.XLOOKUP(B221, HoldSummary!$A:$A, HoldSummary!G:G), 0)</f>
        <v>0</v>
      </c>
      <c r="AI221">
        <f>IFERROR(_xlfn.XLOOKUP(B221, HoldSummary!$A:$A, HoldSummary!H:H), 0)</f>
        <v>0</v>
      </c>
      <c r="AJ221">
        <f>IFERROR(_xlfn.XLOOKUP(B221, HoldSummary!$A:$A, HoldSummary!I:I), 0)</f>
        <v>0</v>
      </c>
      <c r="AK221">
        <f t="shared" si="35"/>
        <v>0</v>
      </c>
      <c r="AL221">
        <f t="shared" si="36"/>
        <v>41.37450231481489</v>
      </c>
      <c r="AM221">
        <f t="shared" si="37"/>
        <v>37.37450231481489</v>
      </c>
      <c r="AN221" s="12">
        <f t="shared" si="38"/>
        <v>-15.166666666664241</v>
      </c>
      <c r="AO221">
        <f t="shared" si="39"/>
        <v>1</v>
      </c>
    </row>
    <row r="222" spans="1:41" x14ac:dyDescent="0.35">
      <c r="A222" t="s">
        <v>23</v>
      </c>
      <c r="B222" t="s">
        <v>544</v>
      </c>
      <c r="C222" t="s">
        <v>43</v>
      </c>
      <c r="D222" t="s">
        <v>44</v>
      </c>
      <c r="E222" t="s">
        <v>45</v>
      </c>
      <c r="F222" t="s">
        <v>28</v>
      </c>
      <c r="G222">
        <v>8</v>
      </c>
      <c r="H222" t="s">
        <v>545</v>
      </c>
      <c r="I222" t="s">
        <v>30</v>
      </c>
      <c r="J222" t="s">
        <v>31</v>
      </c>
      <c r="K222" t="s">
        <v>38</v>
      </c>
      <c r="L222" t="s">
        <v>39</v>
      </c>
      <c r="N222" s="2">
        <v>45523.526516203703</v>
      </c>
      <c r="O222" s="2">
        <v>45626.208333333336</v>
      </c>
      <c r="P222" s="2">
        <v>45553.166666666664</v>
      </c>
      <c r="Q222" s="2">
        <v>45546</v>
      </c>
      <c r="R222" s="2">
        <v>45547.652289756945</v>
      </c>
      <c r="T222" s="2"/>
      <c r="U222" s="2"/>
      <c r="V222" s="2"/>
      <c r="W222" s="2"/>
      <c r="X222" s="3" t="str">
        <f t="shared" si="30"/>
        <v/>
      </c>
      <c r="Y222" t="str">
        <f t="shared" si="31"/>
        <v/>
      </c>
      <c r="Z222">
        <f t="shared" si="32"/>
        <v>0</v>
      </c>
      <c r="AA222">
        <f t="shared" si="33"/>
        <v>22.473483796296932</v>
      </c>
      <c r="AB222">
        <f t="shared" si="34"/>
        <v>22.473483796296932</v>
      </c>
      <c r="AC222">
        <f>IFERROR(_xlfn.XLOOKUP(B222, HoldSummary!$A:$A, HoldSummary!B:B), 0)</f>
        <v>0</v>
      </c>
      <c r="AD222">
        <f>IFERROR(_xlfn.XLOOKUP(B222, HoldSummary!$A:$A, HoldSummary!C:C), 0)</f>
        <v>0</v>
      </c>
      <c r="AE222">
        <f>IFERROR(_xlfn.XLOOKUP(B222, HoldSummary!$A:$A, HoldSummary!D:D), 0)</f>
        <v>0</v>
      </c>
      <c r="AF222">
        <f>IFERROR(_xlfn.XLOOKUP(B222, HoldSummary!$A:$A, HoldSummary!E:E), 0)</f>
        <v>0</v>
      </c>
      <c r="AG222">
        <f>IFERROR(_xlfn.XLOOKUP(B222, HoldSummary!$A:$A, HoldSummary!F:F), 0)</f>
        <v>0</v>
      </c>
      <c r="AH222">
        <f>IFERROR(_xlfn.XLOOKUP(B222, HoldSummary!$A:$A, HoldSummary!G:G), 0)</f>
        <v>0</v>
      </c>
      <c r="AI222">
        <f>IFERROR(_xlfn.XLOOKUP(B222, HoldSummary!$A:$A, HoldSummary!H:H), 0)</f>
        <v>0</v>
      </c>
      <c r="AJ222">
        <f>IFERROR(_xlfn.XLOOKUP(B222, HoldSummary!$A:$A, HoldSummary!I:I), 0)</f>
        <v>0</v>
      </c>
      <c r="AK222">
        <f t="shared" si="35"/>
        <v>0</v>
      </c>
      <c r="AL222">
        <f t="shared" si="36"/>
        <v>22.473483796296932</v>
      </c>
      <c r="AM222">
        <f t="shared" si="37"/>
        <v>22.473483796296932</v>
      </c>
      <c r="AN222" s="12">
        <f t="shared" si="38"/>
        <v>-80.208333333335759</v>
      </c>
      <c r="AO222">
        <f t="shared" si="39"/>
        <v>1</v>
      </c>
    </row>
    <row r="223" spans="1:41" x14ac:dyDescent="0.35">
      <c r="A223" t="s">
        <v>23</v>
      </c>
      <c r="B223" t="s">
        <v>546</v>
      </c>
      <c r="C223" t="s">
        <v>244</v>
      </c>
      <c r="D223" t="s">
        <v>44</v>
      </c>
      <c r="E223" t="s">
        <v>45</v>
      </c>
      <c r="F223" t="s">
        <v>28</v>
      </c>
      <c r="G223">
        <v>8</v>
      </c>
      <c r="H223" t="s">
        <v>547</v>
      </c>
      <c r="I223" t="s">
        <v>30</v>
      </c>
      <c r="J223" t="s">
        <v>31</v>
      </c>
      <c r="K223" t="s">
        <v>174</v>
      </c>
      <c r="L223" t="s">
        <v>174</v>
      </c>
      <c r="M223" t="s">
        <v>33</v>
      </c>
      <c r="N223" s="2">
        <v>45793.557210648149</v>
      </c>
      <c r="O223" s="2">
        <v>45846.166666666664</v>
      </c>
      <c r="P223" s="2">
        <v>45807.166666666664</v>
      </c>
      <c r="Q223" s="2">
        <v>45805</v>
      </c>
      <c r="R223" s="2">
        <v>45805.998634016207</v>
      </c>
      <c r="S223" t="s">
        <v>548</v>
      </c>
      <c r="T223" s="2"/>
      <c r="U223" s="2"/>
      <c r="V223" s="2"/>
      <c r="W223" s="2"/>
      <c r="X223" s="3" t="str">
        <f t="shared" si="30"/>
        <v/>
      </c>
      <c r="Y223" t="str">
        <f t="shared" si="31"/>
        <v/>
      </c>
      <c r="Z223">
        <f t="shared" si="32"/>
        <v>0</v>
      </c>
      <c r="AA223">
        <f t="shared" si="33"/>
        <v>11.442789351851388</v>
      </c>
      <c r="AB223">
        <f t="shared" si="34"/>
        <v>11.442789351851388</v>
      </c>
      <c r="AC223">
        <f>IFERROR(_xlfn.XLOOKUP(B223, HoldSummary!$A:$A, HoldSummary!B:B), 0)</f>
        <v>0</v>
      </c>
      <c r="AD223">
        <f>IFERROR(_xlfn.XLOOKUP(B223, HoldSummary!$A:$A, HoldSummary!C:C), 0)</f>
        <v>0</v>
      </c>
      <c r="AE223">
        <f>IFERROR(_xlfn.XLOOKUP(B223, HoldSummary!$A:$A, HoldSummary!D:D), 0)</f>
        <v>0</v>
      </c>
      <c r="AF223">
        <f>IFERROR(_xlfn.XLOOKUP(B223, HoldSummary!$A:$A, HoldSummary!E:E), 0)</f>
        <v>0</v>
      </c>
      <c r="AG223">
        <f>IFERROR(_xlfn.XLOOKUP(B223, HoldSummary!$A:$A, HoldSummary!F:F), 0)</f>
        <v>0</v>
      </c>
      <c r="AH223">
        <f>IFERROR(_xlfn.XLOOKUP(B223, HoldSummary!$A:$A, HoldSummary!G:G), 0)</f>
        <v>0</v>
      </c>
      <c r="AI223">
        <f>IFERROR(_xlfn.XLOOKUP(B223, HoldSummary!$A:$A, HoldSummary!H:H), 0)</f>
        <v>0</v>
      </c>
      <c r="AJ223">
        <f>IFERROR(_xlfn.XLOOKUP(B223, HoldSummary!$A:$A, HoldSummary!I:I), 0)</f>
        <v>0</v>
      </c>
      <c r="AK223">
        <f t="shared" si="35"/>
        <v>0</v>
      </c>
      <c r="AL223">
        <f t="shared" si="36"/>
        <v>11.442789351851388</v>
      </c>
      <c r="AM223">
        <f t="shared" si="37"/>
        <v>11.442789351851388</v>
      </c>
      <c r="AN223" s="12">
        <f t="shared" si="38"/>
        <v>-41.166666666664241</v>
      </c>
      <c r="AO223">
        <f t="shared" si="39"/>
        <v>1</v>
      </c>
    </row>
    <row r="224" spans="1:41" x14ac:dyDescent="0.35">
      <c r="A224" t="s">
        <v>23</v>
      </c>
      <c r="B224" t="s">
        <v>549</v>
      </c>
      <c r="C224" t="s">
        <v>51</v>
      </c>
      <c r="D224" t="s">
        <v>44</v>
      </c>
      <c r="E224" t="s">
        <v>45</v>
      </c>
      <c r="F224" t="s">
        <v>28</v>
      </c>
      <c r="G224">
        <v>9</v>
      </c>
      <c r="H224" t="s">
        <v>550</v>
      </c>
      <c r="I224" t="s">
        <v>30</v>
      </c>
      <c r="J224" t="s">
        <v>70</v>
      </c>
      <c r="K224" t="s">
        <v>349</v>
      </c>
      <c r="L224" t="s">
        <v>414</v>
      </c>
      <c r="N224" s="2">
        <v>44692.863923611112</v>
      </c>
      <c r="O224" s="2">
        <v>45338.208333333336</v>
      </c>
      <c r="P224" s="2">
        <v>45412.166666666664</v>
      </c>
      <c r="Q224" s="2">
        <v>45385</v>
      </c>
      <c r="R224" s="2">
        <v>45386.675268587962</v>
      </c>
      <c r="S224" t="s">
        <v>551</v>
      </c>
      <c r="T224" s="2"/>
      <c r="U224" s="2"/>
      <c r="V224" s="2"/>
      <c r="W224" s="2"/>
      <c r="X224" s="3" t="str">
        <f t="shared" si="30"/>
        <v/>
      </c>
      <c r="Y224" t="str">
        <f t="shared" si="31"/>
        <v/>
      </c>
      <c r="Z224">
        <f t="shared" si="32"/>
        <v>0</v>
      </c>
      <c r="AA224">
        <f t="shared" si="33"/>
        <v>692.13607638888789</v>
      </c>
      <c r="AB224">
        <f t="shared" si="34"/>
        <v>692.13607638888789</v>
      </c>
      <c r="AC224">
        <f>IFERROR(_xlfn.XLOOKUP(B224, HoldSummary!$A:$A, HoldSummary!B:B), 0)</f>
        <v>0</v>
      </c>
      <c r="AD224">
        <f>IFERROR(_xlfn.XLOOKUP(B224, HoldSummary!$A:$A, HoldSummary!C:C), 0)</f>
        <v>0</v>
      </c>
      <c r="AE224">
        <f>IFERROR(_xlfn.XLOOKUP(B224, HoldSummary!$A:$A, HoldSummary!D:D), 0)</f>
        <v>0</v>
      </c>
      <c r="AF224">
        <f>IFERROR(_xlfn.XLOOKUP(B224, HoldSummary!$A:$A, HoldSummary!E:E), 0)</f>
        <v>0</v>
      </c>
      <c r="AG224">
        <f>IFERROR(_xlfn.XLOOKUP(B224, HoldSummary!$A:$A, HoldSummary!F:F), 0)</f>
        <v>0</v>
      </c>
      <c r="AH224">
        <f>IFERROR(_xlfn.XLOOKUP(B224, HoldSummary!$A:$A, HoldSummary!G:G), 0)</f>
        <v>0</v>
      </c>
      <c r="AI224">
        <f>IFERROR(_xlfn.XLOOKUP(B224, HoldSummary!$A:$A, HoldSummary!H:H), 0)</f>
        <v>0</v>
      </c>
      <c r="AJ224">
        <f>IFERROR(_xlfn.XLOOKUP(B224, HoldSummary!$A:$A, HoldSummary!I:I), 0)</f>
        <v>13.984316712965665</v>
      </c>
      <c r="AK224">
        <f t="shared" si="35"/>
        <v>13.984316712965665</v>
      </c>
      <c r="AL224">
        <f t="shared" si="36"/>
        <v>678.15175967592222</v>
      </c>
      <c r="AM224">
        <f t="shared" si="37"/>
        <v>678.15175967592222</v>
      </c>
      <c r="AN224" s="12">
        <f t="shared" si="38"/>
        <v>46.791666666664241</v>
      </c>
      <c r="AO224">
        <f t="shared" si="39"/>
        <v>0</v>
      </c>
    </row>
    <row r="225" spans="1:41" x14ac:dyDescent="0.35">
      <c r="A225" t="s">
        <v>23</v>
      </c>
      <c r="B225" t="s">
        <v>552</v>
      </c>
      <c r="C225" t="s">
        <v>76</v>
      </c>
      <c r="D225" t="s">
        <v>44</v>
      </c>
      <c r="E225" t="s">
        <v>45</v>
      </c>
      <c r="F225" t="s">
        <v>28</v>
      </c>
      <c r="G225">
        <v>9</v>
      </c>
      <c r="H225" t="s">
        <v>553</v>
      </c>
      <c r="I225" t="s">
        <v>30</v>
      </c>
      <c r="J225" t="s">
        <v>31</v>
      </c>
      <c r="K225" t="s">
        <v>48</v>
      </c>
      <c r="L225" t="s">
        <v>39</v>
      </c>
      <c r="N225" s="2">
        <v>44988.638067129628</v>
      </c>
      <c r="O225" s="2">
        <v>45189.166666666664</v>
      </c>
      <c r="P225" s="2">
        <v>45356.208333333336</v>
      </c>
      <c r="Q225" s="2">
        <v>45355</v>
      </c>
      <c r="R225" s="2">
        <v>45355.63586908565</v>
      </c>
      <c r="S225" t="s">
        <v>309</v>
      </c>
      <c r="T225" s="2">
        <v>45089.166666666664</v>
      </c>
      <c r="U225" s="2">
        <v>45091.166666666664</v>
      </c>
      <c r="V225" s="2">
        <v>45091.166666666664</v>
      </c>
      <c r="W225" s="2">
        <v>45225.166666666664</v>
      </c>
      <c r="X225" s="3">
        <f t="shared" si="30"/>
        <v>2</v>
      </c>
      <c r="Y225">
        <f t="shared" si="31"/>
        <v>134</v>
      </c>
      <c r="Z225">
        <f t="shared" si="32"/>
        <v>136</v>
      </c>
      <c r="AA225">
        <f t="shared" si="33"/>
        <v>366.36193287037167</v>
      </c>
      <c r="AB225">
        <f t="shared" si="34"/>
        <v>230.36193287037167</v>
      </c>
      <c r="AC225">
        <f>IFERROR(_xlfn.XLOOKUP(B225, HoldSummary!$A:$A, HoldSummary!B:B), 0)</f>
        <v>0</v>
      </c>
      <c r="AD225">
        <f>IFERROR(_xlfn.XLOOKUP(B225, HoldSummary!$A:$A, HoldSummary!C:C), 0)</f>
        <v>0</v>
      </c>
      <c r="AE225">
        <f>IFERROR(_xlfn.XLOOKUP(B225, HoldSummary!$A:$A, HoldSummary!D:D), 0)</f>
        <v>0</v>
      </c>
      <c r="AF225">
        <f>IFERROR(_xlfn.XLOOKUP(B225, HoldSummary!$A:$A, HoldSummary!E:E), 0)</f>
        <v>0</v>
      </c>
      <c r="AG225">
        <f>IFERROR(_xlfn.XLOOKUP(B225, HoldSummary!$A:$A, HoldSummary!F:F), 0)</f>
        <v>0</v>
      </c>
      <c r="AH225">
        <f>IFERROR(_xlfn.XLOOKUP(B225, HoldSummary!$A:$A, HoldSummary!G:G), 0)</f>
        <v>0</v>
      </c>
      <c r="AI225">
        <f>IFERROR(_xlfn.XLOOKUP(B225, HoldSummary!$A:$A, HoldSummary!H:H), 0)</f>
        <v>0</v>
      </c>
      <c r="AJ225">
        <f>IFERROR(_xlfn.XLOOKUP(B225, HoldSummary!$A:$A, HoldSummary!I:I), 0)</f>
        <v>0</v>
      </c>
      <c r="AK225">
        <f t="shared" si="35"/>
        <v>0</v>
      </c>
      <c r="AL225">
        <f t="shared" si="36"/>
        <v>366.36193287037167</v>
      </c>
      <c r="AM225">
        <f t="shared" si="37"/>
        <v>230.36193287037167</v>
      </c>
      <c r="AN225" s="12">
        <f t="shared" si="38"/>
        <v>165.83333333333576</v>
      </c>
      <c r="AO225">
        <f t="shared" si="39"/>
        <v>0</v>
      </c>
    </row>
    <row r="226" spans="1:41" x14ac:dyDescent="0.35">
      <c r="A226" t="s">
        <v>23</v>
      </c>
      <c r="B226" t="s">
        <v>554</v>
      </c>
      <c r="C226" t="s">
        <v>76</v>
      </c>
      <c r="D226" t="s">
        <v>44</v>
      </c>
      <c r="E226" t="s">
        <v>45</v>
      </c>
      <c r="F226" t="s">
        <v>28</v>
      </c>
      <c r="G226">
        <v>9</v>
      </c>
      <c r="H226" t="s">
        <v>555</v>
      </c>
      <c r="I226" t="s">
        <v>30</v>
      </c>
      <c r="J226" t="s">
        <v>31</v>
      </c>
      <c r="K226" t="s">
        <v>38</v>
      </c>
      <c r="L226" t="s">
        <v>39</v>
      </c>
      <c r="N226" s="2">
        <v>45021.608657407407</v>
      </c>
      <c r="O226" s="2">
        <v>45218.166666666664</v>
      </c>
      <c r="P226" s="2">
        <v>45322.208333333336</v>
      </c>
      <c r="Q226" s="2">
        <v>45313</v>
      </c>
      <c r="R226" s="2">
        <v>45313.671237847222</v>
      </c>
      <c r="S226" t="s">
        <v>115</v>
      </c>
      <c r="T226" s="2">
        <v>45047.166666666664</v>
      </c>
      <c r="U226" s="2">
        <v>45195.166666666664</v>
      </c>
      <c r="V226" s="2">
        <v>45195.166666666664</v>
      </c>
      <c r="W226" s="2">
        <v>45275.208333333336</v>
      </c>
      <c r="X226" s="3">
        <f t="shared" si="30"/>
        <v>148</v>
      </c>
      <c r="Y226">
        <f t="shared" si="31"/>
        <v>80.041666666671517</v>
      </c>
      <c r="Z226">
        <f t="shared" si="32"/>
        <v>228.04166666667152</v>
      </c>
      <c r="AA226">
        <f t="shared" si="33"/>
        <v>291.39134259259299</v>
      </c>
      <c r="AB226">
        <f t="shared" si="34"/>
        <v>63.349675925921474</v>
      </c>
      <c r="AC226">
        <f>IFERROR(_xlfn.XLOOKUP(B226, HoldSummary!$A:$A, HoldSummary!B:B), 0)</f>
        <v>0</v>
      </c>
      <c r="AD226">
        <f>IFERROR(_xlfn.XLOOKUP(B226, HoldSummary!$A:$A, HoldSummary!C:C), 0)</f>
        <v>0</v>
      </c>
      <c r="AE226">
        <f>IFERROR(_xlfn.XLOOKUP(B226, HoldSummary!$A:$A, HoldSummary!D:D), 0)</f>
        <v>0</v>
      </c>
      <c r="AF226">
        <f>IFERROR(_xlfn.XLOOKUP(B226, HoldSummary!$A:$A, HoldSummary!E:E), 0)</f>
        <v>0</v>
      </c>
      <c r="AG226">
        <f>IFERROR(_xlfn.XLOOKUP(B226, HoldSummary!$A:$A, HoldSummary!F:F), 0)</f>
        <v>0</v>
      </c>
      <c r="AH226">
        <f>IFERROR(_xlfn.XLOOKUP(B226, HoldSummary!$A:$A, HoldSummary!G:G), 0)</f>
        <v>0</v>
      </c>
      <c r="AI226">
        <f>IFERROR(_xlfn.XLOOKUP(B226, HoldSummary!$A:$A, HoldSummary!H:H), 0)</f>
        <v>35</v>
      </c>
      <c r="AJ226">
        <f>IFERROR(_xlfn.XLOOKUP(B226, HoldSummary!$A:$A, HoldSummary!I:I), 0)</f>
        <v>0</v>
      </c>
      <c r="AK226">
        <f t="shared" si="35"/>
        <v>35</v>
      </c>
      <c r="AL226">
        <f t="shared" si="36"/>
        <v>256.39134259259299</v>
      </c>
      <c r="AM226">
        <f t="shared" si="37"/>
        <v>28.349675925921474</v>
      </c>
      <c r="AN226" s="12">
        <f t="shared" si="38"/>
        <v>94.833333333335759</v>
      </c>
      <c r="AO226">
        <f t="shared" si="39"/>
        <v>0</v>
      </c>
    </row>
    <row r="227" spans="1:41" x14ac:dyDescent="0.35">
      <c r="A227" t="s">
        <v>23</v>
      </c>
      <c r="B227" t="s">
        <v>556</v>
      </c>
      <c r="C227" t="s">
        <v>76</v>
      </c>
      <c r="D227" t="s">
        <v>44</v>
      </c>
      <c r="E227" t="s">
        <v>45</v>
      </c>
      <c r="F227" t="s">
        <v>28</v>
      </c>
      <c r="G227">
        <v>9</v>
      </c>
      <c r="H227" t="s">
        <v>557</v>
      </c>
      <c r="I227" t="s">
        <v>30</v>
      </c>
      <c r="J227" t="s">
        <v>70</v>
      </c>
      <c r="K227" t="s">
        <v>32</v>
      </c>
      <c r="L227" t="s">
        <v>32</v>
      </c>
      <c r="N227" s="2">
        <v>45237.644328703704</v>
      </c>
      <c r="O227" s="2">
        <v>45351.208333333336</v>
      </c>
      <c r="P227" s="2">
        <v>45309.208333333336</v>
      </c>
      <c r="Q227" s="2">
        <v>45307</v>
      </c>
      <c r="R227" s="2">
        <v>45307.760651064818</v>
      </c>
      <c r="S227" t="s">
        <v>115</v>
      </c>
      <c r="T227" s="2">
        <v>45239.208333333336</v>
      </c>
      <c r="U227" s="2">
        <v>45239.208333333336</v>
      </c>
      <c r="V227" s="2">
        <v>45239.208333333336</v>
      </c>
      <c r="W227" s="2">
        <v>45280.208333333336</v>
      </c>
      <c r="X227" s="3">
        <f t="shared" si="30"/>
        <v>0</v>
      </c>
      <c r="Y227">
        <f t="shared" si="31"/>
        <v>41</v>
      </c>
      <c r="Z227">
        <f t="shared" si="32"/>
        <v>41</v>
      </c>
      <c r="AA227">
        <f t="shared" si="33"/>
        <v>69.35567129629635</v>
      </c>
      <c r="AB227">
        <f t="shared" si="34"/>
        <v>28.35567129629635</v>
      </c>
      <c r="AC227">
        <f>IFERROR(_xlfn.XLOOKUP(B227, HoldSummary!$A:$A, HoldSummary!B:B), 0)</f>
        <v>0</v>
      </c>
      <c r="AD227">
        <f>IFERROR(_xlfn.XLOOKUP(B227, HoldSummary!$A:$A, HoldSummary!C:C), 0)</f>
        <v>0</v>
      </c>
      <c r="AE227">
        <f>IFERROR(_xlfn.XLOOKUP(B227, HoldSummary!$A:$A, HoldSummary!D:D), 0)</f>
        <v>0</v>
      </c>
      <c r="AF227">
        <f>IFERROR(_xlfn.XLOOKUP(B227, HoldSummary!$A:$A, HoldSummary!E:E), 0)</f>
        <v>0</v>
      </c>
      <c r="AG227">
        <f>IFERROR(_xlfn.XLOOKUP(B227, HoldSummary!$A:$A, HoldSummary!F:F), 0)</f>
        <v>0</v>
      </c>
      <c r="AH227">
        <f>IFERROR(_xlfn.XLOOKUP(B227, HoldSummary!$A:$A, HoldSummary!G:G), 0)</f>
        <v>0</v>
      </c>
      <c r="AI227">
        <f>IFERROR(_xlfn.XLOOKUP(B227, HoldSummary!$A:$A, HoldSummary!H:H), 0)</f>
        <v>0</v>
      </c>
      <c r="AJ227">
        <f>IFERROR(_xlfn.XLOOKUP(B227, HoldSummary!$A:$A, HoldSummary!I:I), 0)</f>
        <v>0</v>
      </c>
      <c r="AK227">
        <f t="shared" si="35"/>
        <v>0</v>
      </c>
      <c r="AL227">
        <f t="shared" si="36"/>
        <v>69.35567129629635</v>
      </c>
      <c r="AM227">
        <f t="shared" si="37"/>
        <v>28.35567129629635</v>
      </c>
      <c r="AN227" s="12">
        <f t="shared" si="38"/>
        <v>-44.208333333335759</v>
      </c>
      <c r="AO227">
        <f t="shared" si="39"/>
        <v>1</v>
      </c>
    </row>
    <row r="228" spans="1:41" x14ac:dyDescent="0.35">
      <c r="A228" t="s">
        <v>23</v>
      </c>
      <c r="B228" t="s">
        <v>558</v>
      </c>
      <c r="C228" t="s">
        <v>113</v>
      </c>
      <c r="D228" t="s">
        <v>44</v>
      </c>
      <c r="E228" t="s">
        <v>45</v>
      </c>
      <c r="F228" t="s">
        <v>28</v>
      </c>
      <c r="G228">
        <v>9</v>
      </c>
      <c r="H228" t="s">
        <v>559</v>
      </c>
      <c r="I228" t="s">
        <v>30</v>
      </c>
      <c r="J228" t="s">
        <v>31</v>
      </c>
      <c r="K228" t="s">
        <v>38</v>
      </c>
      <c r="L228" t="s">
        <v>39</v>
      </c>
      <c r="N228" s="2">
        <v>45261.693553240744</v>
      </c>
      <c r="O228" s="2">
        <v>45376.166666666664</v>
      </c>
      <c r="P228" s="2">
        <v>45401.166666666664</v>
      </c>
      <c r="Q228" s="2">
        <v>45399</v>
      </c>
      <c r="R228" s="2">
        <v>45399.704815289355</v>
      </c>
      <c r="S228" t="s">
        <v>127</v>
      </c>
      <c r="T228" s="2">
        <v>45294.208333333336</v>
      </c>
      <c r="U228" s="2">
        <v>45330.208333333336</v>
      </c>
      <c r="V228" s="2">
        <v>45330.208333333336</v>
      </c>
      <c r="W228" s="2">
        <v>45371.166666666664</v>
      </c>
      <c r="X228" s="3">
        <f t="shared" si="30"/>
        <v>36</v>
      </c>
      <c r="Y228">
        <f t="shared" si="31"/>
        <v>40.958333333328483</v>
      </c>
      <c r="Z228">
        <f t="shared" si="32"/>
        <v>76.958333333328483</v>
      </c>
      <c r="AA228">
        <f t="shared" si="33"/>
        <v>137.30644675925578</v>
      </c>
      <c r="AB228">
        <f t="shared" si="34"/>
        <v>60.348113425927295</v>
      </c>
      <c r="AC228">
        <f>IFERROR(_xlfn.XLOOKUP(B228, HoldSummary!$A:$A, HoldSummary!B:B), 0)</f>
        <v>0</v>
      </c>
      <c r="AD228">
        <f>IFERROR(_xlfn.XLOOKUP(B228, HoldSummary!$A:$A, HoldSummary!C:C), 0)</f>
        <v>0</v>
      </c>
      <c r="AE228">
        <f>IFERROR(_xlfn.XLOOKUP(B228, HoldSummary!$A:$A, HoldSummary!D:D), 0)</f>
        <v>0</v>
      </c>
      <c r="AF228">
        <f>IFERROR(_xlfn.XLOOKUP(B228, HoldSummary!$A:$A, HoldSummary!E:E), 0)</f>
        <v>0</v>
      </c>
      <c r="AG228">
        <f>IFERROR(_xlfn.XLOOKUP(B228, HoldSummary!$A:$A, HoldSummary!F:F), 0)</f>
        <v>0</v>
      </c>
      <c r="AH228">
        <f>IFERROR(_xlfn.XLOOKUP(B228, HoldSummary!$A:$A, HoldSummary!G:G), 0)</f>
        <v>0</v>
      </c>
      <c r="AI228">
        <f>IFERROR(_xlfn.XLOOKUP(B228, HoldSummary!$A:$A, HoldSummary!H:H), 0)</f>
        <v>0</v>
      </c>
      <c r="AJ228">
        <f>IFERROR(_xlfn.XLOOKUP(B228, HoldSummary!$A:$A, HoldSummary!I:I), 0)</f>
        <v>0</v>
      </c>
      <c r="AK228">
        <f t="shared" si="35"/>
        <v>0</v>
      </c>
      <c r="AL228">
        <f t="shared" si="36"/>
        <v>137.30644675925578</v>
      </c>
      <c r="AM228">
        <f t="shared" si="37"/>
        <v>60.348113425927295</v>
      </c>
      <c r="AN228" s="12">
        <f t="shared" si="38"/>
        <v>22.833333333335759</v>
      </c>
      <c r="AO228">
        <f t="shared" si="39"/>
        <v>0</v>
      </c>
    </row>
    <row r="229" spans="1:41" x14ac:dyDescent="0.35">
      <c r="A229" t="s">
        <v>23</v>
      </c>
      <c r="B229" t="s">
        <v>560</v>
      </c>
      <c r="C229" t="s">
        <v>43</v>
      </c>
      <c r="D229" t="s">
        <v>44</v>
      </c>
      <c r="E229" t="s">
        <v>45</v>
      </c>
      <c r="F229" t="s">
        <v>28</v>
      </c>
      <c r="G229">
        <v>9</v>
      </c>
      <c r="H229" t="s">
        <v>561</v>
      </c>
      <c r="I229" t="s">
        <v>30</v>
      </c>
      <c r="J229" t="s">
        <v>70</v>
      </c>
      <c r="K229" t="s">
        <v>48</v>
      </c>
      <c r="L229" t="s">
        <v>49</v>
      </c>
      <c r="N229" s="2">
        <v>45265.946643518517</v>
      </c>
      <c r="O229" s="2">
        <v>45331.208333333336</v>
      </c>
      <c r="P229" s="2">
        <v>45331.208333333336</v>
      </c>
      <c r="Q229" s="2">
        <v>45320</v>
      </c>
      <c r="R229" s="2">
        <v>45320.70061763889</v>
      </c>
      <c r="T229" s="2"/>
      <c r="U229" s="2"/>
      <c r="V229" s="2"/>
      <c r="W229" s="2"/>
      <c r="X229" s="3" t="str">
        <f t="shared" si="30"/>
        <v/>
      </c>
      <c r="Y229" t="str">
        <f t="shared" si="31"/>
        <v/>
      </c>
      <c r="Z229">
        <f t="shared" si="32"/>
        <v>0</v>
      </c>
      <c r="AA229">
        <f t="shared" si="33"/>
        <v>54.053356481483206</v>
      </c>
      <c r="AB229">
        <f t="shared" si="34"/>
        <v>54.053356481483206</v>
      </c>
      <c r="AC229">
        <f>IFERROR(_xlfn.XLOOKUP(B229, HoldSummary!$A:$A, HoldSummary!B:B), 0)</f>
        <v>0</v>
      </c>
      <c r="AD229">
        <f>IFERROR(_xlfn.XLOOKUP(B229, HoldSummary!$A:$A, HoldSummary!C:C), 0)</f>
        <v>0</v>
      </c>
      <c r="AE229">
        <f>IFERROR(_xlfn.XLOOKUP(B229, HoldSummary!$A:$A, HoldSummary!D:D), 0)</f>
        <v>0</v>
      </c>
      <c r="AF229">
        <f>IFERROR(_xlfn.XLOOKUP(B229, HoldSummary!$A:$A, HoldSummary!E:E), 0)</f>
        <v>0</v>
      </c>
      <c r="AG229">
        <f>IFERROR(_xlfn.XLOOKUP(B229, HoldSummary!$A:$A, HoldSummary!F:F), 0)</f>
        <v>0</v>
      </c>
      <c r="AH229">
        <f>IFERROR(_xlfn.XLOOKUP(B229, HoldSummary!$A:$A, HoldSummary!G:G), 0)</f>
        <v>0</v>
      </c>
      <c r="AI229">
        <f>IFERROR(_xlfn.XLOOKUP(B229, HoldSummary!$A:$A, HoldSummary!H:H), 0)</f>
        <v>0</v>
      </c>
      <c r="AJ229">
        <f>IFERROR(_xlfn.XLOOKUP(B229, HoldSummary!$A:$A, HoldSummary!I:I), 0)</f>
        <v>0</v>
      </c>
      <c r="AK229">
        <f t="shared" si="35"/>
        <v>0</v>
      </c>
      <c r="AL229">
        <f t="shared" si="36"/>
        <v>54.053356481483206</v>
      </c>
      <c r="AM229">
        <f t="shared" si="37"/>
        <v>54.053356481483206</v>
      </c>
      <c r="AN229" s="12">
        <f t="shared" si="38"/>
        <v>-11.208333333335759</v>
      </c>
      <c r="AO229">
        <f t="shared" si="39"/>
        <v>1</v>
      </c>
    </row>
    <row r="230" spans="1:41" x14ac:dyDescent="0.35">
      <c r="A230" t="s">
        <v>23</v>
      </c>
      <c r="B230" t="s">
        <v>562</v>
      </c>
      <c r="C230" t="s">
        <v>113</v>
      </c>
      <c r="D230" t="s">
        <v>44</v>
      </c>
      <c r="E230" t="s">
        <v>45</v>
      </c>
      <c r="F230" t="s">
        <v>28</v>
      </c>
      <c r="G230">
        <v>9</v>
      </c>
      <c r="H230" t="s">
        <v>563</v>
      </c>
      <c r="I230" t="s">
        <v>30</v>
      </c>
      <c r="J230" t="s">
        <v>31</v>
      </c>
      <c r="K230" t="s">
        <v>57</v>
      </c>
      <c r="L230" t="s">
        <v>39</v>
      </c>
      <c r="N230" s="2">
        <v>45267.817777777775</v>
      </c>
      <c r="O230" s="2">
        <v>45351.208333333336</v>
      </c>
      <c r="P230" s="2">
        <v>45366.166666666664</v>
      </c>
      <c r="Q230" s="2">
        <v>45369</v>
      </c>
      <c r="R230" s="2">
        <v>45369.636981631942</v>
      </c>
      <c r="T230" s="2">
        <v>45274.208333333336</v>
      </c>
      <c r="U230" s="2">
        <v>45281.208333333336</v>
      </c>
      <c r="V230" s="2">
        <v>45281.208333333336</v>
      </c>
      <c r="W230" s="2">
        <v>45314.208333333336</v>
      </c>
      <c r="X230" s="3">
        <f t="shared" si="30"/>
        <v>7</v>
      </c>
      <c r="Y230">
        <f t="shared" si="31"/>
        <v>33</v>
      </c>
      <c r="Z230">
        <f t="shared" si="32"/>
        <v>40</v>
      </c>
      <c r="AA230">
        <f t="shared" si="33"/>
        <v>101.18222222222539</v>
      </c>
      <c r="AB230">
        <f t="shared" si="34"/>
        <v>61.182222222225391</v>
      </c>
      <c r="AC230">
        <f>IFERROR(_xlfn.XLOOKUP(B230, HoldSummary!$A:$A, HoldSummary!B:B), 0)</f>
        <v>0</v>
      </c>
      <c r="AD230">
        <f>IFERROR(_xlfn.XLOOKUP(B230, HoldSummary!$A:$A, HoldSummary!C:C), 0)</f>
        <v>0</v>
      </c>
      <c r="AE230">
        <f>IFERROR(_xlfn.XLOOKUP(B230, HoldSummary!$A:$A, HoldSummary!D:D), 0)</f>
        <v>0</v>
      </c>
      <c r="AF230">
        <f>IFERROR(_xlfn.XLOOKUP(B230, HoldSummary!$A:$A, HoldSummary!E:E), 0)</f>
        <v>0</v>
      </c>
      <c r="AG230">
        <f>IFERROR(_xlfn.XLOOKUP(B230, HoldSummary!$A:$A, HoldSummary!F:F), 0)</f>
        <v>0</v>
      </c>
      <c r="AH230">
        <f>IFERROR(_xlfn.XLOOKUP(B230, HoldSummary!$A:$A, HoldSummary!G:G), 0)</f>
        <v>0</v>
      </c>
      <c r="AI230">
        <f>IFERROR(_xlfn.XLOOKUP(B230, HoldSummary!$A:$A, HoldSummary!H:H), 0)</f>
        <v>0</v>
      </c>
      <c r="AJ230">
        <f>IFERROR(_xlfn.XLOOKUP(B230, HoldSummary!$A:$A, HoldSummary!I:I), 0)</f>
        <v>0</v>
      </c>
      <c r="AK230">
        <f t="shared" si="35"/>
        <v>0</v>
      </c>
      <c r="AL230">
        <f t="shared" si="36"/>
        <v>101.18222222222539</v>
      </c>
      <c r="AM230">
        <f t="shared" si="37"/>
        <v>61.182222222225391</v>
      </c>
      <c r="AN230" s="12">
        <f t="shared" si="38"/>
        <v>17.791666666664241</v>
      </c>
      <c r="AO230">
        <f t="shared" si="39"/>
        <v>0</v>
      </c>
    </row>
    <row r="231" spans="1:41" x14ac:dyDescent="0.35">
      <c r="A231" t="s">
        <v>23</v>
      </c>
      <c r="B231" t="s">
        <v>564</v>
      </c>
      <c r="C231" t="s">
        <v>43</v>
      </c>
      <c r="D231" t="s">
        <v>44</v>
      </c>
      <c r="E231" t="s">
        <v>45</v>
      </c>
      <c r="F231" t="s">
        <v>28</v>
      </c>
      <c r="G231">
        <v>9</v>
      </c>
      <c r="H231" t="s">
        <v>565</v>
      </c>
      <c r="I231" t="s">
        <v>30</v>
      </c>
      <c r="J231" t="s">
        <v>70</v>
      </c>
      <c r="K231" t="s">
        <v>38</v>
      </c>
      <c r="L231" t="s">
        <v>39</v>
      </c>
      <c r="N231" s="2">
        <v>45294.749780092592</v>
      </c>
      <c r="O231" s="2">
        <v>45359.208333333336</v>
      </c>
      <c r="P231" s="2">
        <v>45510.166666666664</v>
      </c>
      <c r="Q231" s="2">
        <v>45510</v>
      </c>
      <c r="R231" s="2">
        <v>45511.700802083331</v>
      </c>
      <c r="T231" s="2">
        <v>45482.166666666664</v>
      </c>
      <c r="U231" s="2">
        <v>45483.166666666664</v>
      </c>
      <c r="V231" s="2">
        <v>45483.166666666664</v>
      </c>
      <c r="W231" s="2">
        <v>45483.166666666664</v>
      </c>
      <c r="X231" s="3">
        <f t="shared" si="30"/>
        <v>1</v>
      </c>
      <c r="Y231">
        <f t="shared" si="31"/>
        <v>0</v>
      </c>
      <c r="Z231">
        <f t="shared" si="32"/>
        <v>1</v>
      </c>
      <c r="AA231">
        <f t="shared" si="33"/>
        <v>215.25021990740788</v>
      </c>
      <c r="AB231">
        <f t="shared" si="34"/>
        <v>214.25021990740788</v>
      </c>
      <c r="AC231">
        <f>IFERROR(_xlfn.XLOOKUP(B231, HoldSummary!$A:$A, HoldSummary!B:B), 0)</f>
        <v>0</v>
      </c>
      <c r="AD231">
        <f>IFERROR(_xlfn.XLOOKUP(B231, HoldSummary!$A:$A, HoldSummary!C:C), 0)</f>
        <v>0</v>
      </c>
      <c r="AE231">
        <f>IFERROR(_xlfn.XLOOKUP(B231, HoldSummary!$A:$A, HoldSummary!D:D), 0)</f>
        <v>0</v>
      </c>
      <c r="AF231">
        <f>IFERROR(_xlfn.XLOOKUP(B231, HoldSummary!$A:$A, HoldSummary!E:E), 0)</f>
        <v>0</v>
      </c>
      <c r="AG231">
        <f>IFERROR(_xlfn.XLOOKUP(B231, HoldSummary!$A:$A, HoldSummary!F:F), 0)</f>
        <v>0</v>
      </c>
      <c r="AH231">
        <f>IFERROR(_xlfn.XLOOKUP(B231, HoldSummary!$A:$A, HoldSummary!G:G), 0)</f>
        <v>5</v>
      </c>
      <c r="AI231">
        <f>IFERROR(_xlfn.XLOOKUP(B231, HoldSummary!$A:$A, HoldSummary!H:H), 0)</f>
        <v>0</v>
      </c>
      <c r="AJ231">
        <f>IFERROR(_xlfn.XLOOKUP(B231, HoldSummary!$A:$A, HoldSummary!I:I), 0)</f>
        <v>0</v>
      </c>
      <c r="AK231">
        <f t="shared" si="35"/>
        <v>5</v>
      </c>
      <c r="AL231">
        <f t="shared" si="36"/>
        <v>210.25021990740788</v>
      </c>
      <c r="AM231">
        <f t="shared" si="37"/>
        <v>209.25021990740788</v>
      </c>
      <c r="AN231" s="12">
        <f t="shared" si="38"/>
        <v>150.79166666666424</v>
      </c>
      <c r="AO231">
        <f t="shared" si="39"/>
        <v>0</v>
      </c>
    </row>
    <row r="232" spans="1:41" x14ac:dyDescent="0.35">
      <c r="A232" t="s">
        <v>23</v>
      </c>
      <c r="B232" t="s">
        <v>566</v>
      </c>
      <c r="C232" t="s">
        <v>76</v>
      </c>
      <c r="D232" t="s">
        <v>44</v>
      </c>
      <c r="E232" t="s">
        <v>45</v>
      </c>
      <c r="F232" t="s">
        <v>28</v>
      </c>
      <c r="G232">
        <v>9</v>
      </c>
      <c r="H232" t="s">
        <v>567</v>
      </c>
      <c r="I232" t="s">
        <v>30</v>
      </c>
      <c r="J232" t="s">
        <v>31</v>
      </c>
      <c r="K232" t="s">
        <v>48</v>
      </c>
      <c r="L232" t="s">
        <v>192</v>
      </c>
      <c r="N232" s="2">
        <v>45349.749606481484</v>
      </c>
      <c r="O232" s="2">
        <v>45457.166666666664</v>
      </c>
      <c r="P232" s="2">
        <v>45427.166666666664</v>
      </c>
      <c r="Q232" s="2">
        <v>45412</v>
      </c>
      <c r="R232" s="2">
        <v>45412.711423148146</v>
      </c>
      <c r="S232" t="s">
        <v>568</v>
      </c>
      <c r="T232" s="2">
        <v>45377.166666666664</v>
      </c>
      <c r="U232" s="2">
        <v>45385.166666666664</v>
      </c>
      <c r="V232" s="2">
        <v>45385.166666666664</v>
      </c>
      <c r="W232" s="2">
        <v>45408.166666666664</v>
      </c>
      <c r="X232" s="3">
        <f t="shared" si="30"/>
        <v>8</v>
      </c>
      <c r="Y232">
        <f t="shared" si="31"/>
        <v>23</v>
      </c>
      <c r="Z232">
        <f t="shared" si="32"/>
        <v>31</v>
      </c>
      <c r="AA232">
        <f t="shared" si="33"/>
        <v>62.250393518515921</v>
      </c>
      <c r="AB232">
        <f t="shared" si="34"/>
        <v>31.250393518515921</v>
      </c>
      <c r="AC232">
        <f>IFERROR(_xlfn.XLOOKUP(B232, HoldSummary!$A:$A, HoldSummary!B:B), 0)</f>
        <v>0</v>
      </c>
      <c r="AD232">
        <f>IFERROR(_xlfn.XLOOKUP(B232, HoldSummary!$A:$A, HoldSummary!C:C), 0)</f>
        <v>0</v>
      </c>
      <c r="AE232">
        <f>IFERROR(_xlfn.XLOOKUP(B232, HoldSummary!$A:$A, HoldSummary!D:D), 0)</f>
        <v>0</v>
      </c>
      <c r="AF232">
        <f>IFERROR(_xlfn.XLOOKUP(B232, HoldSummary!$A:$A, HoldSummary!E:E), 0)</f>
        <v>0</v>
      </c>
      <c r="AG232">
        <f>IFERROR(_xlfn.XLOOKUP(B232, HoldSummary!$A:$A, HoldSummary!F:F), 0)</f>
        <v>0</v>
      </c>
      <c r="AH232">
        <f>IFERROR(_xlfn.XLOOKUP(B232, HoldSummary!$A:$A, HoldSummary!G:G), 0)</f>
        <v>0</v>
      </c>
      <c r="AI232">
        <f>IFERROR(_xlfn.XLOOKUP(B232, HoldSummary!$A:$A, HoldSummary!H:H), 0)</f>
        <v>0</v>
      </c>
      <c r="AJ232">
        <f>IFERROR(_xlfn.XLOOKUP(B232, HoldSummary!$A:$A, HoldSummary!I:I), 0)</f>
        <v>0</v>
      </c>
      <c r="AK232">
        <f t="shared" si="35"/>
        <v>0</v>
      </c>
      <c r="AL232">
        <f t="shared" si="36"/>
        <v>62.250393518515921</v>
      </c>
      <c r="AM232">
        <f t="shared" si="37"/>
        <v>31.250393518515921</v>
      </c>
      <c r="AN232" s="12">
        <f t="shared" si="38"/>
        <v>-45.166666666664241</v>
      </c>
      <c r="AO232">
        <f t="shared" si="39"/>
        <v>1</v>
      </c>
    </row>
    <row r="233" spans="1:41" x14ac:dyDescent="0.35">
      <c r="A233" t="s">
        <v>23</v>
      </c>
      <c r="B233" t="s">
        <v>569</v>
      </c>
      <c r="C233" t="s">
        <v>36</v>
      </c>
      <c r="D233" t="s">
        <v>44</v>
      </c>
      <c r="E233" t="s">
        <v>45</v>
      </c>
      <c r="F233" t="s">
        <v>28</v>
      </c>
      <c r="G233">
        <v>9</v>
      </c>
      <c r="H233" t="s">
        <v>570</v>
      </c>
      <c r="I233" t="s">
        <v>30</v>
      </c>
      <c r="J233" t="s">
        <v>31</v>
      </c>
      <c r="K233" t="s">
        <v>48</v>
      </c>
      <c r="L233" t="s">
        <v>192</v>
      </c>
      <c r="M233" t="s">
        <v>81</v>
      </c>
      <c r="N233" s="2">
        <v>45636.891365740739</v>
      </c>
      <c r="O233" s="2">
        <v>45665.208333333336</v>
      </c>
      <c r="P233" s="2">
        <v>45665.208333333336</v>
      </c>
      <c r="Q233" s="2">
        <v>45646</v>
      </c>
      <c r="R233" s="2">
        <v>45647.010462245373</v>
      </c>
      <c r="T233" s="2">
        <v>45644.208333333336</v>
      </c>
      <c r="U233" s="2">
        <v>45644.208333333336</v>
      </c>
      <c r="V233" s="2">
        <v>45644.208333333336</v>
      </c>
      <c r="W233" s="2">
        <v>45645.208333333336</v>
      </c>
      <c r="X233" s="3">
        <f t="shared" si="30"/>
        <v>0</v>
      </c>
      <c r="Y233">
        <f t="shared" si="31"/>
        <v>1</v>
      </c>
      <c r="Z233">
        <f t="shared" si="32"/>
        <v>1</v>
      </c>
      <c r="AA233">
        <f t="shared" si="33"/>
        <v>9.1086342592607252</v>
      </c>
      <c r="AB233">
        <f t="shared" si="34"/>
        <v>8.1086342592607252</v>
      </c>
      <c r="AC233">
        <f>IFERROR(_xlfn.XLOOKUP(B233, HoldSummary!$A:$A, HoldSummary!B:B), 0)</f>
        <v>0</v>
      </c>
      <c r="AD233">
        <f>IFERROR(_xlfn.XLOOKUP(B233, HoldSummary!$A:$A, HoldSummary!C:C), 0)</f>
        <v>0</v>
      </c>
      <c r="AE233">
        <f>IFERROR(_xlfn.XLOOKUP(B233, HoldSummary!$A:$A, HoldSummary!D:D), 0)</f>
        <v>0</v>
      </c>
      <c r="AF233">
        <f>IFERROR(_xlfn.XLOOKUP(B233, HoldSummary!$A:$A, HoldSummary!E:E), 0)</f>
        <v>0</v>
      </c>
      <c r="AG233">
        <f>IFERROR(_xlfn.XLOOKUP(B233, HoldSummary!$A:$A, HoldSummary!F:F), 0)</f>
        <v>0</v>
      </c>
      <c r="AH233">
        <f>IFERROR(_xlfn.XLOOKUP(B233, HoldSummary!$A:$A, HoldSummary!G:G), 0)</f>
        <v>0</v>
      </c>
      <c r="AI233">
        <f>IFERROR(_xlfn.XLOOKUP(B233, HoldSummary!$A:$A, HoldSummary!H:H), 0)</f>
        <v>0</v>
      </c>
      <c r="AJ233">
        <f>IFERROR(_xlfn.XLOOKUP(B233, HoldSummary!$A:$A, HoldSummary!I:I), 0)</f>
        <v>0</v>
      </c>
      <c r="AK233">
        <f t="shared" si="35"/>
        <v>0</v>
      </c>
      <c r="AL233">
        <f t="shared" si="36"/>
        <v>9.1086342592607252</v>
      </c>
      <c r="AM233">
        <f t="shared" si="37"/>
        <v>8.1086342592607252</v>
      </c>
      <c r="AN233" s="12">
        <f t="shared" si="38"/>
        <v>-19.208333333335759</v>
      </c>
      <c r="AO233">
        <f t="shared" si="39"/>
        <v>1</v>
      </c>
    </row>
    <row r="234" spans="1:41" x14ac:dyDescent="0.35">
      <c r="A234" t="s">
        <v>23</v>
      </c>
      <c r="B234" t="s">
        <v>571</v>
      </c>
      <c r="C234" t="s">
        <v>36</v>
      </c>
      <c r="D234" t="s">
        <v>44</v>
      </c>
      <c r="E234" t="s">
        <v>45</v>
      </c>
      <c r="F234" t="s">
        <v>28</v>
      </c>
      <c r="G234">
        <v>9</v>
      </c>
      <c r="H234" t="s">
        <v>572</v>
      </c>
      <c r="I234" t="s">
        <v>30</v>
      </c>
      <c r="J234" t="s">
        <v>31</v>
      </c>
      <c r="K234" t="s">
        <v>48</v>
      </c>
      <c r="L234" t="s">
        <v>49</v>
      </c>
      <c r="M234" t="s">
        <v>33</v>
      </c>
      <c r="N234" s="2">
        <v>45742.544537037036</v>
      </c>
      <c r="O234" s="2">
        <v>45791.166666666664</v>
      </c>
      <c r="P234" s="2">
        <v>45805.166666666664</v>
      </c>
      <c r="Q234" s="2">
        <v>45798</v>
      </c>
      <c r="R234" s="2">
        <v>45798.846339131946</v>
      </c>
      <c r="S234" t="s">
        <v>573</v>
      </c>
      <c r="T234" s="2">
        <v>45786.166666666664</v>
      </c>
      <c r="U234" s="2">
        <v>45786.166666666664</v>
      </c>
      <c r="V234" s="2">
        <v>45786.166666666664</v>
      </c>
      <c r="W234" s="2">
        <v>45796.166666666664</v>
      </c>
      <c r="X234" s="3">
        <f t="shared" si="30"/>
        <v>0</v>
      </c>
      <c r="Y234">
        <f t="shared" si="31"/>
        <v>10</v>
      </c>
      <c r="Z234">
        <f t="shared" si="32"/>
        <v>10</v>
      </c>
      <c r="AA234">
        <f t="shared" si="33"/>
        <v>55.455462962963793</v>
      </c>
      <c r="AB234">
        <f t="shared" si="34"/>
        <v>45.455462962963793</v>
      </c>
      <c r="AC234">
        <f>IFERROR(_xlfn.XLOOKUP(B234, HoldSummary!$A:$A, HoldSummary!B:B), 0)</f>
        <v>0</v>
      </c>
      <c r="AD234">
        <f>IFERROR(_xlfn.XLOOKUP(B234, HoldSummary!$A:$A, HoldSummary!C:C), 0)</f>
        <v>0</v>
      </c>
      <c r="AE234">
        <f>IFERROR(_xlfn.XLOOKUP(B234, HoldSummary!$A:$A, HoldSummary!D:D), 0)</f>
        <v>0</v>
      </c>
      <c r="AF234">
        <f>IFERROR(_xlfn.XLOOKUP(B234, HoldSummary!$A:$A, HoldSummary!E:E), 0)</f>
        <v>0</v>
      </c>
      <c r="AG234">
        <f>IFERROR(_xlfn.XLOOKUP(B234, HoldSummary!$A:$A, HoldSummary!F:F), 0)</f>
        <v>0</v>
      </c>
      <c r="AH234">
        <f>IFERROR(_xlfn.XLOOKUP(B234, HoldSummary!$A:$A, HoldSummary!G:G), 0)</f>
        <v>0</v>
      </c>
      <c r="AI234">
        <f>IFERROR(_xlfn.XLOOKUP(B234, HoldSummary!$A:$A, HoldSummary!H:H), 0)</f>
        <v>0</v>
      </c>
      <c r="AJ234">
        <f>IFERROR(_xlfn.XLOOKUP(B234, HoldSummary!$A:$A, HoldSummary!I:I), 0)</f>
        <v>0</v>
      </c>
      <c r="AK234">
        <f t="shared" si="35"/>
        <v>0</v>
      </c>
      <c r="AL234">
        <f t="shared" si="36"/>
        <v>55.455462962963793</v>
      </c>
      <c r="AM234">
        <f t="shared" si="37"/>
        <v>45.455462962963793</v>
      </c>
      <c r="AN234" s="12">
        <f t="shared" si="38"/>
        <v>6.8333333333357587</v>
      </c>
      <c r="AO234">
        <f t="shared" si="39"/>
        <v>0</v>
      </c>
    </row>
    <row r="235" spans="1:41" x14ac:dyDescent="0.35">
      <c r="A235" t="s">
        <v>23</v>
      </c>
      <c r="B235" t="s">
        <v>574</v>
      </c>
      <c r="C235" t="s">
        <v>54</v>
      </c>
      <c r="D235" t="s">
        <v>44</v>
      </c>
      <c r="E235" t="s">
        <v>44</v>
      </c>
      <c r="F235" t="s">
        <v>28</v>
      </c>
      <c r="G235">
        <v>9</v>
      </c>
      <c r="H235" t="s">
        <v>575</v>
      </c>
      <c r="I235" t="s">
        <v>30</v>
      </c>
      <c r="J235" t="s">
        <v>70</v>
      </c>
      <c r="K235" t="s">
        <v>48</v>
      </c>
      <c r="L235" t="s">
        <v>185</v>
      </c>
      <c r="M235" t="s">
        <v>33</v>
      </c>
      <c r="N235" s="2">
        <v>45734.166666666664</v>
      </c>
      <c r="O235" s="2">
        <v>45884.166666666664</v>
      </c>
      <c r="P235" s="2">
        <v>45856.166666666664</v>
      </c>
      <c r="Q235" s="2">
        <v>45855</v>
      </c>
      <c r="R235" s="2">
        <v>45855.719801238425</v>
      </c>
      <c r="S235" t="s">
        <v>576</v>
      </c>
      <c r="T235" s="2"/>
      <c r="U235" s="2"/>
      <c r="V235" s="2"/>
      <c r="W235" s="2"/>
      <c r="X235" s="3" t="str">
        <f t="shared" si="30"/>
        <v/>
      </c>
      <c r="Y235" t="str">
        <f t="shared" si="31"/>
        <v/>
      </c>
      <c r="Z235">
        <f t="shared" si="32"/>
        <v>0</v>
      </c>
      <c r="AA235">
        <f t="shared" si="33"/>
        <v>120.83333333333576</v>
      </c>
      <c r="AB235">
        <f t="shared" si="34"/>
        <v>120.83333333333576</v>
      </c>
      <c r="AC235">
        <f>IFERROR(_xlfn.XLOOKUP(B235, HoldSummary!$A:$A, HoldSummary!B:B), 0)</f>
        <v>0</v>
      </c>
      <c r="AD235">
        <f>IFERROR(_xlfn.XLOOKUP(B235, HoldSummary!$A:$A, HoldSummary!C:C), 0)</f>
        <v>8.3237430671288166</v>
      </c>
      <c r="AE235">
        <f>IFERROR(_xlfn.XLOOKUP(B235, HoldSummary!$A:$A, HoldSummary!D:D), 0)</f>
        <v>0</v>
      </c>
      <c r="AF235">
        <f>IFERROR(_xlfn.XLOOKUP(B235, HoldSummary!$A:$A, HoldSummary!E:E), 0)</f>
        <v>0</v>
      </c>
      <c r="AG235">
        <f>IFERROR(_xlfn.XLOOKUP(B235, HoldSummary!$A:$A, HoldSummary!F:F), 0)</f>
        <v>0</v>
      </c>
      <c r="AH235">
        <f>IFERROR(_xlfn.XLOOKUP(B235, HoldSummary!$A:$A, HoldSummary!G:G), 0)</f>
        <v>0</v>
      </c>
      <c r="AI235">
        <f>IFERROR(_xlfn.XLOOKUP(B235, HoldSummary!$A:$A, HoldSummary!H:H), 0)</f>
        <v>0</v>
      </c>
      <c r="AJ235">
        <f>IFERROR(_xlfn.XLOOKUP(B235, HoldSummary!$A:$A, HoldSummary!I:I), 0)</f>
        <v>0</v>
      </c>
      <c r="AK235">
        <f t="shared" si="35"/>
        <v>8.3237430671288166</v>
      </c>
      <c r="AL235">
        <f t="shared" si="36"/>
        <v>112.50959026620694</v>
      </c>
      <c r="AM235">
        <f t="shared" si="37"/>
        <v>112.50959026620694</v>
      </c>
      <c r="AN235" s="12">
        <f t="shared" si="38"/>
        <v>-29.166666666664241</v>
      </c>
      <c r="AO235">
        <f t="shared" si="39"/>
        <v>1</v>
      </c>
    </row>
    <row r="236" spans="1:41" x14ac:dyDescent="0.35">
      <c r="A236" t="s">
        <v>23</v>
      </c>
      <c r="B236" t="s">
        <v>577</v>
      </c>
      <c r="C236" t="s">
        <v>43</v>
      </c>
      <c r="D236" t="s">
        <v>44</v>
      </c>
      <c r="E236" t="s">
        <v>45</v>
      </c>
      <c r="F236" t="s">
        <v>28</v>
      </c>
      <c r="G236">
        <v>10</v>
      </c>
      <c r="H236" t="s">
        <v>578</v>
      </c>
      <c r="I236" t="s">
        <v>30</v>
      </c>
      <c r="J236" t="s">
        <v>70</v>
      </c>
      <c r="K236" t="s">
        <v>48</v>
      </c>
      <c r="L236" t="s">
        <v>49</v>
      </c>
      <c r="N236" s="2">
        <v>44874.019247685188</v>
      </c>
      <c r="O236" s="2">
        <v>45441.166666666664</v>
      </c>
      <c r="P236" s="2">
        <v>45504.166666666664</v>
      </c>
      <c r="Q236" s="2">
        <v>45503</v>
      </c>
      <c r="R236" s="2">
        <v>45503.760212210647</v>
      </c>
      <c r="T236" s="2"/>
      <c r="U236" s="2"/>
      <c r="V236" s="2"/>
      <c r="W236" s="2"/>
      <c r="X236" s="3" t="str">
        <f t="shared" si="30"/>
        <v/>
      </c>
      <c r="Y236" t="str">
        <f t="shared" si="31"/>
        <v/>
      </c>
      <c r="Z236">
        <f t="shared" si="32"/>
        <v>0</v>
      </c>
      <c r="AA236">
        <f t="shared" si="33"/>
        <v>628.98075231481198</v>
      </c>
      <c r="AB236">
        <f t="shared" si="34"/>
        <v>628.98075231481198</v>
      </c>
      <c r="AC236">
        <f>IFERROR(_xlfn.XLOOKUP(B236, HoldSummary!$A:$A, HoldSummary!B:B), 0)</f>
        <v>0</v>
      </c>
      <c r="AD236">
        <f>IFERROR(_xlfn.XLOOKUP(B236, HoldSummary!$A:$A, HoldSummary!C:C), 0)</f>
        <v>0</v>
      </c>
      <c r="AE236">
        <f>IFERROR(_xlfn.XLOOKUP(B236, HoldSummary!$A:$A, HoldSummary!D:D), 0)</f>
        <v>0</v>
      </c>
      <c r="AF236">
        <f>IFERROR(_xlfn.XLOOKUP(B236, HoldSummary!$A:$A, HoldSummary!E:E), 0)</f>
        <v>0</v>
      </c>
      <c r="AG236">
        <f>IFERROR(_xlfn.XLOOKUP(B236, HoldSummary!$A:$A, HoldSummary!F:F), 0)</f>
        <v>0</v>
      </c>
      <c r="AH236">
        <f>IFERROR(_xlfn.XLOOKUP(B236, HoldSummary!$A:$A, HoldSummary!G:G), 0)</f>
        <v>0</v>
      </c>
      <c r="AI236">
        <f>IFERROR(_xlfn.XLOOKUP(B236, HoldSummary!$A:$A, HoldSummary!H:H), 0)</f>
        <v>0</v>
      </c>
      <c r="AJ236">
        <f>IFERROR(_xlfn.XLOOKUP(B236, HoldSummary!$A:$A, HoldSummary!I:I), 0)</f>
        <v>0</v>
      </c>
      <c r="AK236">
        <f t="shared" si="35"/>
        <v>0</v>
      </c>
      <c r="AL236">
        <f t="shared" si="36"/>
        <v>628.98075231481198</v>
      </c>
      <c r="AM236">
        <f t="shared" si="37"/>
        <v>628.98075231481198</v>
      </c>
      <c r="AN236" s="12">
        <f t="shared" si="38"/>
        <v>61.833333333335759</v>
      </c>
      <c r="AO236">
        <f t="shared" si="39"/>
        <v>0</v>
      </c>
    </row>
    <row r="237" spans="1:41" x14ac:dyDescent="0.35">
      <c r="A237" t="s">
        <v>23</v>
      </c>
      <c r="B237" t="s">
        <v>579</v>
      </c>
      <c r="C237" t="s">
        <v>43</v>
      </c>
      <c r="D237" t="s">
        <v>44</v>
      </c>
      <c r="E237" t="s">
        <v>45</v>
      </c>
      <c r="F237" t="s">
        <v>28</v>
      </c>
      <c r="G237">
        <v>10</v>
      </c>
      <c r="H237" t="s">
        <v>580</v>
      </c>
      <c r="I237" t="s">
        <v>30</v>
      </c>
      <c r="J237" t="s">
        <v>208</v>
      </c>
      <c r="K237" t="s">
        <v>48</v>
      </c>
      <c r="L237" t="s">
        <v>192</v>
      </c>
      <c r="N237" s="2">
        <v>45034.491631944446</v>
      </c>
      <c r="O237" s="2">
        <v>45093.166666666664</v>
      </c>
      <c r="P237" s="2">
        <v>45338.208333333336</v>
      </c>
      <c r="Q237" s="2">
        <v>45331</v>
      </c>
      <c r="R237" s="2">
        <v>45334.804906678241</v>
      </c>
      <c r="S237" t="s">
        <v>581</v>
      </c>
      <c r="T237" s="2"/>
      <c r="U237" s="2"/>
      <c r="V237" s="2"/>
      <c r="W237" s="2"/>
      <c r="X237" s="3" t="str">
        <f t="shared" si="30"/>
        <v/>
      </c>
      <c r="Y237" t="str">
        <f t="shared" si="31"/>
        <v/>
      </c>
      <c r="Z237">
        <f t="shared" si="32"/>
        <v>0</v>
      </c>
      <c r="AA237">
        <f t="shared" si="33"/>
        <v>296.50836805555446</v>
      </c>
      <c r="AB237">
        <f t="shared" si="34"/>
        <v>296.50836805555446</v>
      </c>
      <c r="AC237">
        <f>IFERROR(_xlfn.XLOOKUP(B237, HoldSummary!$A:$A, HoldSummary!B:B), 0)</f>
        <v>0</v>
      </c>
      <c r="AD237">
        <f>IFERROR(_xlfn.XLOOKUP(B237, HoldSummary!$A:$A, HoldSummary!C:C), 0)</f>
        <v>0</v>
      </c>
      <c r="AE237">
        <f>IFERROR(_xlfn.XLOOKUP(B237, HoldSummary!$A:$A, HoldSummary!D:D), 0)</f>
        <v>0</v>
      </c>
      <c r="AF237">
        <f>IFERROR(_xlfn.XLOOKUP(B237, HoldSummary!$A:$A, HoldSummary!E:E), 0)</f>
        <v>0</v>
      </c>
      <c r="AG237">
        <f>IFERROR(_xlfn.XLOOKUP(B237, HoldSummary!$A:$A, HoldSummary!F:F), 0)</f>
        <v>0</v>
      </c>
      <c r="AH237">
        <f>IFERROR(_xlfn.XLOOKUP(B237, HoldSummary!$A:$A, HoldSummary!G:G), 0)</f>
        <v>0</v>
      </c>
      <c r="AI237">
        <f>IFERROR(_xlfn.XLOOKUP(B237, HoldSummary!$A:$A, HoldSummary!H:H), 0)</f>
        <v>0</v>
      </c>
      <c r="AJ237">
        <f>IFERROR(_xlfn.XLOOKUP(B237, HoldSummary!$A:$A, HoldSummary!I:I), 0)</f>
        <v>63.006091527779063</v>
      </c>
      <c r="AK237">
        <f t="shared" si="35"/>
        <v>63.006091527779063</v>
      </c>
      <c r="AL237">
        <f t="shared" si="36"/>
        <v>233.50227652777539</v>
      </c>
      <c r="AM237">
        <f t="shared" si="37"/>
        <v>233.50227652777539</v>
      </c>
      <c r="AN237" s="12">
        <f t="shared" si="38"/>
        <v>237.83333333333576</v>
      </c>
      <c r="AO237">
        <f t="shared" si="39"/>
        <v>0</v>
      </c>
    </row>
    <row r="238" spans="1:41" x14ac:dyDescent="0.35">
      <c r="A238" t="s">
        <v>23</v>
      </c>
      <c r="B238" t="s">
        <v>582</v>
      </c>
      <c r="C238" t="s">
        <v>54</v>
      </c>
      <c r="D238" t="s">
        <v>44</v>
      </c>
      <c r="E238" t="s">
        <v>45</v>
      </c>
      <c r="F238" t="s">
        <v>28</v>
      </c>
      <c r="G238">
        <v>10</v>
      </c>
      <c r="H238" t="s">
        <v>583</v>
      </c>
      <c r="I238" t="s">
        <v>30</v>
      </c>
      <c r="J238" t="s">
        <v>70</v>
      </c>
      <c r="K238" t="s">
        <v>48</v>
      </c>
      <c r="N238" s="2">
        <v>45196.307210648149</v>
      </c>
      <c r="O238" s="2">
        <v>45268.208333333336</v>
      </c>
      <c r="P238" s="2">
        <v>45394.166666666664</v>
      </c>
      <c r="Q238" s="2">
        <v>45390</v>
      </c>
      <c r="R238" s="2">
        <v>45398.634467083335</v>
      </c>
      <c r="S238" t="s">
        <v>198</v>
      </c>
      <c r="T238" s="2"/>
      <c r="U238" s="2"/>
      <c r="V238" s="2"/>
      <c r="W238" s="2"/>
      <c r="X238" s="3" t="str">
        <f t="shared" si="30"/>
        <v/>
      </c>
      <c r="Y238" t="str">
        <f t="shared" si="31"/>
        <v/>
      </c>
      <c r="Z238">
        <f t="shared" si="32"/>
        <v>0</v>
      </c>
      <c r="AA238">
        <f t="shared" si="33"/>
        <v>193.69278935185139</v>
      </c>
      <c r="AB238">
        <f t="shared" si="34"/>
        <v>193.69278935185139</v>
      </c>
      <c r="AC238">
        <f>IFERROR(_xlfn.XLOOKUP(B238, HoldSummary!$A:$A, HoldSummary!B:B), 0)</f>
        <v>0</v>
      </c>
      <c r="AD238">
        <f>IFERROR(_xlfn.XLOOKUP(B238, HoldSummary!$A:$A, HoldSummary!C:C), 0)</f>
        <v>0</v>
      </c>
      <c r="AE238">
        <f>IFERROR(_xlfn.XLOOKUP(B238, HoldSummary!$A:$A, HoldSummary!D:D), 0)</f>
        <v>0</v>
      </c>
      <c r="AF238">
        <f>IFERROR(_xlfn.XLOOKUP(B238, HoldSummary!$A:$A, HoldSummary!E:E), 0)</f>
        <v>0</v>
      </c>
      <c r="AG238">
        <f>IFERROR(_xlfn.XLOOKUP(B238, HoldSummary!$A:$A, HoldSummary!F:F), 0)</f>
        <v>0</v>
      </c>
      <c r="AH238">
        <f>IFERROR(_xlfn.XLOOKUP(B238, HoldSummary!$A:$A, HoldSummary!G:G), 0)</f>
        <v>0</v>
      </c>
      <c r="AI238">
        <f>IFERROR(_xlfn.XLOOKUP(B238, HoldSummary!$A:$A, HoldSummary!H:H), 0)</f>
        <v>0</v>
      </c>
      <c r="AJ238">
        <f>IFERROR(_xlfn.XLOOKUP(B238, HoldSummary!$A:$A, HoldSummary!I:I), 0)</f>
        <v>0</v>
      </c>
      <c r="AK238">
        <f t="shared" si="35"/>
        <v>0</v>
      </c>
      <c r="AL238">
        <f t="shared" si="36"/>
        <v>193.69278935185139</v>
      </c>
      <c r="AM238">
        <f t="shared" si="37"/>
        <v>193.69278935185139</v>
      </c>
      <c r="AN238" s="12">
        <f t="shared" si="38"/>
        <v>121.79166666666424</v>
      </c>
      <c r="AO238">
        <f t="shared" si="39"/>
        <v>0</v>
      </c>
    </row>
    <row r="239" spans="1:41" x14ac:dyDescent="0.35">
      <c r="A239" t="s">
        <v>23</v>
      </c>
      <c r="B239" t="s">
        <v>584</v>
      </c>
      <c r="C239" t="s">
        <v>54</v>
      </c>
      <c r="D239" t="s">
        <v>44</v>
      </c>
      <c r="E239" t="s">
        <v>45</v>
      </c>
      <c r="F239" t="s">
        <v>28</v>
      </c>
      <c r="G239">
        <v>10</v>
      </c>
      <c r="H239" t="s">
        <v>585</v>
      </c>
      <c r="I239" t="s">
        <v>30</v>
      </c>
      <c r="J239" t="s">
        <v>31</v>
      </c>
      <c r="K239" t="s">
        <v>57</v>
      </c>
      <c r="L239" t="s">
        <v>53</v>
      </c>
      <c r="N239" s="2">
        <v>45314.696261574078</v>
      </c>
      <c r="O239" s="2">
        <v>45567.166666666664</v>
      </c>
      <c r="P239" s="2">
        <v>45667.208333333336</v>
      </c>
      <c r="Q239" s="2">
        <v>45666</v>
      </c>
      <c r="R239" s="2">
        <v>45666.715170474534</v>
      </c>
      <c r="S239" t="s">
        <v>586</v>
      </c>
      <c r="T239" s="2">
        <v>45365.166666666664</v>
      </c>
      <c r="U239" s="2">
        <v>45391.166666666664</v>
      </c>
      <c r="V239" s="2">
        <v>45391.166666666664</v>
      </c>
      <c r="W239" s="2">
        <v>45519.166666666664</v>
      </c>
      <c r="X239" s="3">
        <f t="shared" si="30"/>
        <v>26</v>
      </c>
      <c r="Y239">
        <f t="shared" si="31"/>
        <v>128</v>
      </c>
      <c r="Z239">
        <f t="shared" si="32"/>
        <v>154</v>
      </c>
      <c r="AA239">
        <f t="shared" si="33"/>
        <v>351.30373842592235</v>
      </c>
      <c r="AB239">
        <f t="shared" si="34"/>
        <v>197.30373842592235</v>
      </c>
      <c r="AC239">
        <f>IFERROR(_xlfn.XLOOKUP(B239, HoldSummary!$A:$A, HoldSummary!B:B), 0)</f>
        <v>0</v>
      </c>
      <c r="AD239">
        <f>IFERROR(_xlfn.XLOOKUP(B239, HoldSummary!$A:$A, HoldSummary!C:C), 0)</f>
        <v>0</v>
      </c>
      <c r="AE239">
        <f>IFERROR(_xlfn.XLOOKUP(B239, HoldSummary!$A:$A, HoldSummary!D:D), 0)</f>
        <v>0</v>
      </c>
      <c r="AF239">
        <f>IFERROR(_xlfn.XLOOKUP(B239, HoldSummary!$A:$A, HoldSummary!E:E), 0)</f>
        <v>0</v>
      </c>
      <c r="AG239">
        <f>IFERROR(_xlfn.XLOOKUP(B239, HoldSummary!$A:$A, HoldSummary!F:F), 0)</f>
        <v>0</v>
      </c>
      <c r="AH239">
        <f>IFERROR(_xlfn.XLOOKUP(B239, HoldSummary!$A:$A, HoldSummary!G:G), 0)</f>
        <v>0</v>
      </c>
      <c r="AI239">
        <f>IFERROR(_xlfn.XLOOKUP(B239, HoldSummary!$A:$A, HoldSummary!H:H), 0)</f>
        <v>0</v>
      </c>
      <c r="AJ239">
        <f>IFERROR(_xlfn.XLOOKUP(B239, HoldSummary!$A:$A, HoldSummary!I:I), 0)</f>
        <v>0</v>
      </c>
      <c r="AK239">
        <f t="shared" si="35"/>
        <v>0</v>
      </c>
      <c r="AL239">
        <f t="shared" si="36"/>
        <v>351.30373842592235</v>
      </c>
      <c r="AM239">
        <f t="shared" si="37"/>
        <v>197.30373842592235</v>
      </c>
      <c r="AN239" s="12">
        <f t="shared" si="38"/>
        <v>98.833333333335759</v>
      </c>
      <c r="AO239">
        <f t="shared" si="39"/>
        <v>0</v>
      </c>
    </row>
    <row r="240" spans="1:41" x14ac:dyDescent="0.35">
      <c r="A240" t="s">
        <v>23</v>
      </c>
      <c r="B240" t="s">
        <v>587</v>
      </c>
      <c r="C240" t="s">
        <v>54</v>
      </c>
      <c r="D240" t="s">
        <v>44</v>
      </c>
      <c r="E240" t="s">
        <v>45</v>
      </c>
      <c r="F240" t="s">
        <v>28</v>
      </c>
      <c r="G240">
        <v>10</v>
      </c>
      <c r="H240" t="s">
        <v>588</v>
      </c>
      <c r="I240" t="s">
        <v>30</v>
      </c>
      <c r="J240" t="s">
        <v>31</v>
      </c>
      <c r="K240" t="s">
        <v>174</v>
      </c>
      <c r="L240" t="s">
        <v>174</v>
      </c>
      <c r="N240" s="2">
        <v>45350.608888888892</v>
      </c>
      <c r="O240" s="2">
        <v>45469.166666666664</v>
      </c>
      <c r="P240" s="2">
        <v>45750.166666666664</v>
      </c>
      <c r="Q240" s="2">
        <v>45734</v>
      </c>
      <c r="R240" s="2">
        <v>45735.711136226855</v>
      </c>
      <c r="S240" t="s">
        <v>589</v>
      </c>
      <c r="T240" s="2">
        <v>45643.208333333336</v>
      </c>
      <c r="U240" s="2">
        <v>45643.208333333336</v>
      </c>
      <c r="V240" s="2">
        <v>45643.208333333336</v>
      </c>
      <c r="W240" s="2">
        <v>45685.208333333336</v>
      </c>
      <c r="X240" s="3">
        <f t="shared" si="30"/>
        <v>0</v>
      </c>
      <c r="Y240">
        <f t="shared" si="31"/>
        <v>42</v>
      </c>
      <c r="Z240">
        <f t="shared" si="32"/>
        <v>42</v>
      </c>
      <c r="AA240">
        <f t="shared" si="33"/>
        <v>383.39111111110833</v>
      </c>
      <c r="AB240">
        <f t="shared" si="34"/>
        <v>341.39111111110833</v>
      </c>
      <c r="AC240">
        <f>IFERROR(_xlfn.XLOOKUP(B240, HoldSummary!$A:$A, HoldSummary!B:B), 0)</f>
        <v>0</v>
      </c>
      <c r="AD240">
        <f>IFERROR(_xlfn.XLOOKUP(B240, HoldSummary!$A:$A, HoldSummary!C:C), 0)</f>
        <v>0</v>
      </c>
      <c r="AE240">
        <f>IFERROR(_xlfn.XLOOKUP(B240, HoldSummary!$A:$A, HoldSummary!D:D), 0)</f>
        <v>0</v>
      </c>
      <c r="AF240">
        <f>IFERROR(_xlfn.XLOOKUP(B240, HoldSummary!$A:$A, HoldSummary!E:E), 0)</f>
        <v>0</v>
      </c>
      <c r="AG240">
        <f>IFERROR(_xlfn.XLOOKUP(B240, HoldSummary!$A:$A, HoldSummary!F:F), 0)</f>
        <v>147</v>
      </c>
      <c r="AH240">
        <f>IFERROR(_xlfn.XLOOKUP(B240, HoldSummary!$A:$A, HoldSummary!G:G), 0)</f>
        <v>57</v>
      </c>
      <c r="AI240">
        <f>IFERROR(_xlfn.XLOOKUP(B240, HoldSummary!$A:$A, HoldSummary!H:H), 0)</f>
        <v>0</v>
      </c>
      <c r="AJ240">
        <f>IFERROR(_xlfn.XLOOKUP(B240, HoldSummary!$A:$A, HoldSummary!I:I), 0)</f>
        <v>0</v>
      </c>
      <c r="AK240">
        <f t="shared" si="35"/>
        <v>204</v>
      </c>
      <c r="AL240">
        <f t="shared" si="36"/>
        <v>179.39111111110833</v>
      </c>
      <c r="AM240">
        <f t="shared" si="37"/>
        <v>137.39111111110833</v>
      </c>
      <c r="AN240" s="12">
        <f t="shared" si="38"/>
        <v>264.83333333333576</v>
      </c>
      <c r="AO240">
        <f t="shared" si="39"/>
        <v>0</v>
      </c>
    </row>
    <row r="241" spans="1:41" x14ac:dyDescent="0.35">
      <c r="A241" t="s">
        <v>23</v>
      </c>
      <c r="B241">
        <v>104723</v>
      </c>
      <c r="C241" t="s">
        <v>113</v>
      </c>
      <c r="D241" t="s">
        <v>44</v>
      </c>
      <c r="E241" t="s">
        <v>55</v>
      </c>
      <c r="F241" t="s">
        <v>28</v>
      </c>
      <c r="G241">
        <v>10</v>
      </c>
      <c r="H241" t="s">
        <v>590</v>
      </c>
      <c r="I241" t="s">
        <v>30</v>
      </c>
      <c r="J241" t="s">
        <v>300</v>
      </c>
      <c r="K241" t="s">
        <v>57</v>
      </c>
      <c r="L241" t="s">
        <v>39</v>
      </c>
      <c r="N241" s="2">
        <v>45366.166666666664</v>
      </c>
      <c r="O241" s="2">
        <v>45464.166666666664</v>
      </c>
      <c r="P241" s="2">
        <v>45596.166666666664</v>
      </c>
      <c r="Q241" s="2">
        <v>45587</v>
      </c>
      <c r="R241" s="2">
        <v>45587.795332395835</v>
      </c>
      <c r="T241" s="2"/>
      <c r="U241" s="2"/>
      <c r="V241" s="2"/>
      <c r="W241" s="2"/>
      <c r="X241" s="3" t="str">
        <f t="shared" si="30"/>
        <v/>
      </c>
      <c r="Y241" t="str">
        <f t="shared" si="31"/>
        <v/>
      </c>
      <c r="Z241">
        <f t="shared" si="32"/>
        <v>0</v>
      </c>
      <c r="AA241">
        <f t="shared" si="33"/>
        <v>220.83333333333576</v>
      </c>
      <c r="AB241">
        <f t="shared" si="34"/>
        <v>220.83333333333576</v>
      </c>
      <c r="AC241">
        <f>IFERROR(_xlfn.XLOOKUP(B241, HoldSummary!$A:$A, HoldSummary!B:B), 0)</f>
        <v>0</v>
      </c>
      <c r="AD241">
        <f>IFERROR(_xlfn.XLOOKUP(B241, HoldSummary!$A:$A, HoldSummary!C:C), 0)</f>
        <v>0</v>
      </c>
      <c r="AE241">
        <f>IFERROR(_xlfn.XLOOKUP(B241, HoldSummary!$A:$A, HoldSummary!D:D), 0)</f>
        <v>0</v>
      </c>
      <c r="AF241">
        <f>IFERROR(_xlfn.XLOOKUP(B241, HoldSummary!$A:$A, HoldSummary!E:E), 0)</f>
        <v>0</v>
      </c>
      <c r="AG241">
        <f>IFERROR(_xlfn.XLOOKUP(B241, HoldSummary!$A:$A, HoldSummary!F:F), 0)</f>
        <v>4</v>
      </c>
      <c r="AH241">
        <f>IFERROR(_xlfn.XLOOKUP(B241, HoldSummary!$A:$A, HoldSummary!G:G), 0)</f>
        <v>0</v>
      </c>
      <c r="AI241">
        <f>IFERROR(_xlfn.XLOOKUP(B241, HoldSummary!$A:$A, HoldSummary!H:H), 0)</f>
        <v>0</v>
      </c>
      <c r="AJ241">
        <f>IFERROR(_xlfn.XLOOKUP(B241, HoldSummary!$A:$A, HoldSummary!I:I), 0)</f>
        <v>0</v>
      </c>
      <c r="AK241">
        <f t="shared" si="35"/>
        <v>4</v>
      </c>
      <c r="AL241">
        <f t="shared" si="36"/>
        <v>216.83333333333576</v>
      </c>
      <c r="AM241">
        <f t="shared" si="37"/>
        <v>216.83333333333576</v>
      </c>
      <c r="AN241" s="12">
        <f t="shared" si="38"/>
        <v>122.83333333333576</v>
      </c>
      <c r="AO241">
        <f t="shared" si="39"/>
        <v>0</v>
      </c>
    </row>
    <row r="242" spans="1:41" x14ac:dyDescent="0.35">
      <c r="A242" t="s">
        <v>23</v>
      </c>
      <c r="B242">
        <v>105567</v>
      </c>
      <c r="C242" t="s">
        <v>54</v>
      </c>
      <c r="D242" t="s">
        <v>44</v>
      </c>
      <c r="E242" t="s">
        <v>55</v>
      </c>
      <c r="F242" t="s">
        <v>28</v>
      </c>
      <c r="G242">
        <v>10</v>
      </c>
      <c r="H242" t="s">
        <v>591</v>
      </c>
      <c r="I242" t="s">
        <v>30</v>
      </c>
      <c r="J242" t="s">
        <v>70</v>
      </c>
      <c r="K242" t="s">
        <v>57</v>
      </c>
      <c r="L242" t="s">
        <v>58</v>
      </c>
      <c r="M242" t="s">
        <v>81</v>
      </c>
      <c r="N242" s="2">
        <v>45408.166666666664</v>
      </c>
      <c r="O242" s="2">
        <v>45512.166666666664</v>
      </c>
      <c r="P242" s="2">
        <v>45693.208333333336</v>
      </c>
      <c r="Q242" s="2">
        <v>45569</v>
      </c>
      <c r="R242" s="2">
        <v>45569.721513564815</v>
      </c>
      <c r="S242" t="s">
        <v>592</v>
      </c>
      <c r="T242" s="2"/>
      <c r="U242" s="2"/>
      <c r="V242" s="2"/>
      <c r="W242" s="2"/>
      <c r="X242" s="3" t="str">
        <f t="shared" si="30"/>
        <v/>
      </c>
      <c r="Y242" t="str">
        <f t="shared" si="31"/>
        <v/>
      </c>
      <c r="Z242">
        <f t="shared" si="32"/>
        <v>0</v>
      </c>
      <c r="AA242">
        <f t="shared" si="33"/>
        <v>160.83333333333576</v>
      </c>
      <c r="AB242">
        <f t="shared" si="34"/>
        <v>160.83333333333576</v>
      </c>
      <c r="AC242">
        <f>IFERROR(_xlfn.XLOOKUP(B242, HoldSummary!$A:$A, HoldSummary!B:B), 0)</f>
        <v>15</v>
      </c>
      <c r="AD242">
        <f>IFERROR(_xlfn.XLOOKUP(B242, HoldSummary!$A:$A, HoldSummary!C:C), 0)</f>
        <v>0</v>
      </c>
      <c r="AE242">
        <f>IFERROR(_xlfn.XLOOKUP(B242, HoldSummary!$A:$A, HoldSummary!D:D), 0)</f>
        <v>0</v>
      </c>
      <c r="AF242">
        <f>IFERROR(_xlfn.XLOOKUP(B242, HoldSummary!$A:$A, HoldSummary!E:E), 0)</f>
        <v>0</v>
      </c>
      <c r="AG242">
        <f>IFERROR(_xlfn.XLOOKUP(B242, HoldSummary!$A:$A, HoldSummary!F:F), 0)</f>
        <v>0</v>
      </c>
      <c r="AH242">
        <f>IFERROR(_xlfn.XLOOKUP(B242, HoldSummary!$A:$A, HoldSummary!G:G), 0)</f>
        <v>0</v>
      </c>
      <c r="AI242">
        <f>IFERROR(_xlfn.XLOOKUP(B242, HoldSummary!$A:$A, HoldSummary!H:H), 0)</f>
        <v>0</v>
      </c>
      <c r="AJ242">
        <f>IFERROR(_xlfn.XLOOKUP(B242, HoldSummary!$A:$A, HoldSummary!I:I), 0)</f>
        <v>0</v>
      </c>
      <c r="AK242">
        <f t="shared" si="35"/>
        <v>15</v>
      </c>
      <c r="AL242">
        <f t="shared" si="36"/>
        <v>145.83333333333576</v>
      </c>
      <c r="AM242">
        <f t="shared" si="37"/>
        <v>145.83333333333576</v>
      </c>
      <c r="AN242" s="12">
        <f t="shared" si="38"/>
        <v>56.833333333335759</v>
      </c>
      <c r="AO242">
        <f t="shared" si="39"/>
        <v>0</v>
      </c>
    </row>
    <row r="243" spans="1:41" x14ac:dyDescent="0.35">
      <c r="A243" t="s">
        <v>23</v>
      </c>
      <c r="B243" t="s">
        <v>593</v>
      </c>
      <c r="C243" t="s">
        <v>76</v>
      </c>
      <c r="D243" t="s">
        <v>44</v>
      </c>
      <c r="E243" t="s">
        <v>45</v>
      </c>
      <c r="F243" t="s">
        <v>28</v>
      </c>
      <c r="G243">
        <v>10</v>
      </c>
      <c r="H243" t="s">
        <v>594</v>
      </c>
      <c r="I243" t="s">
        <v>30</v>
      </c>
      <c r="J243" t="s">
        <v>31</v>
      </c>
      <c r="K243" t="s">
        <v>38</v>
      </c>
      <c r="L243" t="s">
        <v>39</v>
      </c>
      <c r="N243" s="2">
        <v>45425.669537037036</v>
      </c>
      <c r="O243" s="2">
        <v>45491.166666666664</v>
      </c>
      <c r="P243" s="2">
        <v>45681.208333333336</v>
      </c>
      <c r="Q243" s="2">
        <v>45672</v>
      </c>
      <c r="R243" s="2">
        <v>45672.881278090281</v>
      </c>
      <c r="S243" t="s">
        <v>595</v>
      </c>
      <c r="T243" s="2">
        <v>45450.166666666664</v>
      </c>
      <c r="U243" s="2">
        <v>45454.166666666664</v>
      </c>
      <c r="V243" s="2">
        <v>45454.166666666664</v>
      </c>
      <c r="W243" s="2">
        <v>45631.208333333336</v>
      </c>
      <c r="X243" s="3">
        <f t="shared" si="30"/>
        <v>4</v>
      </c>
      <c r="Y243">
        <f t="shared" si="31"/>
        <v>177.04166666667152</v>
      </c>
      <c r="Z243">
        <f t="shared" si="32"/>
        <v>181.04166666667152</v>
      </c>
      <c r="AA243">
        <f t="shared" si="33"/>
        <v>246.33046296296379</v>
      </c>
      <c r="AB243">
        <f t="shared" si="34"/>
        <v>65.288796296292276</v>
      </c>
      <c r="AC243">
        <f>IFERROR(_xlfn.XLOOKUP(B243, HoldSummary!$A:$A, HoldSummary!B:B), 0)</f>
        <v>0</v>
      </c>
      <c r="AD243">
        <f>IFERROR(_xlfn.XLOOKUP(B243, HoldSummary!$A:$A, HoldSummary!C:C), 0)</f>
        <v>0</v>
      </c>
      <c r="AE243">
        <f>IFERROR(_xlfn.XLOOKUP(B243, HoldSummary!$A:$A, HoldSummary!D:D), 0)</f>
        <v>0</v>
      </c>
      <c r="AF243">
        <f>IFERROR(_xlfn.XLOOKUP(B243, HoldSummary!$A:$A, HoldSummary!E:E), 0)</f>
        <v>0</v>
      </c>
      <c r="AG243">
        <f>IFERROR(_xlfn.XLOOKUP(B243, HoldSummary!$A:$A, HoldSummary!F:F), 0)</f>
        <v>0</v>
      </c>
      <c r="AH243">
        <f>IFERROR(_xlfn.XLOOKUP(B243, HoldSummary!$A:$A, HoldSummary!G:G), 0)</f>
        <v>0</v>
      </c>
      <c r="AI243">
        <f>IFERROR(_xlfn.XLOOKUP(B243, HoldSummary!$A:$A, HoldSummary!H:H), 0)</f>
        <v>0</v>
      </c>
      <c r="AJ243">
        <f>IFERROR(_xlfn.XLOOKUP(B243, HoldSummary!$A:$A, HoldSummary!I:I), 0)</f>
        <v>0</v>
      </c>
      <c r="AK243">
        <f t="shared" si="35"/>
        <v>0</v>
      </c>
      <c r="AL243">
        <f t="shared" si="36"/>
        <v>246.33046296296379</v>
      </c>
      <c r="AM243">
        <f t="shared" si="37"/>
        <v>65.288796296292276</v>
      </c>
      <c r="AN243" s="12">
        <f t="shared" si="38"/>
        <v>180.83333333333576</v>
      </c>
      <c r="AO243">
        <f t="shared" si="39"/>
        <v>0</v>
      </c>
    </row>
    <row r="244" spans="1:41" x14ac:dyDescent="0.35">
      <c r="A244" t="s">
        <v>23</v>
      </c>
      <c r="B244" t="s">
        <v>596</v>
      </c>
      <c r="C244" t="s">
        <v>130</v>
      </c>
      <c r="D244" t="s">
        <v>44</v>
      </c>
      <c r="E244" t="s">
        <v>45</v>
      </c>
      <c r="F244" t="s">
        <v>28</v>
      </c>
      <c r="G244">
        <v>10</v>
      </c>
      <c r="H244" t="s">
        <v>597</v>
      </c>
      <c r="I244" t="s">
        <v>30</v>
      </c>
      <c r="J244" t="s">
        <v>31</v>
      </c>
      <c r="K244" t="s">
        <v>48</v>
      </c>
      <c r="L244" t="s">
        <v>39</v>
      </c>
      <c r="M244" t="s">
        <v>81</v>
      </c>
      <c r="N244" s="2">
        <v>45453.820185185185</v>
      </c>
      <c r="O244" s="2">
        <v>45617.208333333336</v>
      </c>
      <c r="P244" s="2">
        <v>45700.208333333336</v>
      </c>
      <c r="Q244" s="2">
        <v>45685</v>
      </c>
      <c r="R244" s="2">
        <v>45685.711905659722</v>
      </c>
      <c r="S244" t="s">
        <v>598</v>
      </c>
      <c r="T244" s="2">
        <v>45526.166666666664</v>
      </c>
      <c r="U244" s="2">
        <v>45596.166666666664</v>
      </c>
      <c r="V244" s="2">
        <v>45596.166666666664</v>
      </c>
      <c r="W244" s="2">
        <v>45665.208333333336</v>
      </c>
      <c r="X244" s="3">
        <f t="shared" si="30"/>
        <v>70</v>
      </c>
      <c r="Y244">
        <f t="shared" si="31"/>
        <v>69.041666666671517</v>
      </c>
      <c r="Z244">
        <f t="shared" si="32"/>
        <v>139.04166666667152</v>
      </c>
      <c r="AA244">
        <f t="shared" si="33"/>
        <v>231.17981481481547</v>
      </c>
      <c r="AB244">
        <f t="shared" si="34"/>
        <v>92.138148148143955</v>
      </c>
      <c r="AC244">
        <f>IFERROR(_xlfn.XLOOKUP(B244, HoldSummary!$A:$A, HoldSummary!B:B), 0)</f>
        <v>44.695421666663606</v>
      </c>
      <c r="AD244">
        <f>IFERROR(_xlfn.XLOOKUP(B244, HoldSummary!$A:$A, HoldSummary!C:C), 0)</f>
        <v>0</v>
      </c>
      <c r="AE244">
        <f>IFERROR(_xlfn.XLOOKUP(B244, HoldSummary!$A:$A, HoldSummary!D:D), 0)</f>
        <v>0</v>
      </c>
      <c r="AF244">
        <f>IFERROR(_xlfn.XLOOKUP(B244, HoldSummary!$A:$A, HoldSummary!E:E), 0)</f>
        <v>0</v>
      </c>
      <c r="AG244">
        <f>IFERROR(_xlfn.XLOOKUP(B244, HoldSummary!$A:$A, HoldSummary!F:F), 0)</f>
        <v>19.919439432873332</v>
      </c>
      <c r="AH244">
        <f>IFERROR(_xlfn.XLOOKUP(B244, HoldSummary!$A:$A, HoldSummary!G:G), 0)</f>
        <v>13.973793738427048</v>
      </c>
      <c r="AI244">
        <f>IFERROR(_xlfn.XLOOKUP(B244, HoldSummary!$A:$A, HoldSummary!H:H), 0)</f>
        <v>0</v>
      </c>
      <c r="AJ244">
        <f>IFERROR(_xlfn.XLOOKUP(B244, HoldSummary!$A:$A, HoldSummary!I:I), 0)</f>
        <v>0</v>
      </c>
      <c r="AK244">
        <f t="shared" si="35"/>
        <v>78.588654837963986</v>
      </c>
      <c r="AL244">
        <f t="shared" si="36"/>
        <v>152.59115997685149</v>
      </c>
      <c r="AM244">
        <f t="shared" si="37"/>
        <v>13.549493310179969</v>
      </c>
      <c r="AN244" s="12">
        <f t="shared" si="38"/>
        <v>67.791666666664241</v>
      </c>
      <c r="AO244">
        <f t="shared" si="39"/>
        <v>0</v>
      </c>
    </row>
    <row r="245" spans="1:41" x14ac:dyDescent="0.35">
      <c r="A245" t="s">
        <v>23</v>
      </c>
      <c r="B245" t="s">
        <v>599</v>
      </c>
      <c r="C245" t="s">
        <v>54</v>
      </c>
      <c r="D245" t="s">
        <v>44</v>
      </c>
      <c r="E245" t="s">
        <v>45</v>
      </c>
      <c r="F245" t="s">
        <v>28</v>
      </c>
      <c r="G245">
        <v>10</v>
      </c>
      <c r="H245" t="s">
        <v>600</v>
      </c>
      <c r="I245" t="s">
        <v>30</v>
      </c>
      <c r="J245" t="s">
        <v>31</v>
      </c>
      <c r="K245" t="s">
        <v>38</v>
      </c>
      <c r="L245" t="s">
        <v>53</v>
      </c>
      <c r="M245" t="s">
        <v>33</v>
      </c>
      <c r="N245" s="2">
        <v>45488.238900462966</v>
      </c>
      <c r="O245" s="2">
        <v>45764.166666666664</v>
      </c>
      <c r="P245" s="2">
        <v>45861.166666666664</v>
      </c>
      <c r="Q245" s="2">
        <v>45852</v>
      </c>
      <c r="R245" s="2">
        <v>45853.291285046296</v>
      </c>
      <c r="S245" t="s">
        <v>84</v>
      </c>
      <c r="T245" s="2">
        <v>45539.166666666664</v>
      </c>
      <c r="U245" s="2">
        <v>45665.208333333336</v>
      </c>
      <c r="V245" s="2">
        <v>45778.166666666664</v>
      </c>
      <c r="W245" s="2">
        <v>45792.166666666664</v>
      </c>
      <c r="X245" s="3">
        <f t="shared" si="30"/>
        <v>126.04166666667152</v>
      </c>
      <c r="Y245">
        <f t="shared" si="31"/>
        <v>14</v>
      </c>
      <c r="Z245">
        <f t="shared" si="32"/>
        <v>140.04166666667152</v>
      </c>
      <c r="AA245">
        <f t="shared" si="33"/>
        <v>363.76109953703417</v>
      </c>
      <c r="AB245">
        <f t="shared" si="34"/>
        <v>223.71943287036265</v>
      </c>
      <c r="AC245">
        <f>IFERROR(_xlfn.XLOOKUP(B245, HoldSummary!$A:$A, HoldSummary!B:B), 0)</f>
        <v>0</v>
      </c>
      <c r="AD245">
        <f>IFERROR(_xlfn.XLOOKUP(B245, HoldSummary!$A:$A, HoldSummary!C:C), 0)</f>
        <v>13</v>
      </c>
      <c r="AE245">
        <f>IFERROR(_xlfn.XLOOKUP(B245, HoldSummary!$A:$A, HoldSummary!D:D), 0)</f>
        <v>0</v>
      </c>
      <c r="AF245">
        <f>IFERROR(_xlfn.XLOOKUP(B245, HoldSummary!$A:$A, HoldSummary!E:E), 0)</f>
        <v>38</v>
      </c>
      <c r="AG245">
        <f>IFERROR(_xlfn.XLOOKUP(B245, HoldSummary!$A:$A, HoldSummary!F:F), 0)</f>
        <v>0</v>
      </c>
      <c r="AH245">
        <f>IFERROR(_xlfn.XLOOKUP(B245, HoldSummary!$A:$A, HoldSummary!G:G), 0)</f>
        <v>84</v>
      </c>
      <c r="AI245">
        <f>IFERROR(_xlfn.XLOOKUP(B245, HoldSummary!$A:$A, HoldSummary!H:H), 0)</f>
        <v>22</v>
      </c>
      <c r="AJ245">
        <f>IFERROR(_xlfn.XLOOKUP(B245, HoldSummary!$A:$A, HoldSummary!I:I), 0)</f>
        <v>0</v>
      </c>
      <c r="AK245">
        <f t="shared" si="35"/>
        <v>157</v>
      </c>
      <c r="AL245">
        <f t="shared" si="36"/>
        <v>206.76109953703417</v>
      </c>
      <c r="AM245">
        <f t="shared" si="37"/>
        <v>66.719432870362652</v>
      </c>
      <c r="AN245" s="12">
        <f t="shared" si="38"/>
        <v>87.833333333335759</v>
      </c>
      <c r="AO245">
        <f t="shared" si="39"/>
        <v>0</v>
      </c>
    </row>
    <row r="246" spans="1:41" x14ac:dyDescent="0.35">
      <c r="A246" t="s">
        <v>23</v>
      </c>
      <c r="B246" t="s">
        <v>601</v>
      </c>
      <c r="C246" t="s">
        <v>409</v>
      </c>
      <c r="D246" t="s">
        <v>44</v>
      </c>
      <c r="E246" t="s">
        <v>44</v>
      </c>
      <c r="F246" t="s">
        <v>28</v>
      </c>
      <c r="G246">
        <v>10</v>
      </c>
      <c r="H246" t="s">
        <v>602</v>
      </c>
      <c r="I246" t="s">
        <v>30</v>
      </c>
      <c r="J246" t="s">
        <v>208</v>
      </c>
      <c r="K246" t="s">
        <v>48</v>
      </c>
      <c r="L246" t="s">
        <v>49</v>
      </c>
      <c r="N246" s="2">
        <v>45170.166666666664</v>
      </c>
      <c r="O246" s="2">
        <v>45254.208333333336</v>
      </c>
      <c r="P246" s="2">
        <v>45623.208333333336</v>
      </c>
      <c r="Q246" s="2">
        <v>45611</v>
      </c>
      <c r="R246" s="2">
        <v>45622.750699270837</v>
      </c>
      <c r="S246" t="s">
        <v>603</v>
      </c>
      <c r="T246" s="2">
        <v>45551.166666666664</v>
      </c>
      <c r="U246" s="2">
        <v>45562.166666666664</v>
      </c>
      <c r="V246" s="2">
        <v>45562.166666666664</v>
      </c>
      <c r="W246" s="2">
        <v>45576.166666666664</v>
      </c>
      <c r="X246" s="3">
        <f t="shared" si="30"/>
        <v>11</v>
      </c>
      <c r="Y246">
        <f t="shared" si="31"/>
        <v>14</v>
      </c>
      <c r="Z246">
        <f t="shared" si="32"/>
        <v>25</v>
      </c>
      <c r="AA246">
        <f t="shared" si="33"/>
        <v>440.83333333333576</v>
      </c>
      <c r="AB246">
        <f t="shared" si="34"/>
        <v>415.83333333333576</v>
      </c>
      <c r="AC246">
        <f>IFERROR(_xlfn.XLOOKUP(B246, HoldSummary!$A:$A, HoldSummary!B:B), 0)</f>
        <v>0</v>
      </c>
      <c r="AD246">
        <f>IFERROR(_xlfn.XLOOKUP(B246, HoldSummary!$A:$A, HoldSummary!C:C), 0)</f>
        <v>0</v>
      </c>
      <c r="AE246">
        <f>IFERROR(_xlfn.XLOOKUP(B246, HoldSummary!$A:$A, HoldSummary!D:D), 0)</f>
        <v>0</v>
      </c>
      <c r="AF246">
        <f>IFERROR(_xlfn.XLOOKUP(B246, HoldSummary!$A:$A, HoldSummary!E:E), 0)</f>
        <v>0</v>
      </c>
      <c r="AG246">
        <f>IFERROR(_xlfn.XLOOKUP(B246, HoldSummary!$A:$A, HoldSummary!F:F), 0)</f>
        <v>0</v>
      </c>
      <c r="AH246">
        <f>IFERROR(_xlfn.XLOOKUP(B246, HoldSummary!$A:$A, HoldSummary!G:G), 0)</f>
        <v>0</v>
      </c>
      <c r="AI246">
        <f>IFERROR(_xlfn.XLOOKUP(B246, HoldSummary!$A:$A, HoldSummary!H:H), 0)</f>
        <v>0</v>
      </c>
      <c r="AJ246">
        <f>IFERROR(_xlfn.XLOOKUP(B246, HoldSummary!$A:$A, HoldSummary!I:I), 0)</f>
        <v>0</v>
      </c>
      <c r="AK246">
        <f t="shared" si="35"/>
        <v>0</v>
      </c>
      <c r="AL246">
        <f t="shared" si="36"/>
        <v>440.83333333333576</v>
      </c>
      <c r="AM246">
        <f t="shared" si="37"/>
        <v>415.83333333333576</v>
      </c>
      <c r="AN246" s="12">
        <f t="shared" si="38"/>
        <v>356.79166666666424</v>
      </c>
      <c r="AO246">
        <f t="shared" si="39"/>
        <v>0</v>
      </c>
    </row>
    <row r="247" spans="1:41" x14ac:dyDescent="0.35">
      <c r="A247" t="s">
        <v>23</v>
      </c>
      <c r="B247" t="s">
        <v>604</v>
      </c>
      <c r="C247" t="s">
        <v>25</v>
      </c>
      <c r="D247" t="s">
        <v>44</v>
      </c>
      <c r="E247" t="s">
        <v>45</v>
      </c>
      <c r="F247" t="s">
        <v>28</v>
      </c>
      <c r="G247">
        <v>10</v>
      </c>
      <c r="H247" t="s">
        <v>605</v>
      </c>
      <c r="I247" t="s">
        <v>30</v>
      </c>
      <c r="J247" t="s">
        <v>31</v>
      </c>
      <c r="K247" t="s">
        <v>32</v>
      </c>
      <c r="L247" t="s">
        <v>39</v>
      </c>
      <c r="M247" t="s">
        <v>81</v>
      </c>
      <c r="N247" s="2">
        <v>45526.692800925928</v>
      </c>
      <c r="O247" s="2">
        <v>45772.166666666664</v>
      </c>
      <c r="P247" s="2">
        <v>45852.166666666664</v>
      </c>
      <c r="Q247" s="2">
        <v>45846</v>
      </c>
      <c r="R247" s="2">
        <v>45847.621017395832</v>
      </c>
      <c r="S247" t="s">
        <v>84</v>
      </c>
      <c r="T247" s="2">
        <v>45680.208333333336</v>
      </c>
      <c r="U247" s="2">
        <v>45686.208333333336</v>
      </c>
      <c r="V247" s="2">
        <v>45686.208333333336</v>
      </c>
      <c r="W247" s="2">
        <v>45806.166666666664</v>
      </c>
      <c r="X247" s="3">
        <f t="shared" si="30"/>
        <v>6</v>
      </c>
      <c r="Y247">
        <f t="shared" si="31"/>
        <v>119.95833333332848</v>
      </c>
      <c r="Z247">
        <f t="shared" si="32"/>
        <v>125.95833333332848</v>
      </c>
      <c r="AA247">
        <f t="shared" si="33"/>
        <v>319.30719907407183</v>
      </c>
      <c r="AB247">
        <f t="shared" si="34"/>
        <v>193.34886574074335</v>
      </c>
      <c r="AC247">
        <f>IFERROR(_xlfn.XLOOKUP(B247, HoldSummary!$A:$A, HoldSummary!B:B), 0)</f>
        <v>0</v>
      </c>
      <c r="AD247">
        <f>IFERROR(_xlfn.XLOOKUP(B247, HoldSummary!$A:$A, HoldSummary!C:C), 0)</f>
        <v>0</v>
      </c>
      <c r="AE247">
        <f>IFERROR(_xlfn.XLOOKUP(B247, HoldSummary!$A:$A, HoldSummary!D:D), 0)</f>
        <v>0</v>
      </c>
      <c r="AF247">
        <f>IFERROR(_xlfn.XLOOKUP(B247, HoldSummary!$A:$A, HoldSummary!E:E), 0)</f>
        <v>0</v>
      </c>
      <c r="AG247">
        <f>IFERROR(_xlfn.XLOOKUP(B247, HoldSummary!$A:$A, HoldSummary!F:F), 0)</f>
        <v>0</v>
      </c>
      <c r="AH247">
        <f>IFERROR(_xlfn.XLOOKUP(B247, HoldSummary!$A:$A, HoldSummary!G:G), 0)</f>
        <v>0</v>
      </c>
      <c r="AI247">
        <f>IFERROR(_xlfn.XLOOKUP(B247, HoldSummary!$A:$A, HoldSummary!H:H), 0)</f>
        <v>2</v>
      </c>
      <c r="AJ247">
        <f>IFERROR(_xlfn.XLOOKUP(B247, HoldSummary!$A:$A, HoldSummary!I:I), 0)</f>
        <v>0</v>
      </c>
      <c r="AK247">
        <f t="shared" si="35"/>
        <v>2</v>
      </c>
      <c r="AL247">
        <f t="shared" si="36"/>
        <v>317.30719907407183</v>
      </c>
      <c r="AM247">
        <f t="shared" si="37"/>
        <v>191.34886574074335</v>
      </c>
      <c r="AN247" s="12">
        <f t="shared" si="38"/>
        <v>73.833333333335759</v>
      </c>
      <c r="AO247">
        <f t="shared" si="39"/>
        <v>0</v>
      </c>
    </row>
    <row r="248" spans="1:41" x14ac:dyDescent="0.35">
      <c r="A248" t="s">
        <v>23</v>
      </c>
      <c r="B248" t="s">
        <v>606</v>
      </c>
      <c r="C248" t="s">
        <v>54</v>
      </c>
      <c r="D248" t="s">
        <v>44</v>
      </c>
      <c r="E248" t="s">
        <v>44</v>
      </c>
      <c r="F248" t="s">
        <v>28</v>
      </c>
      <c r="G248">
        <v>10</v>
      </c>
      <c r="H248" t="s">
        <v>607</v>
      </c>
      <c r="I248" t="s">
        <v>30</v>
      </c>
      <c r="J248" t="s">
        <v>31</v>
      </c>
      <c r="K248" t="s">
        <v>174</v>
      </c>
      <c r="L248" t="s">
        <v>174</v>
      </c>
      <c r="M248" t="s">
        <v>33</v>
      </c>
      <c r="N248" s="2">
        <v>45573.166666666664</v>
      </c>
      <c r="O248" s="2">
        <v>45596.166666666664</v>
      </c>
      <c r="P248" s="2">
        <v>45596.166666666664</v>
      </c>
      <c r="Q248" s="2">
        <v>45588</v>
      </c>
      <c r="R248" s="2">
        <v>45588.624052870371</v>
      </c>
      <c r="S248" t="s">
        <v>608</v>
      </c>
      <c r="T248" s="2"/>
      <c r="U248" s="2"/>
      <c r="V248" s="2"/>
      <c r="W248" s="2"/>
      <c r="X248" s="3" t="str">
        <f t="shared" si="30"/>
        <v/>
      </c>
      <c r="Y248" t="str">
        <f t="shared" si="31"/>
        <v/>
      </c>
      <c r="Z248">
        <f t="shared" si="32"/>
        <v>0</v>
      </c>
      <c r="AA248">
        <f t="shared" si="33"/>
        <v>14.833333333335759</v>
      </c>
      <c r="AB248">
        <f t="shared" si="34"/>
        <v>14.833333333335759</v>
      </c>
      <c r="AC248">
        <f>IFERROR(_xlfn.XLOOKUP(B248, HoldSummary!$A:$A, HoldSummary!B:B), 0)</f>
        <v>0</v>
      </c>
      <c r="AD248">
        <f>IFERROR(_xlfn.XLOOKUP(B248, HoldSummary!$A:$A, HoldSummary!C:C), 0)</f>
        <v>0</v>
      </c>
      <c r="AE248">
        <f>IFERROR(_xlfn.XLOOKUP(B248, HoldSummary!$A:$A, HoldSummary!D:D), 0)</f>
        <v>0</v>
      </c>
      <c r="AF248">
        <f>IFERROR(_xlfn.XLOOKUP(B248, HoldSummary!$A:$A, HoldSummary!E:E), 0)</f>
        <v>0</v>
      </c>
      <c r="AG248">
        <f>IFERROR(_xlfn.XLOOKUP(B248, HoldSummary!$A:$A, HoldSummary!F:F), 0)</f>
        <v>0</v>
      </c>
      <c r="AH248">
        <f>IFERROR(_xlfn.XLOOKUP(B248, HoldSummary!$A:$A, HoldSummary!G:G), 0)</f>
        <v>0</v>
      </c>
      <c r="AI248">
        <f>IFERROR(_xlfn.XLOOKUP(B248, HoldSummary!$A:$A, HoldSummary!H:H), 0)</f>
        <v>0</v>
      </c>
      <c r="AJ248">
        <f>IFERROR(_xlfn.XLOOKUP(B248, HoldSummary!$A:$A, HoldSummary!I:I), 0)</f>
        <v>0</v>
      </c>
      <c r="AK248">
        <f t="shared" si="35"/>
        <v>0</v>
      </c>
      <c r="AL248">
        <f t="shared" si="36"/>
        <v>14.833333333335759</v>
      </c>
      <c r="AM248">
        <f t="shared" si="37"/>
        <v>14.833333333335759</v>
      </c>
      <c r="AN248" s="12">
        <f t="shared" si="38"/>
        <v>-8.1666666666642413</v>
      </c>
      <c r="AO248">
        <f t="shared" si="39"/>
        <v>1</v>
      </c>
    </row>
    <row r="249" spans="1:41" x14ac:dyDescent="0.35">
      <c r="A249" t="s">
        <v>23</v>
      </c>
      <c r="B249" t="s">
        <v>609</v>
      </c>
      <c r="C249" t="s">
        <v>461</v>
      </c>
      <c r="D249" t="s">
        <v>44</v>
      </c>
      <c r="E249" t="s">
        <v>45</v>
      </c>
      <c r="F249" t="s">
        <v>28</v>
      </c>
      <c r="G249">
        <v>10</v>
      </c>
      <c r="H249" t="s">
        <v>610</v>
      </c>
      <c r="I249" t="s">
        <v>30</v>
      </c>
      <c r="J249" t="s">
        <v>31</v>
      </c>
      <c r="K249" t="s">
        <v>174</v>
      </c>
      <c r="L249" t="s">
        <v>174</v>
      </c>
      <c r="M249" t="s">
        <v>33</v>
      </c>
      <c r="N249" s="2">
        <v>45590.590520833335</v>
      </c>
      <c r="O249" s="2">
        <v>45614.208333333336</v>
      </c>
      <c r="P249" s="2">
        <v>45614.208333333336</v>
      </c>
      <c r="Q249" s="2">
        <v>45628</v>
      </c>
      <c r="R249" s="2">
        <v>45629.526772604164</v>
      </c>
      <c r="T249" s="2">
        <v>45601.208333333336</v>
      </c>
      <c r="U249" s="2">
        <v>45604.208333333336</v>
      </c>
      <c r="V249" s="2">
        <v>45604.208333333336</v>
      </c>
      <c r="W249" s="2">
        <v>45609.208333333336</v>
      </c>
      <c r="X249" s="3">
        <f t="shared" si="30"/>
        <v>3</v>
      </c>
      <c r="Y249">
        <f t="shared" si="31"/>
        <v>5</v>
      </c>
      <c r="Z249">
        <f t="shared" si="32"/>
        <v>8</v>
      </c>
      <c r="AA249">
        <f t="shared" si="33"/>
        <v>37.409479166664823</v>
      </c>
      <c r="AB249">
        <f t="shared" si="34"/>
        <v>29.409479166664823</v>
      </c>
      <c r="AC249">
        <f>IFERROR(_xlfn.XLOOKUP(B249, HoldSummary!$A:$A, HoldSummary!B:B), 0)</f>
        <v>0</v>
      </c>
      <c r="AD249">
        <f>IFERROR(_xlfn.XLOOKUP(B249, HoldSummary!$A:$A, HoldSummary!C:C), 0)</f>
        <v>0</v>
      </c>
      <c r="AE249">
        <f>IFERROR(_xlfn.XLOOKUP(B249, HoldSummary!$A:$A, HoldSummary!D:D), 0)</f>
        <v>0</v>
      </c>
      <c r="AF249">
        <f>IFERROR(_xlfn.XLOOKUP(B249, HoldSummary!$A:$A, HoldSummary!E:E), 0)</f>
        <v>0</v>
      </c>
      <c r="AG249">
        <f>IFERROR(_xlfn.XLOOKUP(B249, HoldSummary!$A:$A, HoldSummary!F:F), 0)</f>
        <v>0</v>
      </c>
      <c r="AH249">
        <f>IFERROR(_xlfn.XLOOKUP(B249, HoldSummary!$A:$A, HoldSummary!G:G), 0)</f>
        <v>1</v>
      </c>
      <c r="AI249">
        <f>IFERROR(_xlfn.XLOOKUP(B249, HoldSummary!$A:$A, HoldSummary!H:H), 0)</f>
        <v>0</v>
      </c>
      <c r="AJ249">
        <f>IFERROR(_xlfn.XLOOKUP(B249, HoldSummary!$A:$A, HoldSummary!I:I), 0)</f>
        <v>0</v>
      </c>
      <c r="AK249">
        <f t="shared" si="35"/>
        <v>1</v>
      </c>
      <c r="AL249">
        <f t="shared" si="36"/>
        <v>36.409479166664823</v>
      </c>
      <c r="AM249">
        <f t="shared" si="37"/>
        <v>28.409479166664823</v>
      </c>
      <c r="AN249" s="12">
        <f t="shared" si="38"/>
        <v>13.791666666664241</v>
      </c>
      <c r="AO249">
        <f t="shared" si="39"/>
        <v>0</v>
      </c>
    </row>
    <row r="250" spans="1:41" x14ac:dyDescent="0.35">
      <c r="A250" t="s">
        <v>23</v>
      </c>
      <c r="B250" t="s">
        <v>611</v>
      </c>
      <c r="C250" t="s">
        <v>54</v>
      </c>
      <c r="D250" t="s">
        <v>44</v>
      </c>
      <c r="E250" t="s">
        <v>45</v>
      </c>
      <c r="F250" t="s">
        <v>28</v>
      </c>
      <c r="G250">
        <v>10</v>
      </c>
      <c r="H250" t="s">
        <v>612</v>
      </c>
      <c r="I250" t="s">
        <v>30</v>
      </c>
      <c r="J250" t="s">
        <v>31</v>
      </c>
      <c r="K250" t="s">
        <v>38</v>
      </c>
      <c r="L250" t="s">
        <v>58</v>
      </c>
      <c r="N250" s="2">
        <v>45415.720775462964</v>
      </c>
      <c r="O250" s="2">
        <v>45705.208333333336</v>
      </c>
      <c r="P250" s="2">
        <v>45623.208333333336</v>
      </c>
      <c r="Q250" s="2">
        <v>45618</v>
      </c>
      <c r="R250" s="2">
        <v>45621.755469745367</v>
      </c>
      <c r="S250" t="s">
        <v>613</v>
      </c>
      <c r="T250" s="2">
        <v>45609.208333333336</v>
      </c>
      <c r="U250" s="2">
        <v>45609.208333333336</v>
      </c>
      <c r="V250" s="2">
        <v>45609.208333333336</v>
      </c>
      <c r="W250" s="2">
        <v>45614.208333333336</v>
      </c>
      <c r="X250" s="3">
        <f t="shared" si="30"/>
        <v>0</v>
      </c>
      <c r="Y250">
        <f t="shared" si="31"/>
        <v>5</v>
      </c>
      <c r="Z250">
        <f t="shared" si="32"/>
        <v>5</v>
      </c>
      <c r="AA250">
        <f t="shared" si="33"/>
        <v>202.2792245370365</v>
      </c>
      <c r="AB250">
        <f t="shared" si="34"/>
        <v>197.2792245370365</v>
      </c>
      <c r="AC250">
        <f>IFERROR(_xlfn.XLOOKUP(B250, HoldSummary!$A:$A, HoldSummary!B:B), 0)</f>
        <v>0</v>
      </c>
      <c r="AD250">
        <f>IFERROR(_xlfn.XLOOKUP(B250, HoldSummary!$A:$A, HoldSummary!C:C), 0)</f>
        <v>0</v>
      </c>
      <c r="AE250">
        <f>IFERROR(_xlfn.XLOOKUP(B250, HoldSummary!$A:$A, HoldSummary!D:D), 0)</f>
        <v>0</v>
      </c>
      <c r="AF250">
        <f>IFERROR(_xlfn.XLOOKUP(B250, HoldSummary!$A:$A, HoldSummary!E:E), 0)</f>
        <v>0</v>
      </c>
      <c r="AG250">
        <f>IFERROR(_xlfn.XLOOKUP(B250, HoldSummary!$A:$A, HoldSummary!F:F), 0)</f>
        <v>0</v>
      </c>
      <c r="AH250">
        <f>IFERROR(_xlfn.XLOOKUP(B250, HoldSummary!$A:$A, HoldSummary!G:G), 0)</f>
        <v>0</v>
      </c>
      <c r="AI250">
        <f>IFERROR(_xlfn.XLOOKUP(B250, HoldSummary!$A:$A, HoldSummary!H:H), 0)</f>
        <v>0</v>
      </c>
      <c r="AJ250">
        <f>IFERROR(_xlfn.XLOOKUP(B250, HoldSummary!$A:$A, HoldSummary!I:I), 0)</f>
        <v>0</v>
      </c>
      <c r="AK250">
        <f t="shared" si="35"/>
        <v>0</v>
      </c>
      <c r="AL250">
        <f t="shared" si="36"/>
        <v>202.2792245370365</v>
      </c>
      <c r="AM250">
        <f t="shared" si="37"/>
        <v>197.2792245370365</v>
      </c>
      <c r="AN250" s="12">
        <f t="shared" si="38"/>
        <v>-87.208333333335759</v>
      </c>
      <c r="AO250">
        <f t="shared" si="39"/>
        <v>1</v>
      </c>
    </row>
    <row r="251" spans="1:41" x14ac:dyDescent="0.35">
      <c r="A251" t="s">
        <v>23</v>
      </c>
      <c r="B251" t="s">
        <v>614</v>
      </c>
      <c r="C251" t="s">
        <v>76</v>
      </c>
      <c r="D251" t="s">
        <v>44</v>
      </c>
      <c r="E251" t="s">
        <v>45</v>
      </c>
      <c r="F251" t="s">
        <v>28</v>
      </c>
      <c r="G251">
        <v>10</v>
      </c>
      <c r="H251" t="s">
        <v>615</v>
      </c>
      <c r="I251" t="s">
        <v>30</v>
      </c>
      <c r="J251" t="s">
        <v>31</v>
      </c>
      <c r="K251" t="s">
        <v>174</v>
      </c>
      <c r="L251" t="s">
        <v>174</v>
      </c>
      <c r="M251" t="s">
        <v>33</v>
      </c>
      <c r="N251" s="2">
        <v>45573.51021990741</v>
      </c>
      <c r="O251" s="2">
        <v>45680.208333333336</v>
      </c>
      <c r="P251" s="2">
        <v>45680.208333333336</v>
      </c>
      <c r="Q251" s="2">
        <v>45636</v>
      </c>
      <c r="R251" s="2">
        <v>45636.838017731483</v>
      </c>
      <c r="S251" t="s">
        <v>616</v>
      </c>
      <c r="T251" s="2">
        <v>45610.208333333336</v>
      </c>
      <c r="U251" s="2">
        <v>45610.208333333336</v>
      </c>
      <c r="V251" s="2">
        <v>45610.208333333336</v>
      </c>
      <c r="W251" s="2">
        <v>45618.208333333336</v>
      </c>
      <c r="X251" s="3">
        <f t="shared" si="30"/>
        <v>0</v>
      </c>
      <c r="Y251">
        <f t="shared" si="31"/>
        <v>8</v>
      </c>
      <c r="Z251">
        <f t="shared" si="32"/>
        <v>8</v>
      </c>
      <c r="AA251">
        <f t="shared" si="33"/>
        <v>62.489780092590081</v>
      </c>
      <c r="AB251">
        <f t="shared" si="34"/>
        <v>54.489780092590081</v>
      </c>
      <c r="AC251">
        <f>IFERROR(_xlfn.XLOOKUP(B251, HoldSummary!$A:$A, HoldSummary!B:B), 0)</f>
        <v>4</v>
      </c>
      <c r="AD251">
        <f>IFERROR(_xlfn.XLOOKUP(B251, HoldSummary!$A:$A, HoldSummary!C:C), 0)</f>
        <v>0</v>
      </c>
      <c r="AE251">
        <f>IFERROR(_xlfn.XLOOKUP(B251, HoldSummary!$A:$A, HoldSummary!D:D), 0)</f>
        <v>0</v>
      </c>
      <c r="AF251">
        <f>IFERROR(_xlfn.XLOOKUP(B251, HoldSummary!$A:$A, HoldSummary!E:E), 0)</f>
        <v>0</v>
      </c>
      <c r="AG251">
        <f>IFERROR(_xlfn.XLOOKUP(B251, HoldSummary!$A:$A, HoldSummary!F:F), 0)</f>
        <v>0</v>
      </c>
      <c r="AH251">
        <f>IFERROR(_xlfn.XLOOKUP(B251, HoldSummary!$A:$A, HoldSummary!G:G), 0)</f>
        <v>0</v>
      </c>
      <c r="AI251">
        <f>IFERROR(_xlfn.XLOOKUP(B251, HoldSummary!$A:$A, HoldSummary!H:H), 0)</f>
        <v>0</v>
      </c>
      <c r="AJ251">
        <f>IFERROR(_xlfn.XLOOKUP(B251, HoldSummary!$A:$A, HoldSummary!I:I), 0)</f>
        <v>0</v>
      </c>
      <c r="AK251">
        <f t="shared" si="35"/>
        <v>4</v>
      </c>
      <c r="AL251">
        <f t="shared" si="36"/>
        <v>58.489780092590081</v>
      </c>
      <c r="AM251">
        <f t="shared" si="37"/>
        <v>50.489780092590081</v>
      </c>
      <c r="AN251" s="12">
        <f t="shared" si="38"/>
        <v>-44.208333333335759</v>
      </c>
      <c r="AO251">
        <f t="shared" si="39"/>
        <v>1</v>
      </c>
    </row>
    <row r="252" spans="1:41" x14ac:dyDescent="0.35">
      <c r="A252" t="s">
        <v>23</v>
      </c>
      <c r="B252" t="s">
        <v>617</v>
      </c>
      <c r="C252" t="s">
        <v>461</v>
      </c>
      <c r="D252" t="s">
        <v>44</v>
      </c>
      <c r="E252" t="s">
        <v>45</v>
      </c>
      <c r="F252" t="s">
        <v>28</v>
      </c>
      <c r="G252">
        <v>10</v>
      </c>
      <c r="H252" t="s">
        <v>618</v>
      </c>
      <c r="I252" t="s">
        <v>30</v>
      </c>
      <c r="J252" t="s">
        <v>31</v>
      </c>
      <c r="K252" t="s">
        <v>48</v>
      </c>
      <c r="L252" t="s">
        <v>49</v>
      </c>
      <c r="M252" t="s">
        <v>81</v>
      </c>
      <c r="N252" s="2">
        <v>45604.844722222224</v>
      </c>
      <c r="O252" s="2">
        <v>45609.208333333336</v>
      </c>
      <c r="P252" s="2">
        <v>45610.208333333336</v>
      </c>
      <c r="Q252" s="2">
        <v>45610</v>
      </c>
      <c r="R252" s="2">
        <v>45610.642736620372</v>
      </c>
      <c r="T252" s="2">
        <v>45605.208333333336</v>
      </c>
      <c r="U252" s="2">
        <v>45609.208333333336</v>
      </c>
      <c r="V252" s="2">
        <v>45609.208333333336</v>
      </c>
      <c r="W252" s="2">
        <v>45609.208333333336</v>
      </c>
      <c r="X252" s="3">
        <f t="shared" si="30"/>
        <v>4</v>
      </c>
      <c r="Y252">
        <f t="shared" si="31"/>
        <v>0</v>
      </c>
      <c r="Z252">
        <f t="shared" si="32"/>
        <v>4</v>
      </c>
      <c r="AA252">
        <f t="shared" si="33"/>
        <v>5.1552777777760639</v>
      </c>
      <c r="AB252">
        <f t="shared" si="34"/>
        <v>1.1552777777760639</v>
      </c>
      <c r="AC252">
        <f>IFERROR(_xlfn.XLOOKUP(B252, HoldSummary!$A:$A, HoldSummary!B:B), 0)</f>
        <v>0</v>
      </c>
      <c r="AD252">
        <f>IFERROR(_xlfn.XLOOKUP(B252, HoldSummary!$A:$A, HoldSummary!C:C), 0)</f>
        <v>0</v>
      </c>
      <c r="AE252">
        <f>IFERROR(_xlfn.XLOOKUP(B252, HoldSummary!$A:$A, HoldSummary!D:D), 0)</f>
        <v>0</v>
      </c>
      <c r="AF252">
        <f>IFERROR(_xlfn.XLOOKUP(B252, HoldSummary!$A:$A, HoldSummary!E:E), 0)</f>
        <v>0</v>
      </c>
      <c r="AG252">
        <f>IFERROR(_xlfn.XLOOKUP(B252, HoldSummary!$A:$A, HoldSummary!F:F), 0)</f>
        <v>0</v>
      </c>
      <c r="AH252">
        <f>IFERROR(_xlfn.XLOOKUP(B252, HoldSummary!$A:$A, HoldSummary!G:G), 0)</f>
        <v>0</v>
      </c>
      <c r="AI252">
        <f>IFERROR(_xlfn.XLOOKUP(B252, HoldSummary!$A:$A, HoldSummary!H:H), 0)</f>
        <v>0</v>
      </c>
      <c r="AJ252">
        <f>IFERROR(_xlfn.XLOOKUP(B252, HoldSummary!$A:$A, HoldSummary!I:I), 0)</f>
        <v>0</v>
      </c>
      <c r="AK252">
        <f t="shared" si="35"/>
        <v>0</v>
      </c>
      <c r="AL252">
        <f t="shared" si="36"/>
        <v>5.1552777777760639</v>
      </c>
      <c r="AM252">
        <f t="shared" si="37"/>
        <v>1.1552777777760639</v>
      </c>
      <c r="AN252" s="12">
        <f t="shared" si="38"/>
        <v>0.79166666666424135</v>
      </c>
      <c r="AO252">
        <f t="shared" si="39"/>
        <v>0</v>
      </c>
    </row>
    <row r="253" spans="1:41" x14ac:dyDescent="0.35">
      <c r="A253" t="s">
        <v>23</v>
      </c>
      <c r="B253" t="s">
        <v>619</v>
      </c>
      <c r="C253" t="s">
        <v>461</v>
      </c>
      <c r="D253" t="s">
        <v>44</v>
      </c>
      <c r="E253" t="s">
        <v>45</v>
      </c>
      <c r="F253" t="s">
        <v>28</v>
      </c>
      <c r="G253">
        <v>10</v>
      </c>
      <c r="H253" t="s">
        <v>620</v>
      </c>
      <c r="I253" t="s">
        <v>30</v>
      </c>
      <c r="J253" t="s">
        <v>31</v>
      </c>
      <c r="K253" t="s">
        <v>48</v>
      </c>
      <c r="L253" t="s">
        <v>49</v>
      </c>
      <c r="N253" s="2">
        <v>45611.836458333331</v>
      </c>
      <c r="O253" s="2">
        <v>45645.208333333336</v>
      </c>
      <c r="P253" s="2">
        <v>45646.208333333336</v>
      </c>
      <c r="Q253" s="2">
        <v>45646</v>
      </c>
      <c r="R253" s="2">
        <v>45646.817001354168</v>
      </c>
      <c r="T253" s="2">
        <v>45639.208333333336</v>
      </c>
      <c r="U253" s="2">
        <v>45643.208333333336</v>
      </c>
      <c r="V253" s="2">
        <v>45643.208333333336</v>
      </c>
      <c r="W253" s="2">
        <v>45645.208333333336</v>
      </c>
      <c r="X253" s="3">
        <f t="shared" si="30"/>
        <v>4</v>
      </c>
      <c r="Y253">
        <f t="shared" si="31"/>
        <v>2</v>
      </c>
      <c r="Z253">
        <f t="shared" si="32"/>
        <v>6</v>
      </c>
      <c r="AA253">
        <f t="shared" si="33"/>
        <v>34.163541666668607</v>
      </c>
      <c r="AB253">
        <f t="shared" si="34"/>
        <v>28.163541666668607</v>
      </c>
      <c r="AC253">
        <f>IFERROR(_xlfn.XLOOKUP(B253, HoldSummary!$A:$A, HoldSummary!B:B), 0)</f>
        <v>0</v>
      </c>
      <c r="AD253">
        <f>IFERROR(_xlfn.XLOOKUP(B253, HoldSummary!$A:$A, HoldSummary!C:C), 0)</f>
        <v>0</v>
      </c>
      <c r="AE253">
        <f>IFERROR(_xlfn.XLOOKUP(B253, HoldSummary!$A:$A, HoldSummary!D:D), 0)</f>
        <v>0</v>
      </c>
      <c r="AF253">
        <f>IFERROR(_xlfn.XLOOKUP(B253, HoldSummary!$A:$A, HoldSummary!E:E), 0)</f>
        <v>0</v>
      </c>
      <c r="AG253">
        <f>IFERROR(_xlfn.XLOOKUP(B253, HoldSummary!$A:$A, HoldSummary!F:F), 0)</f>
        <v>0</v>
      </c>
      <c r="AH253">
        <f>IFERROR(_xlfn.XLOOKUP(B253, HoldSummary!$A:$A, HoldSummary!G:G), 0)</f>
        <v>0</v>
      </c>
      <c r="AI253">
        <f>IFERROR(_xlfn.XLOOKUP(B253, HoldSummary!$A:$A, HoldSummary!H:H), 0)</f>
        <v>0</v>
      </c>
      <c r="AJ253">
        <f>IFERROR(_xlfn.XLOOKUP(B253, HoldSummary!$A:$A, HoldSummary!I:I), 0)</f>
        <v>0</v>
      </c>
      <c r="AK253">
        <f t="shared" si="35"/>
        <v>0</v>
      </c>
      <c r="AL253">
        <f t="shared" si="36"/>
        <v>34.163541666668607</v>
      </c>
      <c r="AM253">
        <f t="shared" si="37"/>
        <v>28.163541666668607</v>
      </c>
      <c r="AN253" s="12">
        <f t="shared" si="38"/>
        <v>0.79166666666424135</v>
      </c>
      <c r="AO253">
        <f t="shared" si="39"/>
        <v>0</v>
      </c>
    </row>
    <row r="254" spans="1:41" x14ac:dyDescent="0.35">
      <c r="A254" t="s">
        <v>23</v>
      </c>
      <c r="B254" t="s">
        <v>621</v>
      </c>
      <c r="C254" t="s">
        <v>54</v>
      </c>
      <c r="D254" t="s">
        <v>44</v>
      </c>
      <c r="E254" t="s">
        <v>45</v>
      </c>
      <c r="F254" t="s">
        <v>28</v>
      </c>
      <c r="G254">
        <v>10</v>
      </c>
      <c r="H254" t="s">
        <v>622</v>
      </c>
      <c r="I254" t="s">
        <v>30</v>
      </c>
      <c r="J254" t="s">
        <v>31</v>
      </c>
      <c r="K254" t="s">
        <v>38</v>
      </c>
      <c r="L254" t="s">
        <v>39</v>
      </c>
      <c r="M254" t="s">
        <v>33</v>
      </c>
      <c r="N254" s="2">
        <v>45632.610798611109</v>
      </c>
      <c r="O254" s="2">
        <v>45646.208333333336</v>
      </c>
      <c r="P254" s="2">
        <v>45646.208333333336</v>
      </c>
      <c r="Q254" s="2">
        <v>45643</v>
      </c>
      <c r="R254" s="2">
        <v>45643.796328599536</v>
      </c>
      <c r="T254" s="2">
        <v>45637.208333333336</v>
      </c>
      <c r="U254" s="2">
        <v>45638.208333333336</v>
      </c>
      <c r="V254" s="2">
        <v>45638.208333333336</v>
      </c>
      <c r="W254" s="2">
        <v>45638.208333333336</v>
      </c>
      <c r="X254" s="3">
        <f t="shared" si="30"/>
        <v>1</v>
      </c>
      <c r="Y254">
        <f t="shared" si="31"/>
        <v>0</v>
      </c>
      <c r="Z254">
        <f t="shared" si="32"/>
        <v>1</v>
      </c>
      <c r="AA254">
        <f t="shared" si="33"/>
        <v>10.389201388890797</v>
      </c>
      <c r="AB254">
        <f t="shared" si="34"/>
        <v>9.3892013888907968</v>
      </c>
      <c r="AC254">
        <f>IFERROR(_xlfn.XLOOKUP(B254, HoldSummary!$A:$A, HoldSummary!B:B), 0)</f>
        <v>0</v>
      </c>
      <c r="AD254">
        <f>IFERROR(_xlfn.XLOOKUP(B254, HoldSummary!$A:$A, HoldSummary!C:C), 0)</f>
        <v>0</v>
      </c>
      <c r="AE254">
        <f>IFERROR(_xlfn.XLOOKUP(B254, HoldSummary!$A:$A, HoldSummary!D:D), 0)</f>
        <v>0</v>
      </c>
      <c r="AF254">
        <f>IFERROR(_xlfn.XLOOKUP(B254, HoldSummary!$A:$A, HoldSummary!E:E), 0)</f>
        <v>0</v>
      </c>
      <c r="AG254">
        <f>IFERROR(_xlfn.XLOOKUP(B254, HoldSummary!$A:$A, HoldSummary!F:F), 0)</f>
        <v>0</v>
      </c>
      <c r="AH254">
        <f>IFERROR(_xlfn.XLOOKUP(B254, HoldSummary!$A:$A, HoldSummary!G:G), 0)</f>
        <v>0</v>
      </c>
      <c r="AI254">
        <f>IFERROR(_xlfn.XLOOKUP(B254, HoldSummary!$A:$A, HoldSummary!H:H), 0)</f>
        <v>0</v>
      </c>
      <c r="AJ254">
        <f>IFERROR(_xlfn.XLOOKUP(B254, HoldSummary!$A:$A, HoldSummary!I:I), 0)</f>
        <v>0</v>
      </c>
      <c r="AK254">
        <f t="shared" si="35"/>
        <v>0</v>
      </c>
      <c r="AL254">
        <f t="shared" si="36"/>
        <v>10.389201388890797</v>
      </c>
      <c r="AM254">
        <f t="shared" si="37"/>
        <v>9.3892013888907968</v>
      </c>
      <c r="AN254" s="12">
        <f t="shared" si="38"/>
        <v>-3.2083333333357587</v>
      </c>
      <c r="AO254">
        <f t="shared" si="39"/>
        <v>1</v>
      </c>
    </row>
    <row r="255" spans="1:41" x14ac:dyDescent="0.35">
      <c r="A255" t="s">
        <v>23</v>
      </c>
      <c r="B255" t="s">
        <v>623</v>
      </c>
      <c r="C255" t="s">
        <v>624</v>
      </c>
      <c r="D255" t="s">
        <v>44</v>
      </c>
      <c r="E255" t="s">
        <v>44</v>
      </c>
      <c r="F255" t="s">
        <v>28</v>
      </c>
      <c r="G255">
        <v>10</v>
      </c>
      <c r="H255" t="s">
        <v>625</v>
      </c>
      <c r="I255" t="s">
        <v>30</v>
      </c>
      <c r="J255" t="s">
        <v>31</v>
      </c>
      <c r="K255" t="s">
        <v>174</v>
      </c>
      <c r="L255" t="s">
        <v>174</v>
      </c>
      <c r="N255" s="2">
        <v>45639.208333333336</v>
      </c>
      <c r="O255" s="2">
        <v>45650.208333333336</v>
      </c>
      <c r="P255" s="2">
        <v>45650.208333333336</v>
      </c>
      <c r="Q255" s="2">
        <v>45639</v>
      </c>
      <c r="R255" s="2">
        <v>45642.831787916664</v>
      </c>
      <c r="S255" t="s">
        <v>626</v>
      </c>
      <c r="T255" s="2"/>
      <c r="U255" s="2"/>
      <c r="V255" s="2"/>
      <c r="W255" s="2"/>
      <c r="X255" s="3" t="str">
        <f t="shared" si="30"/>
        <v/>
      </c>
      <c r="Y255" t="str">
        <f t="shared" si="31"/>
        <v/>
      </c>
      <c r="Z255">
        <f t="shared" si="32"/>
        <v>0</v>
      </c>
      <c r="AA255">
        <f t="shared" si="33"/>
        <v>-0.20833333333575865</v>
      </c>
      <c r="AB255">
        <f t="shared" si="34"/>
        <v>-0.20833333333575865</v>
      </c>
      <c r="AC255">
        <f>IFERROR(_xlfn.XLOOKUP(B255, HoldSummary!$A:$A, HoldSummary!B:B), 0)</f>
        <v>0</v>
      </c>
      <c r="AD255">
        <f>IFERROR(_xlfn.XLOOKUP(B255, HoldSummary!$A:$A, HoldSummary!C:C), 0)</f>
        <v>0</v>
      </c>
      <c r="AE255">
        <f>IFERROR(_xlfn.XLOOKUP(B255, HoldSummary!$A:$A, HoldSummary!D:D), 0)</f>
        <v>0</v>
      </c>
      <c r="AF255">
        <f>IFERROR(_xlfn.XLOOKUP(B255, HoldSummary!$A:$A, HoldSummary!E:E), 0)</f>
        <v>0</v>
      </c>
      <c r="AG255">
        <f>IFERROR(_xlfn.XLOOKUP(B255, HoldSummary!$A:$A, HoldSummary!F:F), 0)</f>
        <v>0</v>
      </c>
      <c r="AH255">
        <f>IFERROR(_xlfn.XLOOKUP(B255, HoldSummary!$A:$A, HoldSummary!G:G), 0)</f>
        <v>0</v>
      </c>
      <c r="AI255">
        <f>IFERROR(_xlfn.XLOOKUP(B255, HoldSummary!$A:$A, HoldSummary!H:H), 0)</f>
        <v>0</v>
      </c>
      <c r="AJ255">
        <f>IFERROR(_xlfn.XLOOKUP(B255, HoldSummary!$A:$A, HoldSummary!I:I), 0)</f>
        <v>0</v>
      </c>
      <c r="AK255">
        <f t="shared" si="35"/>
        <v>0</v>
      </c>
      <c r="AL255">
        <f t="shared" si="36"/>
        <v>-0.20833333333575865</v>
      </c>
      <c r="AM255">
        <f t="shared" si="37"/>
        <v>-0.20833333333575865</v>
      </c>
      <c r="AN255" s="12">
        <f t="shared" si="38"/>
        <v>-11.208333333335759</v>
      </c>
      <c r="AO255">
        <f t="shared" si="39"/>
        <v>1</v>
      </c>
    </row>
    <row r="256" spans="1:41" x14ac:dyDescent="0.35">
      <c r="A256" t="s">
        <v>23</v>
      </c>
      <c r="B256" t="s">
        <v>627</v>
      </c>
      <c r="C256" t="s">
        <v>36</v>
      </c>
      <c r="D256" t="s">
        <v>44</v>
      </c>
      <c r="E256" t="s">
        <v>44</v>
      </c>
      <c r="F256" t="s">
        <v>28</v>
      </c>
      <c r="G256">
        <v>10</v>
      </c>
      <c r="H256" t="s">
        <v>628</v>
      </c>
      <c r="I256" t="s">
        <v>30</v>
      </c>
      <c r="J256" t="s">
        <v>70</v>
      </c>
      <c r="K256" t="s">
        <v>48</v>
      </c>
      <c r="L256" t="s">
        <v>192</v>
      </c>
      <c r="N256" s="2">
        <v>45643.208333333336</v>
      </c>
      <c r="O256" s="2">
        <v>45699.208333333336</v>
      </c>
      <c r="P256" s="2">
        <v>45713.208333333336</v>
      </c>
      <c r="Q256" s="2">
        <v>45701</v>
      </c>
      <c r="R256" s="2">
        <v>45702.637472499999</v>
      </c>
      <c r="T256" s="2">
        <v>45671.208333333336</v>
      </c>
      <c r="U256" s="2">
        <v>45691.208333333336</v>
      </c>
      <c r="V256" s="2">
        <v>45691.208333333336</v>
      </c>
      <c r="W256" s="2">
        <v>45691.208333333336</v>
      </c>
      <c r="X256" s="3">
        <f t="shared" si="30"/>
        <v>20</v>
      </c>
      <c r="Y256">
        <f t="shared" si="31"/>
        <v>0</v>
      </c>
      <c r="Z256">
        <f t="shared" si="32"/>
        <v>20</v>
      </c>
      <c r="AA256">
        <f t="shared" si="33"/>
        <v>57.791666666664241</v>
      </c>
      <c r="AB256">
        <f t="shared" si="34"/>
        <v>37.791666666664241</v>
      </c>
      <c r="AC256">
        <f>IFERROR(_xlfn.XLOOKUP(B256, HoldSummary!$A:$A, HoldSummary!B:B), 0)</f>
        <v>0</v>
      </c>
      <c r="AD256">
        <f>IFERROR(_xlfn.XLOOKUP(B256, HoldSummary!$A:$A, HoldSummary!C:C), 0)</f>
        <v>0</v>
      </c>
      <c r="AE256">
        <f>IFERROR(_xlfn.XLOOKUP(B256, HoldSummary!$A:$A, HoldSummary!D:D), 0)</f>
        <v>0</v>
      </c>
      <c r="AF256">
        <f>IFERROR(_xlfn.XLOOKUP(B256, HoldSummary!$A:$A, HoldSummary!E:E), 0)</f>
        <v>0</v>
      </c>
      <c r="AG256">
        <f>IFERROR(_xlfn.XLOOKUP(B256, HoldSummary!$A:$A, HoldSummary!F:F), 0)</f>
        <v>0</v>
      </c>
      <c r="AH256">
        <f>IFERROR(_xlfn.XLOOKUP(B256, HoldSummary!$A:$A, HoldSummary!G:G), 0)</f>
        <v>0</v>
      </c>
      <c r="AI256">
        <f>IFERROR(_xlfn.XLOOKUP(B256, HoldSummary!$A:$A, HoldSummary!H:H), 0)</f>
        <v>0</v>
      </c>
      <c r="AJ256">
        <f>IFERROR(_xlfn.XLOOKUP(B256, HoldSummary!$A:$A, HoldSummary!I:I), 0)</f>
        <v>0</v>
      </c>
      <c r="AK256">
        <f t="shared" si="35"/>
        <v>0</v>
      </c>
      <c r="AL256">
        <f t="shared" si="36"/>
        <v>57.791666666664241</v>
      </c>
      <c r="AM256">
        <f t="shared" si="37"/>
        <v>37.791666666664241</v>
      </c>
      <c r="AN256" s="12">
        <f t="shared" si="38"/>
        <v>1.7916666666642413</v>
      </c>
      <c r="AO256">
        <f t="shared" si="39"/>
        <v>0</v>
      </c>
    </row>
    <row r="257" spans="1:41" x14ac:dyDescent="0.35">
      <c r="A257" t="s">
        <v>23</v>
      </c>
      <c r="B257" t="s">
        <v>629</v>
      </c>
      <c r="C257" t="s">
        <v>54</v>
      </c>
      <c r="D257" t="s">
        <v>44</v>
      </c>
      <c r="E257" t="s">
        <v>45</v>
      </c>
      <c r="F257" t="s">
        <v>28</v>
      </c>
      <c r="G257">
        <v>10</v>
      </c>
      <c r="H257" t="s">
        <v>630</v>
      </c>
      <c r="I257" t="s">
        <v>30</v>
      </c>
      <c r="J257" t="s">
        <v>31</v>
      </c>
      <c r="K257" t="s">
        <v>174</v>
      </c>
      <c r="L257" t="s">
        <v>174</v>
      </c>
      <c r="M257" t="s">
        <v>81</v>
      </c>
      <c r="N257" s="2">
        <v>45670.623090277775</v>
      </c>
      <c r="O257" s="2">
        <v>45750.166666666664</v>
      </c>
      <c r="P257" s="2">
        <v>45798.166666666664</v>
      </c>
      <c r="Q257" s="2">
        <v>45785</v>
      </c>
      <c r="R257" s="2">
        <v>45785.914445185183</v>
      </c>
      <c r="S257" t="s">
        <v>631</v>
      </c>
      <c r="T257" s="2">
        <v>45687.208333333336</v>
      </c>
      <c r="U257" s="2">
        <v>45687.208333333336</v>
      </c>
      <c r="V257" s="2">
        <v>45687.208333333336</v>
      </c>
      <c r="W257" s="2">
        <v>45713.208333333336</v>
      </c>
      <c r="X257" s="3">
        <f t="shared" si="30"/>
        <v>0</v>
      </c>
      <c r="Y257">
        <f t="shared" si="31"/>
        <v>26</v>
      </c>
      <c r="Z257">
        <f t="shared" si="32"/>
        <v>26</v>
      </c>
      <c r="AA257">
        <f t="shared" si="33"/>
        <v>114.37690972222481</v>
      </c>
      <c r="AB257">
        <f t="shared" si="34"/>
        <v>88.376909722224809</v>
      </c>
      <c r="AC257">
        <f>IFERROR(_xlfn.XLOOKUP(B257, HoldSummary!$A:$A, HoldSummary!B:B), 0)</f>
        <v>4</v>
      </c>
      <c r="AD257">
        <f>IFERROR(_xlfn.XLOOKUP(B257, HoldSummary!$A:$A, HoldSummary!C:C), 0)</f>
        <v>0</v>
      </c>
      <c r="AE257">
        <f>IFERROR(_xlfn.XLOOKUP(B257, HoldSummary!$A:$A, HoldSummary!D:D), 0)</f>
        <v>0</v>
      </c>
      <c r="AF257">
        <f>IFERROR(_xlfn.XLOOKUP(B257, HoldSummary!$A:$A, HoldSummary!E:E), 0)</f>
        <v>0</v>
      </c>
      <c r="AG257">
        <f>IFERROR(_xlfn.XLOOKUP(B257, HoldSummary!$A:$A, HoldSummary!F:F), 0)</f>
        <v>0</v>
      </c>
      <c r="AH257">
        <f>IFERROR(_xlfn.XLOOKUP(B257, HoldSummary!$A:$A, HoldSummary!G:G), 0)</f>
        <v>0</v>
      </c>
      <c r="AI257">
        <f>IFERROR(_xlfn.XLOOKUP(B257, HoldSummary!$A:$A, HoldSummary!H:H), 0)</f>
        <v>0</v>
      </c>
      <c r="AJ257">
        <f>IFERROR(_xlfn.XLOOKUP(B257, HoldSummary!$A:$A, HoldSummary!I:I), 0)</f>
        <v>0</v>
      </c>
      <c r="AK257">
        <f t="shared" si="35"/>
        <v>4</v>
      </c>
      <c r="AL257">
        <f t="shared" si="36"/>
        <v>110.37690972222481</v>
      </c>
      <c r="AM257">
        <f t="shared" si="37"/>
        <v>84.376909722224809</v>
      </c>
      <c r="AN257" s="12">
        <f t="shared" si="38"/>
        <v>34.833333333335759</v>
      </c>
      <c r="AO257">
        <f t="shared" si="39"/>
        <v>0</v>
      </c>
    </row>
    <row r="258" spans="1:41" x14ac:dyDescent="0.35">
      <c r="A258" t="s">
        <v>23</v>
      </c>
      <c r="B258" t="s">
        <v>632</v>
      </c>
      <c r="C258" t="s">
        <v>76</v>
      </c>
      <c r="D258" t="s">
        <v>44</v>
      </c>
      <c r="E258" t="s">
        <v>44</v>
      </c>
      <c r="F258" t="s">
        <v>28</v>
      </c>
      <c r="G258">
        <v>10</v>
      </c>
      <c r="H258" t="s">
        <v>633</v>
      </c>
      <c r="I258" t="s">
        <v>30</v>
      </c>
      <c r="J258" t="s">
        <v>208</v>
      </c>
      <c r="K258" t="s">
        <v>48</v>
      </c>
      <c r="L258" t="s">
        <v>192</v>
      </c>
      <c r="N258" s="2">
        <v>45672.208333333336</v>
      </c>
      <c r="O258" s="2">
        <v>45737.166666666664</v>
      </c>
      <c r="P258" s="2">
        <v>45737.166666666664</v>
      </c>
      <c r="Q258" s="2">
        <v>45715</v>
      </c>
      <c r="R258" s="2">
        <v>45716.619884247688</v>
      </c>
      <c r="S258" t="s">
        <v>434</v>
      </c>
      <c r="T258" s="2">
        <v>45702.208333333336</v>
      </c>
      <c r="U258" s="2">
        <v>45702.208333333336</v>
      </c>
      <c r="V258" s="2">
        <v>45702.208333333336</v>
      </c>
      <c r="W258" s="2">
        <v>45706.208333333336</v>
      </c>
      <c r="X258" s="3">
        <f t="shared" si="30"/>
        <v>0</v>
      </c>
      <c r="Y258">
        <f t="shared" si="31"/>
        <v>4</v>
      </c>
      <c r="Z258">
        <f t="shared" si="32"/>
        <v>4</v>
      </c>
      <c r="AA258">
        <f t="shared" si="33"/>
        <v>42.791666666664241</v>
      </c>
      <c r="AB258">
        <f t="shared" si="34"/>
        <v>38.791666666664241</v>
      </c>
      <c r="AC258">
        <f>IFERROR(_xlfn.XLOOKUP(B258, HoldSummary!$A:$A, HoldSummary!B:B), 0)</f>
        <v>0</v>
      </c>
      <c r="AD258">
        <f>IFERROR(_xlfn.XLOOKUP(B258, HoldSummary!$A:$A, HoldSummary!C:C), 0)</f>
        <v>0</v>
      </c>
      <c r="AE258">
        <f>IFERROR(_xlfn.XLOOKUP(B258, HoldSummary!$A:$A, HoldSummary!D:D), 0)</f>
        <v>0</v>
      </c>
      <c r="AF258">
        <f>IFERROR(_xlfn.XLOOKUP(B258, HoldSummary!$A:$A, HoldSummary!E:E), 0)</f>
        <v>0</v>
      </c>
      <c r="AG258">
        <f>IFERROR(_xlfn.XLOOKUP(B258, HoldSummary!$A:$A, HoldSummary!F:F), 0)</f>
        <v>0</v>
      </c>
      <c r="AH258">
        <f>IFERROR(_xlfn.XLOOKUP(B258, HoldSummary!$A:$A, HoldSummary!G:G), 0)</f>
        <v>0</v>
      </c>
      <c r="AI258">
        <f>IFERROR(_xlfn.XLOOKUP(B258, HoldSummary!$A:$A, HoldSummary!H:H), 0)</f>
        <v>0</v>
      </c>
      <c r="AJ258">
        <f>IFERROR(_xlfn.XLOOKUP(B258, HoldSummary!$A:$A, HoldSummary!I:I), 0)</f>
        <v>0</v>
      </c>
      <c r="AK258">
        <f t="shared" si="35"/>
        <v>0</v>
      </c>
      <c r="AL258">
        <f t="shared" si="36"/>
        <v>42.791666666664241</v>
      </c>
      <c r="AM258">
        <f t="shared" si="37"/>
        <v>38.791666666664241</v>
      </c>
      <c r="AN258" s="12">
        <f t="shared" si="38"/>
        <v>-22.166666666664241</v>
      </c>
      <c r="AO258">
        <f t="shared" si="39"/>
        <v>1</v>
      </c>
    </row>
    <row r="259" spans="1:41" x14ac:dyDescent="0.35">
      <c r="A259" t="s">
        <v>23</v>
      </c>
      <c r="B259">
        <v>110741</v>
      </c>
      <c r="C259" t="s">
        <v>54</v>
      </c>
      <c r="D259" t="s">
        <v>44</v>
      </c>
      <c r="E259" t="s">
        <v>55</v>
      </c>
      <c r="F259" t="s">
        <v>28</v>
      </c>
      <c r="G259">
        <v>10</v>
      </c>
      <c r="H259" t="s">
        <v>634</v>
      </c>
      <c r="I259" t="s">
        <v>30</v>
      </c>
      <c r="J259" t="s">
        <v>31</v>
      </c>
      <c r="K259" t="s">
        <v>57</v>
      </c>
      <c r="L259" t="s">
        <v>58</v>
      </c>
      <c r="M259" t="s">
        <v>33</v>
      </c>
      <c r="N259" s="2">
        <v>45679.208333333336</v>
      </c>
      <c r="O259" s="2">
        <v>45730.166666666664</v>
      </c>
      <c r="P259" s="2">
        <v>45730.166666666664</v>
      </c>
      <c r="Q259" s="2">
        <v>45736</v>
      </c>
      <c r="R259" s="2">
        <v>45737.800931585647</v>
      </c>
      <c r="T259" s="2">
        <v>45685.208333333336</v>
      </c>
      <c r="U259" s="2">
        <v>45685.208333333336</v>
      </c>
      <c r="V259" s="2">
        <v>45685.208333333336</v>
      </c>
      <c r="W259" s="2">
        <v>45729.166666666664</v>
      </c>
      <c r="X259" s="3">
        <f t="shared" ref="X259:X322" si="40">IF(OR(ISBLANK(T259), ISBLANK(U259)), "", U259 - T259)</f>
        <v>0</v>
      </c>
      <c r="Y259">
        <f t="shared" ref="Y259:Y322" si="41">IF(OR(ISBLANK(V259), ISBLANK(W259)), "", W259 - V259)</f>
        <v>43.958333333328483</v>
      </c>
      <c r="Z259">
        <f t="shared" ref="Z259:Z322" si="42">N(X259) + N(Y259)</f>
        <v>43.958333333328483</v>
      </c>
      <c r="AA259">
        <f t="shared" ref="AA259:AA322" si="43">IF(OR(ISBLANK(N259), ISBLANK(Q259)), "", Q259 - N259)</f>
        <v>56.791666666664241</v>
      </c>
      <c r="AB259">
        <f t="shared" ref="AB259:AB322" si="44">IF(AA259="", "", AA259 - Z259)</f>
        <v>12.833333333335759</v>
      </c>
      <c r="AC259">
        <f>IFERROR(_xlfn.XLOOKUP(B259, HoldSummary!$A:$A, HoldSummary!B:B), 0)</f>
        <v>0</v>
      </c>
      <c r="AD259">
        <f>IFERROR(_xlfn.XLOOKUP(B259, HoldSummary!$A:$A, HoldSummary!C:C), 0)</f>
        <v>0</v>
      </c>
      <c r="AE259">
        <f>IFERROR(_xlfn.XLOOKUP(B259, HoldSummary!$A:$A, HoldSummary!D:D), 0)</f>
        <v>0</v>
      </c>
      <c r="AF259">
        <f>IFERROR(_xlfn.XLOOKUP(B259, HoldSummary!$A:$A, HoldSummary!E:E), 0)</f>
        <v>0</v>
      </c>
      <c r="AG259">
        <f>IFERROR(_xlfn.XLOOKUP(B259, HoldSummary!$A:$A, HoldSummary!F:F), 0)</f>
        <v>0</v>
      </c>
      <c r="AH259">
        <f>IFERROR(_xlfn.XLOOKUP(B259, HoldSummary!$A:$A, HoldSummary!G:G), 0)</f>
        <v>0</v>
      </c>
      <c r="AI259">
        <f>IFERROR(_xlfn.XLOOKUP(B259, HoldSummary!$A:$A, HoldSummary!H:H), 0)</f>
        <v>0</v>
      </c>
      <c r="AJ259">
        <f>IFERROR(_xlfn.XLOOKUP(B259, HoldSummary!$A:$A, HoldSummary!I:I), 0)</f>
        <v>0</v>
      </c>
      <c r="AK259">
        <f t="shared" ref="AK259:AK322" si="45">SUM(AC259:AJ259)</f>
        <v>0</v>
      </c>
      <c r="AL259">
        <f t="shared" ref="AL259:AL322" si="46">IF(AA259="", "", AA259 - AK259)</f>
        <v>56.791666666664241</v>
      </c>
      <c r="AM259">
        <f t="shared" ref="AM259:AM322" si="47">IF(OR(AK259="", AB259=""), "", AB259 - AK259)</f>
        <v>12.833333333335759</v>
      </c>
      <c r="AN259" s="12">
        <f t="shared" ref="AN259:AN322" si="48">Q259-O259</f>
        <v>5.8333333333357587</v>
      </c>
      <c r="AO259">
        <f t="shared" ref="AO259:AO322" si="49">IF(OR(ISBLANK(O259), ISBLANK(Q259)), 1, IF(AN259&lt;=0,1,0))</f>
        <v>0</v>
      </c>
    </row>
    <row r="260" spans="1:41" x14ac:dyDescent="0.35">
      <c r="A260" t="s">
        <v>23</v>
      </c>
      <c r="B260" t="s">
        <v>635</v>
      </c>
      <c r="C260" t="s">
        <v>36</v>
      </c>
      <c r="D260" t="s">
        <v>44</v>
      </c>
      <c r="E260" t="s">
        <v>45</v>
      </c>
      <c r="F260" t="s">
        <v>28</v>
      </c>
      <c r="G260">
        <v>10</v>
      </c>
      <c r="H260" t="s">
        <v>636</v>
      </c>
      <c r="I260" t="s">
        <v>30</v>
      </c>
      <c r="J260" t="s">
        <v>31</v>
      </c>
      <c r="K260" t="s">
        <v>48</v>
      </c>
      <c r="L260" t="s">
        <v>192</v>
      </c>
      <c r="M260" t="s">
        <v>81</v>
      </c>
      <c r="N260" s="2">
        <v>45678.36613425926</v>
      </c>
      <c r="O260" s="2">
        <v>45723.208333333336</v>
      </c>
      <c r="P260" s="2">
        <v>45726.166666666664</v>
      </c>
      <c r="Q260" s="2">
        <v>45720</v>
      </c>
      <c r="R260" s="2">
        <v>45721.575687696757</v>
      </c>
      <c r="T260" s="2">
        <v>45706.208333333336</v>
      </c>
      <c r="U260" s="2">
        <v>45707.208333333336</v>
      </c>
      <c r="V260" s="2">
        <v>45707.208333333336</v>
      </c>
      <c r="W260" s="2">
        <v>45714.208333333336</v>
      </c>
      <c r="X260" s="3">
        <f t="shared" si="40"/>
        <v>1</v>
      </c>
      <c r="Y260">
        <f t="shared" si="41"/>
        <v>7</v>
      </c>
      <c r="Z260">
        <f t="shared" si="42"/>
        <v>8</v>
      </c>
      <c r="AA260">
        <f t="shared" si="43"/>
        <v>41.633865740739566</v>
      </c>
      <c r="AB260">
        <f t="shared" si="44"/>
        <v>33.633865740739566</v>
      </c>
      <c r="AC260">
        <f>IFERROR(_xlfn.XLOOKUP(B260, HoldSummary!$A:$A, HoldSummary!B:B), 0)</f>
        <v>0</v>
      </c>
      <c r="AD260">
        <f>IFERROR(_xlfn.XLOOKUP(B260, HoldSummary!$A:$A, HoldSummary!C:C), 0)</f>
        <v>0</v>
      </c>
      <c r="AE260">
        <f>IFERROR(_xlfn.XLOOKUP(B260, HoldSummary!$A:$A, HoldSummary!D:D), 0)</f>
        <v>0</v>
      </c>
      <c r="AF260">
        <f>IFERROR(_xlfn.XLOOKUP(B260, HoldSummary!$A:$A, HoldSummary!E:E), 0)</f>
        <v>0</v>
      </c>
      <c r="AG260">
        <f>IFERROR(_xlfn.XLOOKUP(B260, HoldSummary!$A:$A, HoldSummary!F:F), 0)</f>
        <v>0</v>
      </c>
      <c r="AH260">
        <f>IFERROR(_xlfn.XLOOKUP(B260, HoldSummary!$A:$A, HoldSummary!G:G), 0)</f>
        <v>0</v>
      </c>
      <c r="AI260">
        <f>IFERROR(_xlfn.XLOOKUP(B260, HoldSummary!$A:$A, HoldSummary!H:H), 0)</f>
        <v>0</v>
      </c>
      <c r="AJ260">
        <f>IFERROR(_xlfn.XLOOKUP(B260, HoldSummary!$A:$A, HoldSummary!I:I), 0)</f>
        <v>0</v>
      </c>
      <c r="AK260">
        <f t="shared" si="45"/>
        <v>0</v>
      </c>
      <c r="AL260">
        <f t="shared" si="46"/>
        <v>41.633865740739566</v>
      </c>
      <c r="AM260">
        <f t="shared" si="47"/>
        <v>33.633865740739566</v>
      </c>
      <c r="AN260" s="12">
        <f t="shared" si="48"/>
        <v>-3.2083333333357587</v>
      </c>
      <c r="AO260">
        <f t="shared" si="49"/>
        <v>1</v>
      </c>
    </row>
    <row r="261" spans="1:41" x14ac:dyDescent="0.35">
      <c r="A261" t="s">
        <v>23</v>
      </c>
      <c r="B261" t="s">
        <v>637</v>
      </c>
      <c r="C261" t="s">
        <v>54</v>
      </c>
      <c r="D261" t="s">
        <v>44</v>
      </c>
      <c r="E261" t="s">
        <v>45</v>
      </c>
      <c r="F261" t="s">
        <v>28</v>
      </c>
      <c r="G261">
        <v>10</v>
      </c>
      <c r="H261" t="s">
        <v>638</v>
      </c>
      <c r="I261" t="s">
        <v>30</v>
      </c>
      <c r="J261" t="s">
        <v>31</v>
      </c>
      <c r="K261" t="s">
        <v>174</v>
      </c>
      <c r="L261" t="s">
        <v>174</v>
      </c>
      <c r="M261" t="s">
        <v>81</v>
      </c>
      <c r="N261" s="2">
        <v>45566.876145833332</v>
      </c>
      <c r="O261" s="2">
        <v>45768.166666666664</v>
      </c>
      <c r="P261" s="2">
        <v>45798.166666666664</v>
      </c>
      <c r="Q261" s="2">
        <v>45784</v>
      </c>
      <c r="R261" s="2">
        <v>45785.564407199076</v>
      </c>
      <c r="S261" t="s">
        <v>639</v>
      </c>
      <c r="T261" s="2">
        <v>45722.208333333336</v>
      </c>
      <c r="U261" s="2">
        <v>45722.208333333336</v>
      </c>
      <c r="V261" s="2">
        <v>45723.208333333336</v>
      </c>
      <c r="W261" s="2">
        <v>45777.166666666664</v>
      </c>
      <c r="X261" s="3">
        <f t="shared" si="40"/>
        <v>0</v>
      </c>
      <c r="Y261">
        <f t="shared" si="41"/>
        <v>53.958333333328483</v>
      </c>
      <c r="Z261">
        <f t="shared" si="42"/>
        <v>53.958333333328483</v>
      </c>
      <c r="AA261">
        <f t="shared" si="43"/>
        <v>217.12385416666802</v>
      </c>
      <c r="AB261">
        <f t="shared" si="44"/>
        <v>163.16552083333954</v>
      </c>
      <c r="AC261">
        <f>IFERROR(_xlfn.XLOOKUP(B261, HoldSummary!$A:$A, HoldSummary!B:B), 0)</f>
        <v>86</v>
      </c>
      <c r="AD261">
        <f>IFERROR(_xlfn.XLOOKUP(B261, HoldSummary!$A:$A, HoldSummary!C:C), 0)</f>
        <v>0</v>
      </c>
      <c r="AE261">
        <f>IFERROR(_xlfn.XLOOKUP(B261, HoldSummary!$A:$A, HoldSummary!D:D), 0)</f>
        <v>0</v>
      </c>
      <c r="AF261">
        <f>IFERROR(_xlfn.XLOOKUP(B261, HoldSummary!$A:$A, HoldSummary!E:E), 0)</f>
        <v>0</v>
      </c>
      <c r="AG261">
        <f>IFERROR(_xlfn.XLOOKUP(B261, HoldSummary!$A:$A, HoldSummary!F:F), 0)</f>
        <v>0</v>
      </c>
      <c r="AH261">
        <f>IFERROR(_xlfn.XLOOKUP(B261, HoldSummary!$A:$A, HoldSummary!G:G), 0)</f>
        <v>0</v>
      </c>
      <c r="AI261">
        <f>IFERROR(_xlfn.XLOOKUP(B261, HoldSummary!$A:$A, HoldSummary!H:H), 0)</f>
        <v>0</v>
      </c>
      <c r="AJ261">
        <f>IFERROR(_xlfn.XLOOKUP(B261, HoldSummary!$A:$A, HoldSummary!I:I), 0)</f>
        <v>0</v>
      </c>
      <c r="AK261">
        <f t="shared" si="45"/>
        <v>86</v>
      </c>
      <c r="AL261">
        <f t="shared" si="46"/>
        <v>131.12385416666802</v>
      </c>
      <c r="AM261">
        <f t="shared" si="47"/>
        <v>77.165520833339542</v>
      </c>
      <c r="AN261" s="12">
        <f t="shared" si="48"/>
        <v>15.833333333335759</v>
      </c>
      <c r="AO261">
        <f t="shared" si="49"/>
        <v>0</v>
      </c>
    </row>
    <row r="262" spans="1:41" x14ac:dyDescent="0.35">
      <c r="A262" t="s">
        <v>23</v>
      </c>
      <c r="B262" t="s">
        <v>640</v>
      </c>
      <c r="C262" t="s">
        <v>135</v>
      </c>
      <c r="D262" t="s">
        <v>44</v>
      </c>
      <c r="E262" t="s">
        <v>45</v>
      </c>
      <c r="F262" t="s">
        <v>28</v>
      </c>
      <c r="G262">
        <v>10</v>
      </c>
      <c r="H262" t="s">
        <v>641</v>
      </c>
      <c r="I262" t="s">
        <v>30</v>
      </c>
      <c r="J262" t="s">
        <v>31</v>
      </c>
      <c r="K262" t="s">
        <v>32</v>
      </c>
      <c r="L262" t="s">
        <v>32</v>
      </c>
      <c r="M262" t="s">
        <v>33</v>
      </c>
      <c r="N262" s="2">
        <v>45826.638819444444</v>
      </c>
      <c r="O262" s="2">
        <v>45860.166666666664</v>
      </c>
      <c r="P262" s="2">
        <v>45860.166666666664</v>
      </c>
      <c r="Q262" s="2">
        <v>45855</v>
      </c>
      <c r="R262" s="2">
        <v>45855.906648576391</v>
      </c>
      <c r="T262" s="2">
        <v>45834.166666666664</v>
      </c>
      <c r="U262" s="2">
        <v>45838.166666666664</v>
      </c>
      <c r="V262" s="2">
        <v>45839.166666666664</v>
      </c>
      <c r="W262" s="2">
        <v>45840.166666666664</v>
      </c>
      <c r="X262" s="3">
        <f t="shared" si="40"/>
        <v>4</v>
      </c>
      <c r="Y262">
        <f t="shared" si="41"/>
        <v>1</v>
      </c>
      <c r="Z262">
        <f t="shared" si="42"/>
        <v>5</v>
      </c>
      <c r="AA262">
        <f t="shared" si="43"/>
        <v>28.36118055555562</v>
      </c>
      <c r="AB262">
        <f t="shared" si="44"/>
        <v>23.36118055555562</v>
      </c>
      <c r="AC262">
        <f>IFERROR(_xlfn.XLOOKUP(B262, HoldSummary!$A:$A, HoldSummary!B:B), 0)</f>
        <v>0</v>
      </c>
      <c r="AD262">
        <f>IFERROR(_xlfn.XLOOKUP(B262, HoldSummary!$A:$A, HoldSummary!C:C), 0)</f>
        <v>0</v>
      </c>
      <c r="AE262">
        <f>IFERROR(_xlfn.XLOOKUP(B262, HoldSummary!$A:$A, HoldSummary!D:D), 0)</f>
        <v>0</v>
      </c>
      <c r="AF262">
        <f>IFERROR(_xlfn.XLOOKUP(B262, HoldSummary!$A:$A, HoldSummary!E:E), 0)</f>
        <v>0</v>
      </c>
      <c r="AG262">
        <f>IFERROR(_xlfn.XLOOKUP(B262, HoldSummary!$A:$A, HoldSummary!F:F), 0)</f>
        <v>0</v>
      </c>
      <c r="AH262">
        <f>IFERROR(_xlfn.XLOOKUP(B262, HoldSummary!$A:$A, HoldSummary!G:G), 0)</f>
        <v>0</v>
      </c>
      <c r="AI262">
        <f>IFERROR(_xlfn.XLOOKUP(B262, HoldSummary!$A:$A, HoldSummary!H:H), 0)</f>
        <v>0</v>
      </c>
      <c r="AJ262">
        <f>IFERROR(_xlfn.XLOOKUP(B262, HoldSummary!$A:$A, HoldSummary!I:I), 0)</f>
        <v>0</v>
      </c>
      <c r="AK262">
        <f t="shared" si="45"/>
        <v>0</v>
      </c>
      <c r="AL262">
        <f t="shared" si="46"/>
        <v>28.36118055555562</v>
      </c>
      <c r="AM262">
        <f t="shared" si="47"/>
        <v>23.36118055555562</v>
      </c>
      <c r="AN262" s="12">
        <f t="shared" si="48"/>
        <v>-5.1666666666642413</v>
      </c>
      <c r="AO262">
        <f t="shared" si="49"/>
        <v>1</v>
      </c>
    </row>
    <row r="263" spans="1:41" x14ac:dyDescent="0.35">
      <c r="A263" t="s">
        <v>23</v>
      </c>
      <c r="B263" t="s">
        <v>642</v>
      </c>
      <c r="C263" t="s">
        <v>130</v>
      </c>
      <c r="D263" t="s">
        <v>44</v>
      </c>
      <c r="E263" t="s">
        <v>45</v>
      </c>
      <c r="F263" t="s">
        <v>28</v>
      </c>
      <c r="G263">
        <v>11</v>
      </c>
      <c r="H263" t="s">
        <v>643</v>
      </c>
      <c r="I263" t="s">
        <v>30</v>
      </c>
      <c r="J263" t="s">
        <v>31</v>
      </c>
      <c r="K263" t="s">
        <v>48</v>
      </c>
      <c r="L263" t="s">
        <v>192</v>
      </c>
      <c r="N263" s="2">
        <v>45175.52648148148</v>
      </c>
      <c r="O263" s="2">
        <v>45429.166666666664</v>
      </c>
      <c r="P263" s="2">
        <v>45754.166666666664</v>
      </c>
      <c r="Q263" s="2">
        <v>45734</v>
      </c>
      <c r="R263" s="2">
        <v>45735.633298935187</v>
      </c>
      <c r="S263" t="s">
        <v>644</v>
      </c>
      <c r="T263" s="2">
        <v>45357.208333333336</v>
      </c>
      <c r="U263" s="2">
        <v>45433.166666666664</v>
      </c>
      <c r="V263" s="2">
        <v>45433.166666666664</v>
      </c>
      <c r="W263" s="2">
        <v>45674.208333333336</v>
      </c>
      <c r="X263" s="3">
        <f t="shared" si="40"/>
        <v>75.958333333328483</v>
      </c>
      <c r="Y263">
        <f t="shared" si="41"/>
        <v>241.04166666667152</v>
      </c>
      <c r="Z263">
        <f t="shared" si="42"/>
        <v>317</v>
      </c>
      <c r="AA263">
        <f t="shared" si="43"/>
        <v>558.47351851852</v>
      </c>
      <c r="AB263">
        <f t="shared" si="44"/>
        <v>241.47351851852</v>
      </c>
      <c r="AC263">
        <f>IFERROR(_xlfn.XLOOKUP(B263, HoldSummary!$A:$A, HoldSummary!B:B), 0)</f>
        <v>0</v>
      </c>
      <c r="AD263">
        <f>IFERROR(_xlfn.XLOOKUP(B263, HoldSummary!$A:$A, HoldSummary!C:C), 0)</f>
        <v>0</v>
      </c>
      <c r="AE263">
        <f>IFERROR(_xlfn.XLOOKUP(B263, HoldSummary!$A:$A, HoldSummary!D:D), 0)</f>
        <v>0</v>
      </c>
      <c r="AF263">
        <f>IFERROR(_xlfn.XLOOKUP(B263, HoldSummary!$A:$A, HoldSummary!E:E), 0)</f>
        <v>0</v>
      </c>
      <c r="AG263">
        <f>IFERROR(_xlfn.XLOOKUP(B263, HoldSummary!$A:$A, HoldSummary!F:F), 0)</f>
        <v>62.069859340277617</v>
      </c>
      <c r="AH263">
        <f>IFERROR(_xlfn.XLOOKUP(B263, HoldSummary!$A:$A, HoldSummary!G:G), 0)</f>
        <v>0</v>
      </c>
      <c r="AI263">
        <f>IFERROR(_xlfn.XLOOKUP(B263, HoldSummary!$A:$A, HoldSummary!H:H), 0)</f>
        <v>122.85197964120744</v>
      </c>
      <c r="AJ263">
        <f>IFERROR(_xlfn.XLOOKUP(B263, HoldSummary!$A:$A, HoldSummary!I:I), 0)</f>
        <v>0</v>
      </c>
      <c r="AK263">
        <f t="shared" si="45"/>
        <v>184.92183898148505</v>
      </c>
      <c r="AL263">
        <f t="shared" si="46"/>
        <v>373.55167953703494</v>
      </c>
      <c r="AM263">
        <f t="shared" si="47"/>
        <v>56.551679537034943</v>
      </c>
      <c r="AN263" s="12">
        <f t="shared" si="48"/>
        <v>304.83333333333576</v>
      </c>
      <c r="AO263">
        <f t="shared" si="49"/>
        <v>0</v>
      </c>
    </row>
    <row r="264" spans="1:41" x14ac:dyDescent="0.35">
      <c r="A264" t="s">
        <v>23</v>
      </c>
      <c r="B264" t="s">
        <v>645</v>
      </c>
      <c r="C264" t="s">
        <v>130</v>
      </c>
      <c r="D264" t="s">
        <v>44</v>
      </c>
      <c r="E264" t="s">
        <v>45</v>
      </c>
      <c r="F264" t="s">
        <v>28</v>
      </c>
      <c r="G264">
        <v>11</v>
      </c>
      <c r="H264" t="s">
        <v>646</v>
      </c>
      <c r="I264" t="s">
        <v>30</v>
      </c>
      <c r="J264" t="s">
        <v>31</v>
      </c>
      <c r="K264" t="s">
        <v>48</v>
      </c>
      <c r="L264" t="s">
        <v>192</v>
      </c>
      <c r="N264" s="2">
        <v>45260.658958333333</v>
      </c>
      <c r="O264" s="2">
        <v>45371.166666666664</v>
      </c>
      <c r="P264" s="2">
        <v>45471.166666666664</v>
      </c>
      <c r="Q264" s="2">
        <v>45468</v>
      </c>
      <c r="R264" s="2">
        <v>45468.778472094906</v>
      </c>
      <c r="S264" t="s">
        <v>647</v>
      </c>
      <c r="T264" s="2">
        <v>45337.208333333336</v>
      </c>
      <c r="U264" s="2">
        <v>45385.166666666664</v>
      </c>
      <c r="V264" s="2">
        <v>45385.166666666664</v>
      </c>
      <c r="W264" s="2">
        <v>45463.166666666664</v>
      </c>
      <c r="X264" s="3">
        <f t="shared" si="40"/>
        <v>47.958333333328483</v>
      </c>
      <c r="Y264">
        <f t="shared" si="41"/>
        <v>78</v>
      </c>
      <c r="Z264">
        <f t="shared" si="42"/>
        <v>125.95833333332848</v>
      </c>
      <c r="AA264">
        <f t="shared" si="43"/>
        <v>207.34104166666657</v>
      </c>
      <c r="AB264">
        <f t="shared" si="44"/>
        <v>81.382708333338087</v>
      </c>
      <c r="AC264">
        <f>IFERROR(_xlfn.XLOOKUP(B264, HoldSummary!$A:$A, HoldSummary!B:B), 0)</f>
        <v>0</v>
      </c>
      <c r="AD264">
        <f>IFERROR(_xlfn.XLOOKUP(B264, HoldSummary!$A:$A, HoldSummary!C:C), 0)</f>
        <v>0</v>
      </c>
      <c r="AE264">
        <f>IFERROR(_xlfn.XLOOKUP(B264, HoldSummary!$A:$A, HoldSummary!D:D), 0)</f>
        <v>0</v>
      </c>
      <c r="AF264">
        <f>IFERROR(_xlfn.XLOOKUP(B264, HoldSummary!$A:$A, HoldSummary!E:E), 0)</f>
        <v>0</v>
      </c>
      <c r="AG264">
        <f>IFERROR(_xlfn.XLOOKUP(B264, HoldSummary!$A:$A, HoldSummary!F:F), 0)</f>
        <v>34.997765856482147</v>
      </c>
      <c r="AH264">
        <f>IFERROR(_xlfn.XLOOKUP(B264, HoldSummary!$A:$A, HoldSummary!G:G), 0)</f>
        <v>12.941974780093005</v>
      </c>
      <c r="AI264">
        <f>IFERROR(_xlfn.XLOOKUP(B264, HoldSummary!$A:$A, HoldSummary!H:H), 0)</f>
        <v>24.048623576389218</v>
      </c>
      <c r="AJ264">
        <f>IFERROR(_xlfn.XLOOKUP(B264, HoldSummary!$A:$A, HoldSummary!I:I), 0)</f>
        <v>0</v>
      </c>
      <c r="AK264">
        <f t="shared" si="45"/>
        <v>71.98836421296437</v>
      </c>
      <c r="AL264">
        <f t="shared" si="46"/>
        <v>135.3526774537022</v>
      </c>
      <c r="AM264">
        <f t="shared" si="47"/>
        <v>9.3943441203737166</v>
      </c>
      <c r="AN264" s="12">
        <f t="shared" si="48"/>
        <v>96.833333333335759</v>
      </c>
      <c r="AO264">
        <f t="shared" si="49"/>
        <v>0</v>
      </c>
    </row>
    <row r="265" spans="1:41" x14ac:dyDescent="0.35">
      <c r="A265" t="s">
        <v>23</v>
      </c>
      <c r="B265" t="s">
        <v>648</v>
      </c>
      <c r="C265" t="s">
        <v>51</v>
      </c>
      <c r="D265" t="s">
        <v>44</v>
      </c>
      <c r="E265" t="s">
        <v>45</v>
      </c>
      <c r="F265" t="s">
        <v>28</v>
      </c>
      <c r="G265">
        <v>11</v>
      </c>
      <c r="H265" t="s">
        <v>649</v>
      </c>
      <c r="I265" t="s">
        <v>30</v>
      </c>
      <c r="J265" t="s">
        <v>31</v>
      </c>
      <c r="K265" t="s">
        <v>48</v>
      </c>
      <c r="L265" t="s">
        <v>49</v>
      </c>
      <c r="N265" s="2">
        <v>45295.903055555558</v>
      </c>
      <c r="O265" s="2">
        <v>45338.208333333336</v>
      </c>
      <c r="P265" s="2">
        <v>45387.166666666664</v>
      </c>
      <c r="Q265" s="2">
        <v>45363</v>
      </c>
      <c r="R265" s="2">
        <v>45366.85916010417</v>
      </c>
      <c r="T265" s="2">
        <v>45303.208333333336</v>
      </c>
      <c r="U265" s="2">
        <v>45355.208333333336</v>
      </c>
      <c r="V265" s="2">
        <v>45355.208333333336</v>
      </c>
      <c r="W265" s="2">
        <v>45359.208333333336</v>
      </c>
      <c r="X265" s="3">
        <f t="shared" si="40"/>
        <v>52</v>
      </c>
      <c r="Y265">
        <f t="shared" si="41"/>
        <v>4</v>
      </c>
      <c r="Z265">
        <f t="shared" si="42"/>
        <v>56</v>
      </c>
      <c r="AA265">
        <f t="shared" si="43"/>
        <v>67.09694444444176</v>
      </c>
      <c r="AB265">
        <f t="shared" si="44"/>
        <v>11.09694444444176</v>
      </c>
      <c r="AC265">
        <f>IFERROR(_xlfn.XLOOKUP(B265, HoldSummary!$A:$A, HoldSummary!B:B), 0)</f>
        <v>0</v>
      </c>
      <c r="AD265">
        <f>IFERROR(_xlfn.XLOOKUP(B265, HoldSummary!$A:$A, HoldSummary!C:C), 0)</f>
        <v>0</v>
      </c>
      <c r="AE265">
        <f>IFERROR(_xlfn.XLOOKUP(B265, HoldSummary!$A:$A, HoldSummary!D:D), 0)</f>
        <v>0</v>
      </c>
      <c r="AF265">
        <f>IFERROR(_xlfn.XLOOKUP(B265, HoldSummary!$A:$A, HoldSummary!E:E), 0)</f>
        <v>0</v>
      </c>
      <c r="AG265">
        <f>IFERROR(_xlfn.XLOOKUP(B265, HoldSummary!$A:$A, HoldSummary!F:F), 0)</f>
        <v>0</v>
      </c>
      <c r="AH265">
        <f>IFERROR(_xlfn.XLOOKUP(B265, HoldSummary!$A:$A, HoldSummary!G:G), 0)</f>
        <v>45.839112175926857</v>
      </c>
      <c r="AI265">
        <f>IFERROR(_xlfn.XLOOKUP(B265, HoldSummary!$A:$A, HoldSummary!H:H), 0)</f>
        <v>0</v>
      </c>
      <c r="AJ265">
        <f>IFERROR(_xlfn.XLOOKUP(B265, HoldSummary!$A:$A, HoldSummary!I:I), 0)</f>
        <v>0</v>
      </c>
      <c r="AK265">
        <f t="shared" si="45"/>
        <v>45.839112175926857</v>
      </c>
      <c r="AL265">
        <f t="shared" si="46"/>
        <v>21.257832268514903</v>
      </c>
      <c r="AM265">
        <f t="shared" si="47"/>
        <v>-34.742167731485097</v>
      </c>
      <c r="AN265" s="12">
        <f t="shared" si="48"/>
        <v>24.791666666664241</v>
      </c>
      <c r="AO265">
        <f t="shared" si="49"/>
        <v>0</v>
      </c>
    </row>
    <row r="266" spans="1:41" x14ac:dyDescent="0.35">
      <c r="A266" t="s">
        <v>23</v>
      </c>
      <c r="B266">
        <v>96147</v>
      </c>
      <c r="C266" t="s">
        <v>54</v>
      </c>
      <c r="D266" t="s">
        <v>44</v>
      </c>
      <c r="E266" t="s">
        <v>55</v>
      </c>
      <c r="F266" t="s">
        <v>28</v>
      </c>
      <c r="G266">
        <v>11</v>
      </c>
      <c r="H266" t="s">
        <v>650</v>
      </c>
      <c r="I266" t="s">
        <v>30</v>
      </c>
      <c r="J266" t="s">
        <v>70</v>
      </c>
      <c r="K266" t="s">
        <v>57</v>
      </c>
      <c r="L266" t="s">
        <v>58</v>
      </c>
      <c r="N266" s="2">
        <v>44938.208333333336</v>
      </c>
      <c r="O266" s="2">
        <v>45387.166666666664</v>
      </c>
      <c r="P266" s="2">
        <v>45786.166666666664</v>
      </c>
      <c r="Q266" s="2">
        <v>45782</v>
      </c>
      <c r="R266" s="2">
        <v>45784.891706631941</v>
      </c>
      <c r="S266" t="s">
        <v>651</v>
      </c>
      <c r="T266" s="2">
        <v>45589.166666666664</v>
      </c>
      <c r="U266" s="2">
        <v>45672.208333333336</v>
      </c>
      <c r="V266" s="2">
        <v>45672.208333333336</v>
      </c>
      <c r="W266" s="2">
        <v>45673.208333333336</v>
      </c>
      <c r="X266" s="3">
        <f t="shared" si="40"/>
        <v>83.041666666671517</v>
      </c>
      <c r="Y266">
        <f t="shared" si="41"/>
        <v>1</v>
      </c>
      <c r="Z266">
        <f t="shared" si="42"/>
        <v>84.041666666671517</v>
      </c>
      <c r="AA266">
        <f t="shared" si="43"/>
        <v>843.79166666666424</v>
      </c>
      <c r="AB266">
        <f t="shared" si="44"/>
        <v>759.74999999999272</v>
      </c>
      <c r="AC266">
        <f>IFERROR(_xlfn.XLOOKUP(B266, HoldSummary!$A:$A, HoldSummary!B:B), 0)</f>
        <v>0</v>
      </c>
      <c r="AD266">
        <f>IFERROR(_xlfn.XLOOKUP(B266, HoldSummary!$A:$A, HoldSummary!C:C), 0)</f>
        <v>0</v>
      </c>
      <c r="AE266">
        <f>IFERROR(_xlfn.XLOOKUP(B266, HoldSummary!$A:$A, HoldSummary!D:D), 0)</f>
        <v>0</v>
      </c>
      <c r="AF266">
        <f>IFERROR(_xlfn.XLOOKUP(B266, HoldSummary!$A:$A, HoldSummary!E:E), 0)</f>
        <v>0</v>
      </c>
      <c r="AG266">
        <f>IFERROR(_xlfn.XLOOKUP(B266, HoldSummary!$A:$A, HoldSummary!F:F), 0)</f>
        <v>0</v>
      </c>
      <c r="AH266">
        <f>IFERROR(_xlfn.XLOOKUP(B266, HoldSummary!$A:$A, HoldSummary!G:G), 0)</f>
        <v>0</v>
      </c>
      <c r="AI266">
        <f>IFERROR(_xlfn.XLOOKUP(B266, HoldSummary!$A:$A, HoldSummary!H:H), 0)</f>
        <v>0</v>
      </c>
      <c r="AJ266">
        <f>IFERROR(_xlfn.XLOOKUP(B266, HoldSummary!$A:$A, HoldSummary!I:I), 0)</f>
        <v>0</v>
      </c>
      <c r="AK266">
        <f t="shared" si="45"/>
        <v>0</v>
      </c>
      <c r="AL266">
        <f t="shared" si="46"/>
        <v>843.79166666666424</v>
      </c>
      <c r="AM266">
        <f t="shared" si="47"/>
        <v>759.74999999999272</v>
      </c>
      <c r="AN266" s="12">
        <f t="shared" si="48"/>
        <v>394.83333333333576</v>
      </c>
      <c r="AO266">
        <f t="shared" si="49"/>
        <v>0</v>
      </c>
    </row>
    <row r="267" spans="1:41" x14ac:dyDescent="0.35">
      <c r="A267" t="s">
        <v>23</v>
      </c>
      <c r="B267" t="s">
        <v>652</v>
      </c>
      <c r="C267" t="s">
        <v>36</v>
      </c>
      <c r="D267" t="s">
        <v>44</v>
      </c>
      <c r="E267" t="s">
        <v>45</v>
      </c>
      <c r="F267" t="s">
        <v>28</v>
      </c>
      <c r="G267">
        <v>11</v>
      </c>
      <c r="H267" t="s">
        <v>653</v>
      </c>
      <c r="I267" t="s">
        <v>30</v>
      </c>
      <c r="J267" t="s">
        <v>31</v>
      </c>
      <c r="K267" t="s">
        <v>57</v>
      </c>
      <c r="L267" t="s">
        <v>53</v>
      </c>
      <c r="M267" t="s">
        <v>33</v>
      </c>
      <c r="N267" s="2">
        <v>45440.730937499997</v>
      </c>
      <c r="O267" s="2">
        <v>45610.208333333336</v>
      </c>
      <c r="P267" s="2">
        <v>45635.208333333336</v>
      </c>
      <c r="Q267" s="2">
        <v>45646</v>
      </c>
      <c r="R267" s="2">
        <v>45646.817308217593</v>
      </c>
      <c r="S267" t="s">
        <v>654</v>
      </c>
      <c r="T267" s="2">
        <v>45450.166666666664</v>
      </c>
      <c r="U267" s="2">
        <v>45616.208333333336</v>
      </c>
      <c r="V267" s="2">
        <v>45616.208333333336</v>
      </c>
      <c r="W267" s="2">
        <v>45621.208333333336</v>
      </c>
      <c r="X267" s="3">
        <f t="shared" si="40"/>
        <v>166.04166666667152</v>
      </c>
      <c r="Y267">
        <f t="shared" si="41"/>
        <v>5</v>
      </c>
      <c r="Z267">
        <f t="shared" si="42"/>
        <v>171.04166666667152</v>
      </c>
      <c r="AA267">
        <f t="shared" si="43"/>
        <v>205.2690625000032</v>
      </c>
      <c r="AB267">
        <f t="shared" si="44"/>
        <v>34.227395833331684</v>
      </c>
      <c r="AC267">
        <f>IFERROR(_xlfn.XLOOKUP(B267, HoldSummary!$A:$A, HoldSummary!B:B), 0)</f>
        <v>0</v>
      </c>
      <c r="AD267">
        <f>IFERROR(_xlfn.XLOOKUP(B267, HoldSummary!$A:$A, HoldSummary!C:C), 0)</f>
        <v>0</v>
      </c>
      <c r="AE267">
        <f>IFERROR(_xlfn.XLOOKUP(B267, HoldSummary!$A:$A, HoldSummary!D:D), 0)</f>
        <v>0</v>
      </c>
      <c r="AF267">
        <f>IFERROR(_xlfn.XLOOKUP(B267, HoldSummary!$A:$A, HoldSummary!E:E), 0)</f>
        <v>0</v>
      </c>
      <c r="AG267">
        <f>IFERROR(_xlfn.XLOOKUP(B267, HoldSummary!$A:$A, HoldSummary!F:F), 0)</f>
        <v>0</v>
      </c>
      <c r="AH267">
        <f>IFERROR(_xlfn.XLOOKUP(B267, HoldSummary!$A:$A, HoldSummary!G:G), 0)</f>
        <v>0</v>
      </c>
      <c r="AI267">
        <f>IFERROR(_xlfn.XLOOKUP(B267, HoldSummary!$A:$A, HoldSummary!H:H), 0)</f>
        <v>0</v>
      </c>
      <c r="AJ267">
        <f>IFERROR(_xlfn.XLOOKUP(B267, HoldSummary!$A:$A, HoldSummary!I:I), 0)</f>
        <v>0</v>
      </c>
      <c r="AK267">
        <f t="shared" si="45"/>
        <v>0</v>
      </c>
      <c r="AL267">
        <f t="shared" si="46"/>
        <v>205.2690625000032</v>
      </c>
      <c r="AM267">
        <f t="shared" si="47"/>
        <v>34.227395833331684</v>
      </c>
      <c r="AN267" s="12">
        <f t="shared" si="48"/>
        <v>35.791666666664241</v>
      </c>
      <c r="AO267">
        <f t="shared" si="49"/>
        <v>0</v>
      </c>
    </row>
    <row r="268" spans="1:41" x14ac:dyDescent="0.35">
      <c r="A268" t="s">
        <v>23</v>
      </c>
      <c r="B268" t="s">
        <v>655</v>
      </c>
      <c r="C268" t="s">
        <v>244</v>
      </c>
      <c r="D268" t="s">
        <v>44</v>
      </c>
      <c r="E268" t="s">
        <v>45</v>
      </c>
      <c r="F268" t="s">
        <v>28</v>
      </c>
      <c r="G268">
        <v>11</v>
      </c>
      <c r="H268" t="s">
        <v>656</v>
      </c>
      <c r="I268" t="s">
        <v>30</v>
      </c>
      <c r="J268" t="s">
        <v>31</v>
      </c>
      <c r="K268" t="s">
        <v>38</v>
      </c>
      <c r="L268" t="s">
        <v>53</v>
      </c>
      <c r="M268" t="s">
        <v>81</v>
      </c>
      <c r="N268" s="2">
        <v>45276.03466435185</v>
      </c>
      <c r="O268" s="2">
        <v>45387.166666666664</v>
      </c>
      <c r="P268" s="2">
        <v>45595.166666666664</v>
      </c>
      <c r="Q268" s="2">
        <v>45593</v>
      </c>
      <c r="R268" s="2">
        <v>45594.017148310188</v>
      </c>
      <c r="S268" t="s">
        <v>657</v>
      </c>
      <c r="T268" s="2">
        <v>45561.166666666664</v>
      </c>
      <c r="U268" s="2">
        <v>45568.166666666664</v>
      </c>
      <c r="V268" s="2">
        <v>45568.166666666664</v>
      </c>
      <c r="W268" s="2">
        <v>45569.166666666664</v>
      </c>
      <c r="X268" s="3">
        <f t="shared" si="40"/>
        <v>7</v>
      </c>
      <c r="Y268">
        <f t="shared" si="41"/>
        <v>1</v>
      </c>
      <c r="Z268">
        <f t="shared" si="42"/>
        <v>8</v>
      </c>
      <c r="AA268">
        <f t="shared" si="43"/>
        <v>316.96533564815036</v>
      </c>
      <c r="AB268">
        <f t="shared" si="44"/>
        <v>308.96533564815036</v>
      </c>
      <c r="AC268">
        <f>IFERROR(_xlfn.XLOOKUP(B268, HoldSummary!$A:$A, HoldSummary!B:B), 0)</f>
        <v>14</v>
      </c>
      <c r="AD268">
        <f>IFERROR(_xlfn.XLOOKUP(B268, HoldSummary!$A:$A, HoldSummary!C:C), 0)</f>
        <v>0</v>
      </c>
      <c r="AE268">
        <f>IFERROR(_xlfn.XLOOKUP(B268, HoldSummary!$A:$A, HoldSummary!D:D), 0)</f>
        <v>55</v>
      </c>
      <c r="AF268">
        <f>IFERROR(_xlfn.XLOOKUP(B268, HoldSummary!$A:$A, HoldSummary!E:E), 0)</f>
        <v>0</v>
      </c>
      <c r="AG268">
        <f>IFERROR(_xlfn.XLOOKUP(B268, HoldSummary!$A:$A, HoldSummary!F:F), 0)</f>
        <v>0</v>
      </c>
      <c r="AH268">
        <f>IFERROR(_xlfn.XLOOKUP(B268, HoldSummary!$A:$A, HoldSummary!G:G), 0)</f>
        <v>5</v>
      </c>
      <c r="AI268">
        <f>IFERROR(_xlfn.XLOOKUP(B268, HoldSummary!$A:$A, HoldSummary!H:H), 0)</f>
        <v>0</v>
      </c>
      <c r="AJ268">
        <f>IFERROR(_xlfn.XLOOKUP(B268, HoldSummary!$A:$A, HoldSummary!I:I), 0)</f>
        <v>0</v>
      </c>
      <c r="AK268">
        <f t="shared" si="45"/>
        <v>74</v>
      </c>
      <c r="AL268">
        <f t="shared" si="46"/>
        <v>242.96533564815036</v>
      </c>
      <c r="AM268">
        <f t="shared" si="47"/>
        <v>234.96533564815036</v>
      </c>
      <c r="AN268" s="12">
        <f t="shared" si="48"/>
        <v>205.83333333333576</v>
      </c>
      <c r="AO268">
        <f t="shared" si="49"/>
        <v>0</v>
      </c>
    </row>
    <row r="269" spans="1:41" x14ac:dyDescent="0.35">
      <c r="A269" t="s">
        <v>23</v>
      </c>
      <c r="B269" t="s">
        <v>658</v>
      </c>
      <c r="C269" t="s">
        <v>54</v>
      </c>
      <c r="D269" t="s">
        <v>44</v>
      </c>
      <c r="E269" t="s">
        <v>45</v>
      </c>
      <c r="F269" t="s">
        <v>28</v>
      </c>
      <c r="G269">
        <v>11</v>
      </c>
      <c r="H269" t="s">
        <v>659</v>
      </c>
      <c r="I269" t="s">
        <v>30</v>
      </c>
      <c r="J269" t="s">
        <v>31</v>
      </c>
      <c r="K269" t="s">
        <v>38</v>
      </c>
      <c r="L269" t="s">
        <v>39</v>
      </c>
      <c r="M269" t="s">
        <v>81</v>
      </c>
      <c r="N269" s="2">
        <v>45464.790752314817</v>
      </c>
      <c r="O269" s="2">
        <v>45621.208333333336</v>
      </c>
      <c r="P269" s="2">
        <v>45623.208333333336</v>
      </c>
      <c r="Q269" s="2">
        <v>45615</v>
      </c>
      <c r="R269" s="2">
        <v>45615.779232060187</v>
      </c>
      <c r="S269" t="s">
        <v>660</v>
      </c>
      <c r="T269" s="2">
        <v>45560.166666666664</v>
      </c>
      <c r="U269" s="2">
        <v>45567.166666666664</v>
      </c>
      <c r="V269" s="2">
        <v>45567.166666666664</v>
      </c>
      <c r="W269" s="2">
        <v>45588.166666666664</v>
      </c>
      <c r="X269" s="3">
        <f t="shared" si="40"/>
        <v>7</v>
      </c>
      <c r="Y269">
        <f t="shared" si="41"/>
        <v>21</v>
      </c>
      <c r="Z269">
        <f t="shared" si="42"/>
        <v>28</v>
      </c>
      <c r="AA269">
        <f t="shared" si="43"/>
        <v>150.20924768518307</v>
      </c>
      <c r="AB269">
        <f t="shared" si="44"/>
        <v>122.20924768518307</v>
      </c>
      <c r="AC269">
        <f>IFERROR(_xlfn.XLOOKUP(B269, HoldSummary!$A:$A, HoldSummary!B:B), 0)</f>
        <v>2</v>
      </c>
      <c r="AD269">
        <f>IFERROR(_xlfn.XLOOKUP(B269, HoldSummary!$A:$A, HoldSummary!C:C), 0)</f>
        <v>0</v>
      </c>
      <c r="AE269">
        <f>IFERROR(_xlfn.XLOOKUP(B269, HoldSummary!$A:$A, HoldSummary!D:D), 0)</f>
        <v>0</v>
      </c>
      <c r="AF269">
        <f>IFERROR(_xlfn.XLOOKUP(B269, HoldSummary!$A:$A, HoldSummary!E:E), 0)</f>
        <v>38</v>
      </c>
      <c r="AG269">
        <f>IFERROR(_xlfn.XLOOKUP(B269, HoldSummary!$A:$A, HoldSummary!F:F), 0)</f>
        <v>0</v>
      </c>
      <c r="AH269">
        <f>IFERROR(_xlfn.XLOOKUP(B269, HoldSummary!$A:$A, HoldSummary!G:G), 0)</f>
        <v>0</v>
      </c>
      <c r="AI269">
        <f>IFERROR(_xlfn.XLOOKUP(B269, HoldSummary!$A:$A, HoldSummary!H:H), 0)</f>
        <v>0</v>
      </c>
      <c r="AJ269">
        <f>IFERROR(_xlfn.XLOOKUP(B269, HoldSummary!$A:$A, HoldSummary!I:I), 0)</f>
        <v>0</v>
      </c>
      <c r="AK269">
        <f t="shared" si="45"/>
        <v>40</v>
      </c>
      <c r="AL269">
        <f t="shared" si="46"/>
        <v>110.20924768518307</v>
      </c>
      <c r="AM269">
        <f t="shared" si="47"/>
        <v>82.209247685183072</v>
      </c>
      <c r="AN269" s="12">
        <f t="shared" si="48"/>
        <v>-6.2083333333357587</v>
      </c>
      <c r="AO269">
        <f t="shared" si="49"/>
        <v>1</v>
      </c>
    </row>
    <row r="270" spans="1:41" x14ac:dyDescent="0.35">
      <c r="A270" t="s">
        <v>23</v>
      </c>
      <c r="B270" t="s">
        <v>661</v>
      </c>
      <c r="C270" t="s">
        <v>135</v>
      </c>
      <c r="D270" t="s">
        <v>44</v>
      </c>
      <c r="E270" t="s">
        <v>45</v>
      </c>
      <c r="F270" t="s">
        <v>28</v>
      </c>
      <c r="G270">
        <v>11</v>
      </c>
      <c r="H270" t="s">
        <v>662</v>
      </c>
      <c r="I270" t="s">
        <v>30</v>
      </c>
      <c r="J270" t="s">
        <v>31</v>
      </c>
      <c r="K270" t="s">
        <v>32</v>
      </c>
      <c r="L270" t="s">
        <v>32</v>
      </c>
      <c r="M270" t="s">
        <v>33</v>
      </c>
      <c r="N270" s="2">
        <v>45271.429942129631</v>
      </c>
      <c r="O270" s="2">
        <v>45593.166666666664</v>
      </c>
      <c r="P270" s="2">
        <v>45593.166666666664</v>
      </c>
      <c r="Q270" s="2">
        <v>45590</v>
      </c>
      <c r="R270" s="2">
        <v>45594.126938321759</v>
      </c>
      <c r="T270" s="2">
        <v>45588.166666666664</v>
      </c>
      <c r="U270" s="2">
        <v>45588.166666666664</v>
      </c>
      <c r="V270" s="2">
        <v>45588.166666666664</v>
      </c>
      <c r="W270" s="2">
        <v>45588.166666666664</v>
      </c>
      <c r="X270" s="3">
        <f t="shared" si="40"/>
        <v>0</v>
      </c>
      <c r="Y270">
        <f t="shared" si="41"/>
        <v>0</v>
      </c>
      <c r="Z270">
        <f t="shared" si="42"/>
        <v>0</v>
      </c>
      <c r="AA270">
        <f t="shared" si="43"/>
        <v>318.57005787036906</v>
      </c>
      <c r="AB270">
        <f t="shared" si="44"/>
        <v>318.57005787036906</v>
      </c>
      <c r="AC270">
        <f>IFERROR(_xlfn.XLOOKUP(B270, HoldSummary!$A:$A, HoldSummary!B:B), 0)</f>
        <v>0</v>
      </c>
      <c r="AD270">
        <f>IFERROR(_xlfn.XLOOKUP(B270, HoldSummary!$A:$A, HoldSummary!C:C), 0)</f>
        <v>0</v>
      </c>
      <c r="AE270">
        <f>IFERROR(_xlfn.XLOOKUP(B270, HoldSummary!$A:$A, HoldSummary!D:D), 0)</f>
        <v>0</v>
      </c>
      <c r="AF270">
        <f>IFERROR(_xlfn.XLOOKUP(B270, HoldSummary!$A:$A, HoldSummary!E:E), 0)</f>
        <v>0</v>
      </c>
      <c r="AG270">
        <f>IFERROR(_xlfn.XLOOKUP(B270, HoldSummary!$A:$A, HoldSummary!F:F), 0)</f>
        <v>0</v>
      </c>
      <c r="AH270">
        <f>IFERROR(_xlfn.XLOOKUP(B270, HoldSummary!$A:$A, HoldSummary!G:G), 0)</f>
        <v>0</v>
      </c>
      <c r="AI270">
        <f>IFERROR(_xlfn.XLOOKUP(B270, HoldSummary!$A:$A, HoldSummary!H:H), 0)</f>
        <v>0</v>
      </c>
      <c r="AJ270">
        <f>IFERROR(_xlfn.XLOOKUP(B270, HoldSummary!$A:$A, HoldSummary!I:I), 0)</f>
        <v>0</v>
      </c>
      <c r="AK270">
        <f t="shared" si="45"/>
        <v>0</v>
      </c>
      <c r="AL270">
        <f t="shared" si="46"/>
        <v>318.57005787036906</v>
      </c>
      <c r="AM270">
        <f t="shared" si="47"/>
        <v>318.57005787036906</v>
      </c>
      <c r="AN270" s="12">
        <f t="shared" si="48"/>
        <v>-3.1666666666642413</v>
      </c>
      <c r="AO270">
        <f t="shared" si="49"/>
        <v>1</v>
      </c>
    </row>
    <row r="271" spans="1:41" x14ac:dyDescent="0.35">
      <c r="A271" t="s">
        <v>23</v>
      </c>
      <c r="B271" t="s">
        <v>663</v>
      </c>
      <c r="C271" t="s">
        <v>130</v>
      </c>
      <c r="D271" t="s">
        <v>44</v>
      </c>
      <c r="E271" t="s">
        <v>45</v>
      </c>
      <c r="F271" t="s">
        <v>28</v>
      </c>
      <c r="G271">
        <v>11</v>
      </c>
      <c r="H271" t="s">
        <v>664</v>
      </c>
      <c r="I271" t="s">
        <v>30</v>
      </c>
      <c r="J271" t="s">
        <v>31</v>
      </c>
      <c r="K271" t="s">
        <v>38</v>
      </c>
      <c r="L271" t="s">
        <v>39</v>
      </c>
      <c r="M271" t="s">
        <v>33</v>
      </c>
      <c r="N271" s="2">
        <v>45413.757604166669</v>
      </c>
      <c r="O271" s="2">
        <v>45639.208333333336</v>
      </c>
      <c r="P271" s="2">
        <v>45646.208333333336</v>
      </c>
      <c r="Q271" s="2">
        <v>45643</v>
      </c>
      <c r="R271" s="2">
        <v>45644.352013819444</v>
      </c>
      <c r="S271" t="s">
        <v>145</v>
      </c>
      <c r="T271" s="2">
        <v>45566.166666666664</v>
      </c>
      <c r="U271" s="2">
        <v>45566.166666666664</v>
      </c>
      <c r="V271" s="2">
        <v>45566.166666666664</v>
      </c>
      <c r="W271" s="2">
        <v>45616.208333333336</v>
      </c>
      <c r="X271" s="3">
        <f t="shared" si="40"/>
        <v>0</v>
      </c>
      <c r="Y271">
        <f t="shared" si="41"/>
        <v>50.041666666671517</v>
      </c>
      <c r="Z271">
        <f t="shared" si="42"/>
        <v>50.041666666671517</v>
      </c>
      <c r="AA271">
        <f t="shared" si="43"/>
        <v>229.2423958333311</v>
      </c>
      <c r="AB271">
        <f t="shared" si="44"/>
        <v>179.20072916665958</v>
      </c>
      <c r="AC271">
        <f>IFERROR(_xlfn.XLOOKUP(B271, HoldSummary!$A:$A, HoldSummary!B:B), 0)</f>
        <v>80</v>
      </c>
      <c r="AD271">
        <f>IFERROR(_xlfn.XLOOKUP(B271, HoldSummary!$A:$A, HoldSummary!C:C), 0)</f>
        <v>0</v>
      </c>
      <c r="AE271">
        <f>IFERROR(_xlfn.XLOOKUP(B271, HoldSummary!$A:$A, HoldSummary!D:D), 0)</f>
        <v>0</v>
      </c>
      <c r="AF271">
        <f>IFERROR(_xlfn.XLOOKUP(B271, HoldSummary!$A:$A, HoldSummary!E:E), 0)</f>
        <v>0</v>
      </c>
      <c r="AG271">
        <f>IFERROR(_xlfn.XLOOKUP(B271, HoldSummary!$A:$A, HoldSummary!F:F), 0)</f>
        <v>0</v>
      </c>
      <c r="AH271">
        <f>IFERROR(_xlfn.XLOOKUP(B271, HoldSummary!$A:$A, HoldSummary!G:G), 0)</f>
        <v>0</v>
      </c>
      <c r="AI271">
        <f>IFERROR(_xlfn.XLOOKUP(B271, HoldSummary!$A:$A, HoldSummary!H:H), 0)</f>
        <v>0</v>
      </c>
      <c r="AJ271">
        <f>IFERROR(_xlfn.XLOOKUP(B271, HoldSummary!$A:$A, HoldSummary!I:I), 0)</f>
        <v>0</v>
      </c>
      <c r="AK271">
        <f t="shared" si="45"/>
        <v>80</v>
      </c>
      <c r="AL271">
        <f t="shared" si="46"/>
        <v>149.2423958333311</v>
      </c>
      <c r="AM271">
        <f t="shared" si="47"/>
        <v>99.200729166659585</v>
      </c>
      <c r="AN271" s="12">
        <f t="shared" si="48"/>
        <v>3.7916666666642413</v>
      </c>
      <c r="AO271">
        <f t="shared" si="49"/>
        <v>0</v>
      </c>
    </row>
    <row r="272" spans="1:41" x14ac:dyDescent="0.35">
      <c r="A272" t="s">
        <v>23</v>
      </c>
      <c r="B272" t="s">
        <v>665</v>
      </c>
      <c r="C272" t="s">
        <v>76</v>
      </c>
      <c r="D272" t="s">
        <v>44</v>
      </c>
      <c r="E272" t="s">
        <v>45</v>
      </c>
      <c r="F272" t="s">
        <v>28</v>
      </c>
      <c r="G272">
        <v>11</v>
      </c>
      <c r="H272" t="s">
        <v>666</v>
      </c>
      <c r="I272" t="s">
        <v>30</v>
      </c>
      <c r="J272" t="s">
        <v>31</v>
      </c>
      <c r="K272" t="s">
        <v>38</v>
      </c>
      <c r="L272" t="s">
        <v>39</v>
      </c>
      <c r="M272" t="s">
        <v>33</v>
      </c>
      <c r="N272" s="2">
        <v>45562.807627314818</v>
      </c>
      <c r="O272" s="2">
        <v>45796.166666666664</v>
      </c>
      <c r="P272" s="2">
        <v>45729.166666666664</v>
      </c>
      <c r="Q272" s="2">
        <v>45715</v>
      </c>
      <c r="R272" s="2">
        <v>45716.659000092593</v>
      </c>
      <c r="T272" s="2">
        <v>45688.208333333336</v>
      </c>
      <c r="U272" s="2">
        <v>45692.208333333336</v>
      </c>
      <c r="V272" s="2">
        <v>45692.208333333336</v>
      </c>
      <c r="W272" s="2">
        <v>45699.208333333336</v>
      </c>
      <c r="X272" s="3">
        <f t="shared" si="40"/>
        <v>4</v>
      </c>
      <c r="Y272">
        <f t="shared" si="41"/>
        <v>7</v>
      </c>
      <c r="Z272">
        <f t="shared" si="42"/>
        <v>11</v>
      </c>
      <c r="AA272">
        <f t="shared" si="43"/>
        <v>152.19237268518191</v>
      </c>
      <c r="AB272">
        <f t="shared" si="44"/>
        <v>141.19237268518191</v>
      </c>
      <c r="AC272">
        <f>IFERROR(_xlfn.XLOOKUP(B272, HoldSummary!$A:$A, HoldSummary!B:B), 0)</f>
        <v>0</v>
      </c>
      <c r="AD272">
        <f>IFERROR(_xlfn.XLOOKUP(B272, HoldSummary!$A:$A, HoldSummary!C:C), 0)</f>
        <v>0</v>
      </c>
      <c r="AE272">
        <f>IFERROR(_xlfn.XLOOKUP(B272, HoldSummary!$A:$A, HoldSummary!D:D), 0)</f>
        <v>0</v>
      </c>
      <c r="AF272">
        <f>IFERROR(_xlfn.XLOOKUP(B272, HoldSummary!$A:$A, HoldSummary!E:E), 0)</f>
        <v>0</v>
      </c>
      <c r="AG272">
        <f>IFERROR(_xlfn.XLOOKUP(B272, HoldSummary!$A:$A, HoldSummary!F:F), 0)</f>
        <v>0</v>
      </c>
      <c r="AH272">
        <f>IFERROR(_xlfn.XLOOKUP(B272, HoldSummary!$A:$A, HoldSummary!G:G), 0)</f>
        <v>0</v>
      </c>
      <c r="AI272">
        <f>IFERROR(_xlfn.XLOOKUP(B272, HoldSummary!$A:$A, HoldSummary!H:H), 0)</f>
        <v>0</v>
      </c>
      <c r="AJ272">
        <f>IFERROR(_xlfn.XLOOKUP(B272, HoldSummary!$A:$A, HoldSummary!I:I), 0)</f>
        <v>0</v>
      </c>
      <c r="AK272">
        <f t="shared" si="45"/>
        <v>0</v>
      </c>
      <c r="AL272">
        <f t="shared" si="46"/>
        <v>152.19237268518191</v>
      </c>
      <c r="AM272">
        <f t="shared" si="47"/>
        <v>141.19237268518191</v>
      </c>
      <c r="AN272" s="12">
        <f t="shared" si="48"/>
        <v>-81.166666666664241</v>
      </c>
      <c r="AO272">
        <f t="shared" si="49"/>
        <v>1</v>
      </c>
    </row>
    <row r="273" spans="1:41" x14ac:dyDescent="0.35">
      <c r="A273" t="s">
        <v>23</v>
      </c>
      <c r="B273" t="s">
        <v>667</v>
      </c>
      <c r="C273" t="s">
        <v>36</v>
      </c>
      <c r="D273" t="s">
        <v>44</v>
      </c>
      <c r="E273" t="s">
        <v>45</v>
      </c>
      <c r="F273" t="s">
        <v>28</v>
      </c>
      <c r="G273">
        <v>11</v>
      </c>
      <c r="H273" t="s">
        <v>668</v>
      </c>
      <c r="I273" t="s">
        <v>30</v>
      </c>
      <c r="J273" t="s">
        <v>300</v>
      </c>
      <c r="K273" t="s">
        <v>174</v>
      </c>
      <c r="L273" t="s">
        <v>174</v>
      </c>
      <c r="M273" t="s">
        <v>33</v>
      </c>
      <c r="N273" s="2">
        <v>45601.612870370373</v>
      </c>
      <c r="O273" s="2">
        <v>45635.208333333336</v>
      </c>
      <c r="P273" s="2">
        <v>45644.208333333336</v>
      </c>
      <c r="Q273" s="2">
        <v>45639</v>
      </c>
      <c r="R273" s="2">
        <v>45642.851859317132</v>
      </c>
      <c r="S273" t="s">
        <v>654</v>
      </c>
      <c r="T273" s="2"/>
      <c r="U273" s="2"/>
      <c r="V273" s="2"/>
      <c r="W273" s="2"/>
      <c r="X273" s="3" t="str">
        <f t="shared" si="40"/>
        <v/>
      </c>
      <c r="Y273" t="str">
        <f t="shared" si="41"/>
        <v/>
      </c>
      <c r="Z273">
        <f t="shared" si="42"/>
        <v>0</v>
      </c>
      <c r="AA273">
        <f t="shared" si="43"/>
        <v>37.387129629627452</v>
      </c>
      <c r="AB273">
        <f t="shared" si="44"/>
        <v>37.387129629627452</v>
      </c>
      <c r="AC273">
        <f>IFERROR(_xlfn.XLOOKUP(B273, HoldSummary!$A:$A, HoldSummary!B:B), 0)</f>
        <v>0</v>
      </c>
      <c r="AD273">
        <f>IFERROR(_xlfn.XLOOKUP(B273, HoldSummary!$A:$A, HoldSummary!C:C), 0)</f>
        <v>0</v>
      </c>
      <c r="AE273">
        <f>IFERROR(_xlfn.XLOOKUP(B273, HoldSummary!$A:$A, HoldSummary!D:D), 0)</f>
        <v>0</v>
      </c>
      <c r="AF273">
        <f>IFERROR(_xlfn.XLOOKUP(B273, HoldSummary!$A:$A, HoldSummary!E:E), 0)</f>
        <v>0</v>
      </c>
      <c r="AG273">
        <f>IFERROR(_xlfn.XLOOKUP(B273, HoldSummary!$A:$A, HoldSummary!F:F), 0)</f>
        <v>0</v>
      </c>
      <c r="AH273">
        <f>IFERROR(_xlfn.XLOOKUP(B273, HoldSummary!$A:$A, HoldSummary!G:G), 0)</f>
        <v>0</v>
      </c>
      <c r="AI273">
        <f>IFERROR(_xlfn.XLOOKUP(B273, HoldSummary!$A:$A, HoldSummary!H:H), 0)</f>
        <v>0</v>
      </c>
      <c r="AJ273">
        <f>IFERROR(_xlfn.XLOOKUP(B273, HoldSummary!$A:$A, HoldSummary!I:I), 0)</f>
        <v>0</v>
      </c>
      <c r="AK273">
        <f t="shared" si="45"/>
        <v>0</v>
      </c>
      <c r="AL273">
        <f t="shared" si="46"/>
        <v>37.387129629627452</v>
      </c>
      <c r="AM273">
        <f t="shared" si="47"/>
        <v>37.387129629627452</v>
      </c>
      <c r="AN273" s="12">
        <f t="shared" si="48"/>
        <v>3.7916666666642413</v>
      </c>
      <c r="AO273">
        <f t="shared" si="49"/>
        <v>0</v>
      </c>
    </row>
    <row r="274" spans="1:41" x14ac:dyDescent="0.35">
      <c r="A274" t="s">
        <v>23</v>
      </c>
      <c r="B274" t="s">
        <v>669</v>
      </c>
      <c r="C274" t="s">
        <v>130</v>
      </c>
      <c r="D274" t="s">
        <v>44</v>
      </c>
      <c r="E274" t="s">
        <v>45</v>
      </c>
      <c r="F274" t="s">
        <v>28</v>
      </c>
      <c r="G274">
        <v>11</v>
      </c>
      <c r="H274" t="s">
        <v>670</v>
      </c>
      <c r="I274" t="s">
        <v>30</v>
      </c>
      <c r="J274" t="s">
        <v>31</v>
      </c>
      <c r="K274" t="s">
        <v>38</v>
      </c>
      <c r="L274" t="s">
        <v>39</v>
      </c>
      <c r="M274" t="s">
        <v>81</v>
      </c>
      <c r="N274" s="2">
        <v>45575.638703703706</v>
      </c>
      <c r="O274" s="2">
        <v>45778.166666666664</v>
      </c>
      <c r="P274" s="2">
        <v>45772.166666666664</v>
      </c>
      <c r="Q274" s="2">
        <v>45747</v>
      </c>
      <c r="R274" s="2">
        <v>45747.69961822917</v>
      </c>
      <c r="T274" s="2">
        <v>45723.208333333336</v>
      </c>
      <c r="U274" s="2">
        <v>45723.208333333336</v>
      </c>
      <c r="V274" s="2">
        <v>45726.166666666664</v>
      </c>
      <c r="W274" s="2">
        <v>45743.166666666664</v>
      </c>
      <c r="X274" s="3">
        <f t="shared" si="40"/>
        <v>0</v>
      </c>
      <c r="Y274">
        <f t="shared" si="41"/>
        <v>17</v>
      </c>
      <c r="Z274">
        <f t="shared" si="42"/>
        <v>17</v>
      </c>
      <c r="AA274">
        <f t="shared" si="43"/>
        <v>171.36129629629431</v>
      </c>
      <c r="AB274">
        <f t="shared" si="44"/>
        <v>154.36129629629431</v>
      </c>
      <c r="AC274">
        <f>IFERROR(_xlfn.XLOOKUP(B274, HoldSummary!$A:$A, HoldSummary!B:B), 0)</f>
        <v>0</v>
      </c>
      <c r="AD274">
        <f>IFERROR(_xlfn.XLOOKUP(B274, HoldSummary!$A:$A, HoldSummary!C:C), 0)</f>
        <v>55</v>
      </c>
      <c r="AE274">
        <f>IFERROR(_xlfn.XLOOKUP(B274, HoldSummary!$A:$A, HoldSummary!D:D), 0)</f>
        <v>0</v>
      </c>
      <c r="AF274">
        <f>IFERROR(_xlfn.XLOOKUP(B274, HoldSummary!$A:$A, HoldSummary!E:E), 0)</f>
        <v>0</v>
      </c>
      <c r="AG274">
        <f>IFERROR(_xlfn.XLOOKUP(B274, HoldSummary!$A:$A, HoldSummary!F:F), 0)</f>
        <v>0</v>
      </c>
      <c r="AH274">
        <f>IFERROR(_xlfn.XLOOKUP(B274, HoldSummary!$A:$A, HoldSummary!G:G), 0)</f>
        <v>0</v>
      </c>
      <c r="AI274">
        <f>IFERROR(_xlfn.XLOOKUP(B274, HoldSummary!$A:$A, HoldSummary!H:H), 0)</f>
        <v>0</v>
      </c>
      <c r="AJ274">
        <f>IFERROR(_xlfn.XLOOKUP(B274, HoldSummary!$A:$A, HoldSummary!I:I), 0)</f>
        <v>0</v>
      </c>
      <c r="AK274">
        <f t="shared" si="45"/>
        <v>55</v>
      </c>
      <c r="AL274">
        <f t="shared" si="46"/>
        <v>116.36129629629431</v>
      </c>
      <c r="AM274">
        <f t="shared" si="47"/>
        <v>99.361296296294313</v>
      </c>
      <c r="AN274" s="12">
        <f t="shared" si="48"/>
        <v>-31.166666666664241</v>
      </c>
      <c r="AO274">
        <f t="shared" si="49"/>
        <v>1</v>
      </c>
    </row>
    <row r="275" spans="1:41" x14ac:dyDescent="0.35">
      <c r="A275" t="s">
        <v>23</v>
      </c>
      <c r="B275" t="s">
        <v>671</v>
      </c>
      <c r="C275" t="s">
        <v>36</v>
      </c>
      <c r="D275" t="s">
        <v>44</v>
      </c>
      <c r="E275" t="s">
        <v>45</v>
      </c>
      <c r="F275" t="s">
        <v>28</v>
      </c>
      <c r="G275">
        <v>11</v>
      </c>
      <c r="H275" t="s">
        <v>672</v>
      </c>
      <c r="I275" t="s">
        <v>30</v>
      </c>
      <c r="J275" t="s">
        <v>31</v>
      </c>
      <c r="K275" t="s">
        <v>48</v>
      </c>
      <c r="L275" t="s">
        <v>49</v>
      </c>
      <c r="M275" t="s">
        <v>81</v>
      </c>
      <c r="N275" s="2">
        <v>45621.557708333334</v>
      </c>
      <c r="O275" s="2">
        <v>45646.208333333336</v>
      </c>
      <c r="P275" s="2">
        <v>45687.208333333336</v>
      </c>
      <c r="Q275" s="2">
        <v>45687</v>
      </c>
      <c r="R275" s="2">
        <v>45688.568062696759</v>
      </c>
      <c r="S275" t="s">
        <v>115</v>
      </c>
      <c r="T275" s="2"/>
      <c r="U275" s="2"/>
      <c r="V275" s="2"/>
      <c r="W275" s="2"/>
      <c r="X275" s="3" t="str">
        <f t="shared" si="40"/>
        <v/>
      </c>
      <c r="Y275" t="str">
        <f t="shared" si="41"/>
        <v/>
      </c>
      <c r="Z275">
        <f t="shared" si="42"/>
        <v>0</v>
      </c>
      <c r="AA275">
        <f t="shared" si="43"/>
        <v>65.442291666666279</v>
      </c>
      <c r="AB275">
        <f t="shared" si="44"/>
        <v>65.442291666666279</v>
      </c>
      <c r="AC275">
        <f>IFERROR(_xlfn.XLOOKUP(B275, HoldSummary!$A:$A, HoldSummary!B:B), 0)</f>
        <v>0</v>
      </c>
      <c r="AD275">
        <f>IFERROR(_xlfn.XLOOKUP(B275, HoldSummary!$A:$A, HoldSummary!C:C), 0)</f>
        <v>0</v>
      </c>
      <c r="AE275">
        <f>IFERROR(_xlfn.XLOOKUP(B275, HoldSummary!$A:$A, HoldSummary!D:D), 0)</f>
        <v>0</v>
      </c>
      <c r="AF275">
        <f>IFERROR(_xlfn.XLOOKUP(B275, HoldSummary!$A:$A, HoldSummary!E:E), 0)</f>
        <v>0</v>
      </c>
      <c r="AG275">
        <f>IFERROR(_xlfn.XLOOKUP(B275, HoldSummary!$A:$A, HoldSummary!F:F), 0)</f>
        <v>0</v>
      </c>
      <c r="AH275">
        <f>IFERROR(_xlfn.XLOOKUP(B275, HoldSummary!$A:$A, HoldSummary!G:G), 0)</f>
        <v>0</v>
      </c>
      <c r="AI275">
        <f>IFERROR(_xlfn.XLOOKUP(B275, HoldSummary!$A:$A, HoldSummary!H:H), 0)</f>
        <v>0</v>
      </c>
      <c r="AJ275">
        <f>IFERROR(_xlfn.XLOOKUP(B275, HoldSummary!$A:$A, HoldSummary!I:I), 0)</f>
        <v>0</v>
      </c>
      <c r="AK275">
        <f t="shared" si="45"/>
        <v>0</v>
      </c>
      <c r="AL275">
        <f t="shared" si="46"/>
        <v>65.442291666666279</v>
      </c>
      <c r="AM275">
        <f t="shared" si="47"/>
        <v>65.442291666666279</v>
      </c>
      <c r="AN275" s="12">
        <f t="shared" si="48"/>
        <v>40.791666666664241</v>
      </c>
      <c r="AO275">
        <f t="shared" si="49"/>
        <v>0</v>
      </c>
    </row>
    <row r="276" spans="1:41" x14ac:dyDescent="0.35">
      <c r="A276" t="s">
        <v>23</v>
      </c>
      <c r="B276" t="s">
        <v>673</v>
      </c>
      <c r="C276" t="s">
        <v>461</v>
      </c>
      <c r="D276" t="s">
        <v>44</v>
      </c>
      <c r="E276" t="s">
        <v>45</v>
      </c>
      <c r="F276" t="s">
        <v>28</v>
      </c>
      <c r="G276">
        <v>11</v>
      </c>
      <c r="H276" t="s">
        <v>674</v>
      </c>
      <c r="I276" t="s">
        <v>30</v>
      </c>
      <c r="J276" t="s">
        <v>31</v>
      </c>
      <c r="K276" t="s">
        <v>38</v>
      </c>
      <c r="L276" t="s">
        <v>39</v>
      </c>
      <c r="M276" t="s">
        <v>33</v>
      </c>
      <c r="N276" s="2">
        <v>45628.762928240743</v>
      </c>
      <c r="O276" s="2">
        <v>45646.208333333336</v>
      </c>
      <c r="P276" s="2">
        <v>45646.208333333336</v>
      </c>
      <c r="Q276" s="2">
        <v>45645</v>
      </c>
      <c r="R276" s="2">
        <v>45645.85997208333</v>
      </c>
      <c r="T276" s="2"/>
      <c r="U276" s="2"/>
      <c r="V276" s="2"/>
      <c r="W276" s="2"/>
      <c r="X276" s="3" t="str">
        <f t="shared" si="40"/>
        <v/>
      </c>
      <c r="Y276" t="str">
        <f t="shared" si="41"/>
        <v/>
      </c>
      <c r="Z276">
        <f t="shared" si="42"/>
        <v>0</v>
      </c>
      <c r="AA276">
        <f t="shared" si="43"/>
        <v>16.237071759256651</v>
      </c>
      <c r="AB276">
        <f t="shared" si="44"/>
        <v>16.237071759256651</v>
      </c>
      <c r="AC276">
        <f>IFERROR(_xlfn.XLOOKUP(B276, HoldSummary!$A:$A, HoldSummary!B:B), 0)</f>
        <v>0</v>
      </c>
      <c r="AD276">
        <f>IFERROR(_xlfn.XLOOKUP(B276, HoldSummary!$A:$A, HoldSummary!C:C), 0)</f>
        <v>0</v>
      </c>
      <c r="AE276">
        <f>IFERROR(_xlfn.XLOOKUP(B276, HoldSummary!$A:$A, HoldSummary!D:D), 0)</f>
        <v>0</v>
      </c>
      <c r="AF276">
        <f>IFERROR(_xlfn.XLOOKUP(B276, HoldSummary!$A:$A, HoldSummary!E:E), 0)</f>
        <v>0</v>
      </c>
      <c r="AG276">
        <f>IFERROR(_xlfn.XLOOKUP(B276, HoldSummary!$A:$A, HoldSummary!F:F), 0)</f>
        <v>0</v>
      </c>
      <c r="AH276">
        <f>IFERROR(_xlfn.XLOOKUP(B276, HoldSummary!$A:$A, HoldSummary!G:G), 0)</f>
        <v>0</v>
      </c>
      <c r="AI276">
        <f>IFERROR(_xlfn.XLOOKUP(B276, HoldSummary!$A:$A, HoldSummary!H:H), 0)</f>
        <v>0</v>
      </c>
      <c r="AJ276">
        <f>IFERROR(_xlfn.XLOOKUP(B276, HoldSummary!$A:$A, HoldSummary!I:I), 0)</f>
        <v>0</v>
      </c>
      <c r="AK276">
        <f t="shared" si="45"/>
        <v>0</v>
      </c>
      <c r="AL276">
        <f t="shared" si="46"/>
        <v>16.237071759256651</v>
      </c>
      <c r="AM276">
        <f t="shared" si="47"/>
        <v>16.237071759256651</v>
      </c>
      <c r="AN276" s="12">
        <f t="shared" si="48"/>
        <v>-1.2083333333357587</v>
      </c>
      <c r="AO276">
        <f t="shared" si="49"/>
        <v>1</v>
      </c>
    </row>
    <row r="277" spans="1:41" x14ac:dyDescent="0.35">
      <c r="A277" t="s">
        <v>23</v>
      </c>
      <c r="B277" t="s">
        <v>675</v>
      </c>
      <c r="C277" t="s">
        <v>54</v>
      </c>
      <c r="D277" t="s">
        <v>44</v>
      </c>
      <c r="E277" t="s">
        <v>27</v>
      </c>
      <c r="F277" t="s">
        <v>28</v>
      </c>
      <c r="G277">
        <v>11</v>
      </c>
      <c r="H277" t="s">
        <v>676</v>
      </c>
      <c r="I277" t="s">
        <v>30</v>
      </c>
      <c r="J277" t="s">
        <v>70</v>
      </c>
      <c r="K277" t="s">
        <v>174</v>
      </c>
      <c r="L277" t="s">
        <v>174</v>
      </c>
      <c r="M277" t="s">
        <v>33</v>
      </c>
      <c r="N277" s="2">
        <v>45589.703773148147</v>
      </c>
      <c r="O277" s="2">
        <v>45980.208333333336</v>
      </c>
      <c r="P277" s="2">
        <v>45980.208333333336</v>
      </c>
      <c r="Q277" s="2">
        <v>45708</v>
      </c>
      <c r="R277" s="2">
        <v>45708.784210069447</v>
      </c>
      <c r="T277" s="2">
        <v>45667.208333333336</v>
      </c>
      <c r="U277" s="2">
        <v>45692.208333333336</v>
      </c>
      <c r="V277" s="2">
        <v>45692.208333333336</v>
      </c>
      <c r="W277" s="2">
        <v>45695.208333333336</v>
      </c>
      <c r="X277" s="3">
        <f t="shared" si="40"/>
        <v>25</v>
      </c>
      <c r="Y277">
        <f t="shared" si="41"/>
        <v>3</v>
      </c>
      <c r="Z277">
        <f t="shared" si="42"/>
        <v>28</v>
      </c>
      <c r="AA277">
        <f t="shared" si="43"/>
        <v>118.29622685185313</v>
      </c>
      <c r="AB277">
        <f t="shared" si="44"/>
        <v>90.296226851853135</v>
      </c>
      <c r="AC277">
        <f>IFERROR(_xlfn.XLOOKUP(B277, HoldSummary!$A:$A, HoldSummary!B:B), 0)</f>
        <v>0</v>
      </c>
      <c r="AD277">
        <f>IFERROR(_xlfn.XLOOKUP(B277, HoldSummary!$A:$A, HoldSummary!C:C), 0)</f>
        <v>0</v>
      </c>
      <c r="AE277">
        <f>IFERROR(_xlfn.XLOOKUP(B277, HoldSummary!$A:$A, HoldSummary!D:D), 0)</f>
        <v>0</v>
      </c>
      <c r="AF277">
        <f>IFERROR(_xlfn.XLOOKUP(B277, HoldSummary!$A:$A, HoldSummary!E:E), 0)</f>
        <v>0</v>
      </c>
      <c r="AG277">
        <f>IFERROR(_xlfn.XLOOKUP(B277, HoldSummary!$A:$A, HoldSummary!F:F), 0)</f>
        <v>0</v>
      </c>
      <c r="AH277">
        <f>IFERROR(_xlfn.XLOOKUP(B277, HoldSummary!$A:$A, HoldSummary!G:G), 0)</f>
        <v>0</v>
      </c>
      <c r="AI277">
        <f>IFERROR(_xlfn.XLOOKUP(B277, HoldSummary!$A:$A, HoldSummary!H:H), 0)</f>
        <v>0</v>
      </c>
      <c r="AJ277">
        <f>IFERROR(_xlfn.XLOOKUP(B277, HoldSummary!$A:$A, HoldSummary!I:I), 0)</f>
        <v>0</v>
      </c>
      <c r="AK277">
        <f t="shared" si="45"/>
        <v>0</v>
      </c>
      <c r="AL277">
        <f t="shared" si="46"/>
        <v>118.29622685185313</v>
      </c>
      <c r="AM277">
        <f t="shared" si="47"/>
        <v>90.296226851853135</v>
      </c>
      <c r="AN277" s="12">
        <f t="shared" si="48"/>
        <v>-272.20833333333576</v>
      </c>
      <c r="AO277">
        <f t="shared" si="49"/>
        <v>1</v>
      </c>
    </row>
    <row r="278" spans="1:41" x14ac:dyDescent="0.35">
      <c r="A278" t="s">
        <v>23</v>
      </c>
      <c r="B278" t="s">
        <v>677</v>
      </c>
      <c r="C278" t="s">
        <v>54</v>
      </c>
      <c r="D278" t="s">
        <v>44</v>
      </c>
      <c r="E278" t="s">
        <v>45</v>
      </c>
      <c r="F278" t="s">
        <v>28</v>
      </c>
      <c r="G278">
        <v>11</v>
      </c>
      <c r="H278" t="s">
        <v>678</v>
      </c>
      <c r="I278" t="s">
        <v>30</v>
      </c>
      <c r="J278" t="s">
        <v>31</v>
      </c>
      <c r="K278" t="s">
        <v>174</v>
      </c>
      <c r="L278" t="s">
        <v>174</v>
      </c>
      <c r="M278" t="s">
        <v>81</v>
      </c>
      <c r="N278" s="2">
        <v>45566.678541666668</v>
      </c>
      <c r="O278" s="2">
        <v>45791.166666666664</v>
      </c>
      <c r="P278" s="2">
        <v>45791.166666666664</v>
      </c>
      <c r="Q278" s="2">
        <v>45786</v>
      </c>
      <c r="R278" s="2">
        <v>45786.666363796299</v>
      </c>
      <c r="S278" t="s">
        <v>679</v>
      </c>
      <c r="T278" s="2">
        <v>45722.208333333336</v>
      </c>
      <c r="U278" s="2">
        <v>45722.208333333336</v>
      </c>
      <c r="V278" s="2">
        <v>45722.208333333336</v>
      </c>
      <c r="W278" s="2">
        <v>45736.166666666664</v>
      </c>
      <c r="X278" s="3">
        <f t="shared" si="40"/>
        <v>0</v>
      </c>
      <c r="Y278">
        <f t="shared" si="41"/>
        <v>13.958333333328483</v>
      </c>
      <c r="Z278">
        <f t="shared" si="42"/>
        <v>13.958333333328483</v>
      </c>
      <c r="AA278">
        <f t="shared" si="43"/>
        <v>219.32145833333198</v>
      </c>
      <c r="AB278">
        <f t="shared" si="44"/>
        <v>205.36312500000349</v>
      </c>
      <c r="AC278">
        <f>IFERROR(_xlfn.XLOOKUP(B278, HoldSummary!$A:$A, HoldSummary!B:B), 0)</f>
        <v>17</v>
      </c>
      <c r="AD278">
        <f>IFERROR(_xlfn.XLOOKUP(B278, HoldSummary!$A:$A, HoldSummary!C:C), 0)</f>
        <v>13</v>
      </c>
      <c r="AE278">
        <f>IFERROR(_xlfn.XLOOKUP(B278, HoldSummary!$A:$A, HoldSummary!D:D), 0)</f>
        <v>0</v>
      </c>
      <c r="AF278">
        <f>IFERROR(_xlfn.XLOOKUP(B278, HoldSummary!$A:$A, HoldSummary!E:E), 0)</f>
        <v>0</v>
      </c>
      <c r="AG278">
        <f>IFERROR(_xlfn.XLOOKUP(B278, HoldSummary!$A:$A, HoldSummary!F:F), 0)</f>
        <v>0</v>
      </c>
      <c r="AH278">
        <f>IFERROR(_xlfn.XLOOKUP(B278, HoldSummary!$A:$A, HoldSummary!G:G), 0)</f>
        <v>0</v>
      </c>
      <c r="AI278">
        <f>IFERROR(_xlfn.XLOOKUP(B278, HoldSummary!$A:$A, HoldSummary!H:H), 0)</f>
        <v>0</v>
      </c>
      <c r="AJ278">
        <f>IFERROR(_xlfn.XLOOKUP(B278, HoldSummary!$A:$A, HoldSummary!I:I), 0)</f>
        <v>0</v>
      </c>
      <c r="AK278">
        <f t="shared" si="45"/>
        <v>30</v>
      </c>
      <c r="AL278">
        <f t="shared" si="46"/>
        <v>189.32145833333198</v>
      </c>
      <c r="AM278">
        <f t="shared" si="47"/>
        <v>175.36312500000349</v>
      </c>
      <c r="AN278" s="12">
        <f t="shared" si="48"/>
        <v>-5.1666666666642413</v>
      </c>
      <c r="AO278">
        <f t="shared" si="49"/>
        <v>1</v>
      </c>
    </row>
    <row r="279" spans="1:41" x14ac:dyDescent="0.35">
      <c r="A279" t="s">
        <v>23</v>
      </c>
      <c r="B279" t="s">
        <v>680</v>
      </c>
      <c r="C279" t="s">
        <v>36</v>
      </c>
      <c r="D279" t="s">
        <v>44</v>
      </c>
      <c r="E279" t="s">
        <v>45</v>
      </c>
      <c r="F279" t="s">
        <v>28</v>
      </c>
      <c r="G279">
        <v>11</v>
      </c>
      <c r="H279" t="s">
        <v>681</v>
      </c>
      <c r="I279" t="s">
        <v>30</v>
      </c>
      <c r="J279" t="s">
        <v>31</v>
      </c>
      <c r="K279" t="s">
        <v>174</v>
      </c>
      <c r="L279" t="s">
        <v>174</v>
      </c>
      <c r="M279" t="s">
        <v>81</v>
      </c>
      <c r="N279" s="2">
        <v>45672.767824074072</v>
      </c>
      <c r="O279" s="2">
        <v>45730.166666666664</v>
      </c>
      <c r="P279" s="2">
        <v>45779.166666666664</v>
      </c>
      <c r="Q279" s="2">
        <v>45777</v>
      </c>
      <c r="R279" s="2">
        <v>45777.62769587963</v>
      </c>
      <c r="S279" t="s">
        <v>682</v>
      </c>
      <c r="T279" s="2">
        <v>45691.208333333336</v>
      </c>
      <c r="U279" s="2">
        <v>45714.208333333336</v>
      </c>
      <c r="V279" s="2">
        <v>45714.208333333336</v>
      </c>
      <c r="W279" s="2">
        <v>45749.166666666664</v>
      </c>
      <c r="X279" s="3">
        <f t="shared" si="40"/>
        <v>23</v>
      </c>
      <c r="Y279">
        <f t="shared" si="41"/>
        <v>34.958333333328483</v>
      </c>
      <c r="Z279">
        <f t="shared" si="42"/>
        <v>57.958333333328483</v>
      </c>
      <c r="AA279">
        <f t="shared" si="43"/>
        <v>104.23217592592846</v>
      </c>
      <c r="AB279">
        <f t="shared" si="44"/>
        <v>46.273842592599976</v>
      </c>
      <c r="AC279">
        <f>IFERROR(_xlfn.XLOOKUP(B279, HoldSummary!$A:$A, HoldSummary!B:B), 0)</f>
        <v>0</v>
      </c>
      <c r="AD279">
        <f>IFERROR(_xlfn.XLOOKUP(B279, HoldSummary!$A:$A, HoldSummary!C:C), 0)</f>
        <v>0</v>
      </c>
      <c r="AE279">
        <f>IFERROR(_xlfn.XLOOKUP(B279, HoldSummary!$A:$A, HoldSummary!D:D), 0)</f>
        <v>0</v>
      </c>
      <c r="AF279">
        <f>IFERROR(_xlfn.XLOOKUP(B279, HoldSummary!$A:$A, HoldSummary!E:E), 0)</f>
        <v>0</v>
      </c>
      <c r="AG279">
        <f>IFERROR(_xlfn.XLOOKUP(B279, HoldSummary!$A:$A, HoldSummary!F:F), 0)</f>
        <v>0</v>
      </c>
      <c r="AH279">
        <f>IFERROR(_xlfn.XLOOKUP(B279, HoldSummary!$A:$A, HoldSummary!G:G), 0)</f>
        <v>0</v>
      </c>
      <c r="AI279">
        <f>IFERROR(_xlfn.XLOOKUP(B279, HoldSummary!$A:$A, HoldSummary!H:H), 0)</f>
        <v>0</v>
      </c>
      <c r="AJ279">
        <f>IFERROR(_xlfn.XLOOKUP(B279, HoldSummary!$A:$A, HoldSummary!I:I), 0)</f>
        <v>0</v>
      </c>
      <c r="AK279">
        <f t="shared" si="45"/>
        <v>0</v>
      </c>
      <c r="AL279">
        <f t="shared" si="46"/>
        <v>104.23217592592846</v>
      </c>
      <c r="AM279">
        <f t="shared" si="47"/>
        <v>46.273842592599976</v>
      </c>
      <c r="AN279" s="12">
        <f t="shared" si="48"/>
        <v>46.833333333335759</v>
      </c>
      <c r="AO279">
        <f t="shared" si="49"/>
        <v>0</v>
      </c>
    </row>
    <row r="280" spans="1:41" x14ac:dyDescent="0.35">
      <c r="A280" t="s">
        <v>23</v>
      </c>
      <c r="B280" t="s">
        <v>683</v>
      </c>
      <c r="C280" t="s">
        <v>36</v>
      </c>
      <c r="D280" t="s">
        <v>44</v>
      </c>
      <c r="E280" t="s">
        <v>45</v>
      </c>
      <c r="F280" t="s">
        <v>28</v>
      </c>
      <c r="G280">
        <v>11</v>
      </c>
      <c r="H280" t="s">
        <v>684</v>
      </c>
      <c r="I280" t="s">
        <v>30</v>
      </c>
      <c r="J280" t="s">
        <v>31</v>
      </c>
      <c r="K280" t="s">
        <v>38</v>
      </c>
      <c r="L280" t="s">
        <v>53</v>
      </c>
      <c r="M280" t="s">
        <v>33</v>
      </c>
      <c r="N280" s="2">
        <v>45692.947870370372</v>
      </c>
      <c r="O280" s="2">
        <v>45721.208333333336</v>
      </c>
      <c r="P280" s="2">
        <v>45716.208333333336</v>
      </c>
      <c r="Q280" s="2">
        <v>45713</v>
      </c>
      <c r="R280" s="2">
        <v>45714.574538217596</v>
      </c>
      <c r="T280" s="2">
        <v>45695.208333333336</v>
      </c>
      <c r="U280" s="2">
        <v>45701.208333333336</v>
      </c>
      <c r="V280" s="2">
        <v>45701.208333333336</v>
      </c>
      <c r="W280" s="2">
        <v>45708.208333333336</v>
      </c>
      <c r="X280" s="3">
        <f t="shared" si="40"/>
        <v>6</v>
      </c>
      <c r="Y280">
        <f t="shared" si="41"/>
        <v>7</v>
      </c>
      <c r="Z280">
        <f t="shared" si="42"/>
        <v>13</v>
      </c>
      <c r="AA280">
        <f t="shared" si="43"/>
        <v>20.052129629628325</v>
      </c>
      <c r="AB280">
        <f t="shared" si="44"/>
        <v>7.0521296296283253</v>
      </c>
      <c r="AC280">
        <f>IFERROR(_xlfn.XLOOKUP(B280, HoldSummary!$A:$A, HoldSummary!B:B), 0)</f>
        <v>0</v>
      </c>
      <c r="AD280">
        <f>IFERROR(_xlfn.XLOOKUP(B280, HoldSummary!$A:$A, HoldSummary!C:C), 0)</f>
        <v>0</v>
      </c>
      <c r="AE280">
        <f>IFERROR(_xlfn.XLOOKUP(B280, HoldSummary!$A:$A, HoldSummary!D:D), 0)</f>
        <v>0</v>
      </c>
      <c r="AF280">
        <f>IFERROR(_xlfn.XLOOKUP(B280, HoldSummary!$A:$A, HoldSummary!E:E), 0)</f>
        <v>0</v>
      </c>
      <c r="AG280">
        <f>IFERROR(_xlfn.XLOOKUP(B280, HoldSummary!$A:$A, HoldSummary!F:F), 0)</f>
        <v>0</v>
      </c>
      <c r="AH280">
        <f>IFERROR(_xlfn.XLOOKUP(B280, HoldSummary!$A:$A, HoldSummary!G:G), 0)</f>
        <v>0</v>
      </c>
      <c r="AI280">
        <f>IFERROR(_xlfn.XLOOKUP(B280, HoldSummary!$A:$A, HoldSummary!H:H), 0)</f>
        <v>0</v>
      </c>
      <c r="AJ280">
        <f>IFERROR(_xlfn.XLOOKUP(B280, HoldSummary!$A:$A, HoldSummary!I:I), 0)</f>
        <v>0</v>
      </c>
      <c r="AK280">
        <f t="shared" si="45"/>
        <v>0</v>
      </c>
      <c r="AL280">
        <f t="shared" si="46"/>
        <v>20.052129629628325</v>
      </c>
      <c r="AM280">
        <f t="shared" si="47"/>
        <v>7.0521296296283253</v>
      </c>
      <c r="AN280" s="12">
        <f t="shared" si="48"/>
        <v>-8.2083333333357587</v>
      </c>
      <c r="AO280">
        <f t="shared" si="49"/>
        <v>1</v>
      </c>
    </row>
    <row r="281" spans="1:41" x14ac:dyDescent="0.35">
      <c r="A281" t="s">
        <v>23</v>
      </c>
      <c r="B281" t="s">
        <v>685</v>
      </c>
      <c r="C281" t="s">
        <v>244</v>
      </c>
      <c r="D281" t="s">
        <v>44</v>
      </c>
      <c r="E281" t="s">
        <v>27</v>
      </c>
      <c r="F281" t="s">
        <v>28</v>
      </c>
      <c r="G281">
        <v>11</v>
      </c>
      <c r="H281" t="s">
        <v>686</v>
      </c>
      <c r="I281" t="s">
        <v>30</v>
      </c>
      <c r="J281" t="s">
        <v>31</v>
      </c>
      <c r="K281" t="s">
        <v>38</v>
      </c>
      <c r="L281" t="s">
        <v>39</v>
      </c>
      <c r="M281" t="s">
        <v>33</v>
      </c>
      <c r="N281" s="2">
        <v>45694.398506944446</v>
      </c>
      <c r="O281" s="2">
        <v>45796.166666666664</v>
      </c>
      <c r="P281" s="2">
        <v>45796.166666666664</v>
      </c>
      <c r="Q281" s="2">
        <v>45783</v>
      </c>
      <c r="R281" s="2">
        <v>45783.9947841088</v>
      </c>
      <c r="S281" t="s">
        <v>687</v>
      </c>
      <c r="T281" s="2">
        <v>45754.166666666664</v>
      </c>
      <c r="U281" s="2">
        <v>45758.166666666664</v>
      </c>
      <c r="V281" s="2">
        <v>45768.166666666664</v>
      </c>
      <c r="W281" s="2">
        <v>45762.166666666664</v>
      </c>
      <c r="X281" s="3">
        <f t="shared" si="40"/>
        <v>4</v>
      </c>
      <c r="Y281">
        <f t="shared" si="41"/>
        <v>-6</v>
      </c>
      <c r="Z281">
        <f t="shared" si="42"/>
        <v>-2</v>
      </c>
      <c r="AA281">
        <f t="shared" si="43"/>
        <v>88.601493055553874</v>
      </c>
      <c r="AB281">
        <f t="shared" si="44"/>
        <v>90.601493055553874</v>
      </c>
      <c r="AC281">
        <f>IFERROR(_xlfn.XLOOKUP(B281, HoldSummary!$A:$A, HoldSummary!B:B), 0)</f>
        <v>2</v>
      </c>
      <c r="AD281">
        <f>IFERROR(_xlfn.XLOOKUP(B281, HoldSummary!$A:$A, HoldSummary!C:C), 0)</f>
        <v>14</v>
      </c>
      <c r="AE281">
        <f>IFERROR(_xlfn.XLOOKUP(B281, HoldSummary!$A:$A, HoldSummary!D:D), 0)</f>
        <v>0</v>
      </c>
      <c r="AF281">
        <f>IFERROR(_xlfn.XLOOKUP(B281, HoldSummary!$A:$A, HoldSummary!E:E), 0)</f>
        <v>0</v>
      </c>
      <c r="AG281">
        <f>IFERROR(_xlfn.XLOOKUP(B281, HoldSummary!$A:$A, HoldSummary!F:F), 0)</f>
        <v>0</v>
      </c>
      <c r="AH281">
        <f>IFERROR(_xlfn.XLOOKUP(B281, HoldSummary!$A:$A, HoldSummary!G:G), 0)</f>
        <v>0</v>
      </c>
      <c r="AI281">
        <f>IFERROR(_xlfn.XLOOKUP(B281, HoldSummary!$A:$A, HoldSummary!H:H), 0)</f>
        <v>0</v>
      </c>
      <c r="AJ281">
        <f>IFERROR(_xlfn.XLOOKUP(B281, HoldSummary!$A:$A, HoldSummary!I:I), 0)</f>
        <v>0</v>
      </c>
      <c r="AK281">
        <f t="shared" si="45"/>
        <v>16</v>
      </c>
      <c r="AL281">
        <f t="shared" si="46"/>
        <v>72.601493055553874</v>
      </c>
      <c r="AM281">
        <f t="shared" si="47"/>
        <v>74.601493055553874</v>
      </c>
      <c r="AN281" s="12">
        <f t="shared" si="48"/>
        <v>-13.166666666664241</v>
      </c>
      <c r="AO281">
        <f t="shared" si="49"/>
        <v>1</v>
      </c>
    </row>
    <row r="282" spans="1:41" x14ac:dyDescent="0.35">
      <c r="A282" t="s">
        <v>23</v>
      </c>
      <c r="B282" t="s">
        <v>688</v>
      </c>
      <c r="C282" t="s">
        <v>135</v>
      </c>
      <c r="D282" t="s">
        <v>44</v>
      </c>
      <c r="E282" t="s">
        <v>45</v>
      </c>
      <c r="F282" t="s">
        <v>28</v>
      </c>
      <c r="G282">
        <v>11</v>
      </c>
      <c r="H282" t="s">
        <v>689</v>
      </c>
      <c r="I282" t="s">
        <v>30</v>
      </c>
      <c r="J282" t="s">
        <v>31</v>
      </c>
      <c r="K282" t="s">
        <v>32</v>
      </c>
      <c r="L282" t="s">
        <v>32</v>
      </c>
      <c r="M282" t="s">
        <v>33</v>
      </c>
      <c r="N282" s="2">
        <v>45729.560300925928</v>
      </c>
      <c r="O282" s="2">
        <v>45827.166666666664</v>
      </c>
      <c r="P282" s="2">
        <v>45827.166666666664</v>
      </c>
      <c r="Q282" s="2">
        <v>45814</v>
      </c>
      <c r="R282" s="2">
        <v>45817.846330289351</v>
      </c>
      <c r="S282" t="s">
        <v>97</v>
      </c>
      <c r="T282" s="2">
        <v>45792.166666666664</v>
      </c>
      <c r="U282" s="2">
        <v>45792.166666666664</v>
      </c>
      <c r="V282" s="2">
        <v>45792.166666666664</v>
      </c>
      <c r="W282" s="2">
        <v>45799.166666666664</v>
      </c>
      <c r="X282" s="3">
        <f t="shared" si="40"/>
        <v>0</v>
      </c>
      <c r="Y282">
        <f t="shared" si="41"/>
        <v>7</v>
      </c>
      <c r="Z282">
        <f t="shared" si="42"/>
        <v>7</v>
      </c>
      <c r="AA282">
        <f t="shared" si="43"/>
        <v>84.439699074071541</v>
      </c>
      <c r="AB282">
        <f t="shared" si="44"/>
        <v>77.439699074071541</v>
      </c>
      <c r="AC282">
        <f>IFERROR(_xlfn.XLOOKUP(B282, HoldSummary!$A:$A, HoldSummary!B:B), 0)</f>
        <v>0</v>
      </c>
      <c r="AD282">
        <f>IFERROR(_xlfn.XLOOKUP(B282, HoldSummary!$A:$A, HoldSummary!C:C), 0)</f>
        <v>0</v>
      </c>
      <c r="AE282">
        <f>IFERROR(_xlfn.XLOOKUP(B282, HoldSummary!$A:$A, HoldSummary!D:D), 0)</f>
        <v>0</v>
      </c>
      <c r="AF282">
        <f>IFERROR(_xlfn.XLOOKUP(B282, HoldSummary!$A:$A, HoldSummary!E:E), 0)</f>
        <v>0</v>
      </c>
      <c r="AG282">
        <f>IFERROR(_xlfn.XLOOKUP(B282, HoldSummary!$A:$A, HoldSummary!F:F), 0)</f>
        <v>0</v>
      </c>
      <c r="AH282">
        <f>IFERROR(_xlfn.XLOOKUP(B282, HoldSummary!$A:$A, HoldSummary!G:G), 0)</f>
        <v>0</v>
      </c>
      <c r="AI282">
        <f>IFERROR(_xlfn.XLOOKUP(B282, HoldSummary!$A:$A, HoldSummary!H:H), 0)</f>
        <v>0</v>
      </c>
      <c r="AJ282">
        <f>IFERROR(_xlfn.XLOOKUP(B282, HoldSummary!$A:$A, HoldSummary!I:I), 0)</f>
        <v>0</v>
      </c>
      <c r="AK282">
        <f t="shared" si="45"/>
        <v>0</v>
      </c>
      <c r="AL282">
        <f t="shared" si="46"/>
        <v>84.439699074071541</v>
      </c>
      <c r="AM282">
        <f t="shared" si="47"/>
        <v>77.439699074071541</v>
      </c>
      <c r="AN282" s="12">
        <f t="shared" si="48"/>
        <v>-13.166666666664241</v>
      </c>
      <c r="AO282">
        <f t="shared" si="49"/>
        <v>1</v>
      </c>
    </row>
    <row r="283" spans="1:41" x14ac:dyDescent="0.35">
      <c r="A283" t="s">
        <v>23</v>
      </c>
      <c r="B283" t="s">
        <v>690</v>
      </c>
      <c r="C283" t="s">
        <v>244</v>
      </c>
      <c r="D283" t="s">
        <v>44</v>
      </c>
      <c r="E283" t="s">
        <v>27</v>
      </c>
      <c r="F283" t="s">
        <v>28</v>
      </c>
      <c r="G283">
        <v>11</v>
      </c>
      <c r="H283" t="s">
        <v>691</v>
      </c>
      <c r="I283" t="s">
        <v>30</v>
      </c>
      <c r="J283" t="s">
        <v>31</v>
      </c>
      <c r="K283" t="s">
        <v>38</v>
      </c>
      <c r="L283" t="s">
        <v>39</v>
      </c>
      <c r="M283" t="s">
        <v>33</v>
      </c>
      <c r="N283" s="2">
        <v>45770.672893518517</v>
      </c>
      <c r="O283" s="2">
        <v>45828.166666666664</v>
      </c>
      <c r="P283" s="2">
        <v>45828.166666666664</v>
      </c>
      <c r="Q283" s="2">
        <v>45828</v>
      </c>
      <c r="R283" s="2">
        <v>45828.80615837963</v>
      </c>
      <c r="S283" t="s">
        <v>692</v>
      </c>
      <c r="T283" s="2">
        <v>45783.166666666664</v>
      </c>
      <c r="U283" s="2">
        <v>45789.166666666664</v>
      </c>
      <c r="V283" s="2">
        <v>45789.166666666664</v>
      </c>
      <c r="W283" s="2">
        <v>45820.166666666664</v>
      </c>
      <c r="X283" s="3">
        <f t="shared" si="40"/>
        <v>6</v>
      </c>
      <c r="Y283">
        <f t="shared" si="41"/>
        <v>31</v>
      </c>
      <c r="Z283">
        <f t="shared" si="42"/>
        <v>37</v>
      </c>
      <c r="AA283">
        <f t="shared" si="43"/>
        <v>57.327106481483497</v>
      </c>
      <c r="AB283">
        <f t="shared" si="44"/>
        <v>20.327106481483497</v>
      </c>
      <c r="AC283">
        <f>IFERROR(_xlfn.XLOOKUP(B283, HoldSummary!$A:$A, HoldSummary!B:B), 0)</f>
        <v>0</v>
      </c>
      <c r="AD283">
        <f>IFERROR(_xlfn.XLOOKUP(B283, HoldSummary!$A:$A, HoldSummary!C:C), 0)</f>
        <v>0</v>
      </c>
      <c r="AE283">
        <f>IFERROR(_xlfn.XLOOKUP(B283, HoldSummary!$A:$A, HoldSummary!D:D), 0)</f>
        <v>0</v>
      </c>
      <c r="AF283">
        <f>IFERROR(_xlfn.XLOOKUP(B283, HoldSummary!$A:$A, HoldSummary!E:E), 0)</f>
        <v>0</v>
      </c>
      <c r="AG283">
        <f>IFERROR(_xlfn.XLOOKUP(B283, HoldSummary!$A:$A, HoldSummary!F:F), 0)</f>
        <v>0</v>
      </c>
      <c r="AH283">
        <f>IFERROR(_xlfn.XLOOKUP(B283, HoldSummary!$A:$A, HoldSummary!G:G), 0)</f>
        <v>0</v>
      </c>
      <c r="AI283">
        <f>IFERROR(_xlfn.XLOOKUP(B283, HoldSummary!$A:$A, HoldSummary!H:H), 0)</f>
        <v>0</v>
      </c>
      <c r="AJ283">
        <f>IFERROR(_xlfn.XLOOKUP(B283, HoldSummary!$A:$A, HoldSummary!I:I), 0)</f>
        <v>0</v>
      </c>
      <c r="AK283">
        <f t="shared" si="45"/>
        <v>0</v>
      </c>
      <c r="AL283">
        <f t="shared" si="46"/>
        <v>57.327106481483497</v>
      </c>
      <c r="AM283">
        <f t="shared" si="47"/>
        <v>20.327106481483497</v>
      </c>
      <c r="AN283" s="12">
        <f t="shared" si="48"/>
        <v>-0.16666666666424135</v>
      </c>
      <c r="AO283">
        <f t="shared" si="49"/>
        <v>1</v>
      </c>
    </row>
    <row r="284" spans="1:41" x14ac:dyDescent="0.35">
      <c r="A284" t="s">
        <v>23</v>
      </c>
      <c r="B284" t="s">
        <v>693</v>
      </c>
      <c r="C284" t="s">
        <v>36</v>
      </c>
      <c r="D284" t="s">
        <v>44</v>
      </c>
      <c r="E284" t="s">
        <v>45</v>
      </c>
      <c r="F284" t="s">
        <v>28</v>
      </c>
      <c r="G284">
        <v>11</v>
      </c>
      <c r="H284" t="s">
        <v>694</v>
      </c>
      <c r="I284" t="s">
        <v>30</v>
      </c>
      <c r="J284" t="s">
        <v>31</v>
      </c>
      <c r="K284" t="s">
        <v>48</v>
      </c>
      <c r="L284" t="s">
        <v>695</v>
      </c>
      <c r="M284" t="s">
        <v>33</v>
      </c>
      <c r="N284" s="2">
        <v>45770.834502314814</v>
      </c>
      <c r="O284" s="2">
        <v>45805.166666666664</v>
      </c>
      <c r="P284" s="2">
        <v>45805.166666666664</v>
      </c>
      <c r="Q284" s="2">
        <v>45796</v>
      </c>
      <c r="R284" s="2">
        <v>45796.79034172454</v>
      </c>
      <c r="S284" t="s">
        <v>696</v>
      </c>
      <c r="T284" s="2">
        <v>45790.166666666664</v>
      </c>
      <c r="U284" s="2">
        <v>45790.166666666664</v>
      </c>
      <c r="V284" s="2"/>
      <c r="W284" s="2">
        <v>45790.166666666664</v>
      </c>
      <c r="X284" s="3">
        <f t="shared" si="40"/>
        <v>0</v>
      </c>
      <c r="Y284" t="str">
        <f t="shared" si="41"/>
        <v/>
      </c>
      <c r="Z284">
        <f t="shared" si="42"/>
        <v>0</v>
      </c>
      <c r="AA284">
        <f t="shared" si="43"/>
        <v>25.165497685185983</v>
      </c>
      <c r="AB284">
        <f t="shared" si="44"/>
        <v>25.165497685185983</v>
      </c>
      <c r="AC284">
        <f>IFERROR(_xlfn.XLOOKUP(B284, HoldSummary!$A:$A, HoldSummary!B:B), 0)</f>
        <v>0</v>
      </c>
      <c r="AD284">
        <f>IFERROR(_xlfn.XLOOKUP(B284, HoldSummary!$A:$A, HoldSummary!C:C), 0)</f>
        <v>0</v>
      </c>
      <c r="AE284">
        <f>IFERROR(_xlfn.XLOOKUP(B284, HoldSummary!$A:$A, HoldSummary!D:D), 0)</f>
        <v>0</v>
      </c>
      <c r="AF284">
        <f>IFERROR(_xlfn.XLOOKUP(B284, HoldSummary!$A:$A, HoldSummary!E:E), 0)</f>
        <v>0</v>
      </c>
      <c r="AG284">
        <f>IFERROR(_xlfn.XLOOKUP(B284, HoldSummary!$A:$A, HoldSummary!F:F), 0)</f>
        <v>0</v>
      </c>
      <c r="AH284">
        <f>IFERROR(_xlfn.XLOOKUP(B284, HoldSummary!$A:$A, HoldSummary!G:G), 0)</f>
        <v>0</v>
      </c>
      <c r="AI284">
        <f>IFERROR(_xlfn.XLOOKUP(B284, HoldSummary!$A:$A, HoldSummary!H:H), 0)</f>
        <v>0</v>
      </c>
      <c r="AJ284">
        <f>IFERROR(_xlfn.XLOOKUP(B284, HoldSummary!$A:$A, HoldSummary!I:I), 0)</f>
        <v>0</v>
      </c>
      <c r="AK284">
        <f t="shared" si="45"/>
        <v>0</v>
      </c>
      <c r="AL284">
        <f t="shared" si="46"/>
        <v>25.165497685185983</v>
      </c>
      <c r="AM284">
        <f t="shared" si="47"/>
        <v>25.165497685185983</v>
      </c>
      <c r="AN284" s="12">
        <f t="shared" si="48"/>
        <v>-9.1666666666642413</v>
      </c>
      <c r="AO284">
        <f t="shared" si="49"/>
        <v>1</v>
      </c>
    </row>
    <row r="285" spans="1:41" x14ac:dyDescent="0.35">
      <c r="A285" t="s">
        <v>23</v>
      </c>
      <c r="B285" t="s">
        <v>697</v>
      </c>
      <c r="C285" t="s">
        <v>36</v>
      </c>
      <c r="D285" t="s">
        <v>44</v>
      </c>
      <c r="E285" t="s">
        <v>45</v>
      </c>
      <c r="F285" t="s">
        <v>28</v>
      </c>
      <c r="G285">
        <v>11</v>
      </c>
      <c r="H285" t="s">
        <v>698</v>
      </c>
      <c r="I285" t="s">
        <v>30</v>
      </c>
      <c r="J285" t="s">
        <v>31</v>
      </c>
      <c r="K285" t="s">
        <v>174</v>
      </c>
      <c r="L285" t="s">
        <v>53</v>
      </c>
      <c r="M285" t="s">
        <v>33</v>
      </c>
      <c r="N285" s="2">
        <v>45782.529074074075</v>
      </c>
      <c r="O285" s="2">
        <v>45811.166666666664</v>
      </c>
      <c r="P285" s="2">
        <v>45849.166666666664</v>
      </c>
      <c r="Q285" s="2">
        <v>45847</v>
      </c>
      <c r="R285" s="2">
        <v>45848.75843361111</v>
      </c>
      <c r="S285" t="s">
        <v>699</v>
      </c>
      <c r="T285" s="2">
        <v>45798.166666666664</v>
      </c>
      <c r="U285" s="2">
        <v>45798.166666666664</v>
      </c>
      <c r="V285" s="2">
        <v>45799.166666666664</v>
      </c>
      <c r="W285" s="2">
        <v>45806.166666666664</v>
      </c>
      <c r="X285" s="3">
        <f t="shared" si="40"/>
        <v>0</v>
      </c>
      <c r="Y285">
        <f t="shared" si="41"/>
        <v>7</v>
      </c>
      <c r="Z285">
        <f t="shared" si="42"/>
        <v>7</v>
      </c>
      <c r="AA285">
        <f t="shared" si="43"/>
        <v>64.470925925925258</v>
      </c>
      <c r="AB285">
        <f t="shared" si="44"/>
        <v>57.470925925925258</v>
      </c>
      <c r="AC285">
        <f>IFERROR(_xlfn.XLOOKUP(B285, HoldSummary!$A:$A, HoldSummary!B:B), 0)</f>
        <v>0</v>
      </c>
      <c r="AD285">
        <f>IFERROR(_xlfn.XLOOKUP(B285, HoldSummary!$A:$A, HoldSummary!C:C), 0)</f>
        <v>0</v>
      </c>
      <c r="AE285">
        <f>IFERROR(_xlfn.XLOOKUP(B285, HoldSummary!$A:$A, HoldSummary!D:D), 0)</f>
        <v>0</v>
      </c>
      <c r="AF285">
        <f>IFERROR(_xlfn.XLOOKUP(B285, HoldSummary!$A:$A, HoldSummary!E:E), 0)</f>
        <v>0</v>
      </c>
      <c r="AG285">
        <f>IFERROR(_xlfn.XLOOKUP(B285, HoldSummary!$A:$A, HoldSummary!F:F), 0)</f>
        <v>0</v>
      </c>
      <c r="AH285">
        <f>IFERROR(_xlfn.XLOOKUP(B285, HoldSummary!$A:$A, HoldSummary!G:G), 0)</f>
        <v>0</v>
      </c>
      <c r="AI285">
        <f>IFERROR(_xlfn.XLOOKUP(B285, HoldSummary!$A:$A, HoldSummary!H:H), 0)</f>
        <v>0</v>
      </c>
      <c r="AJ285">
        <f>IFERROR(_xlfn.XLOOKUP(B285, HoldSummary!$A:$A, HoldSummary!I:I), 0)</f>
        <v>19</v>
      </c>
      <c r="AK285">
        <f t="shared" si="45"/>
        <v>19</v>
      </c>
      <c r="AL285">
        <f t="shared" si="46"/>
        <v>45.470925925925258</v>
      </c>
      <c r="AM285">
        <f t="shared" si="47"/>
        <v>38.470925925925258</v>
      </c>
      <c r="AN285" s="12">
        <f t="shared" si="48"/>
        <v>35.833333333335759</v>
      </c>
      <c r="AO285">
        <f t="shared" si="49"/>
        <v>0</v>
      </c>
    </row>
    <row r="286" spans="1:41" x14ac:dyDescent="0.35">
      <c r="A286" t="s">
        <v>23</v>
      </c>
      <c r="B286" t="s">
        <v>700</v>
      </c>
      <c r="C286" t="s">
        <v>409</v>
      </c>
      <c r="D286" t="s">
        <v>44</v>
      </c>
      <c r="E286" t="s">
        <v>27</v>
      </c>
      <c r="F286" t="s">
        <v>28</v>
      </c>
      <c r="G286">
        <v>12</v>
      </c>
      <c r="H286" t="s">
        <v>701</v>
      </c>
      <c r="I286" t="s">
        <v>30</v>
      </c>
      <c r="J286" t="s">
        <v>31</v>
      </c>
      <c r="K286" t="s">
        <v>48</v>
      </c>
      <c r="L286" t="s">
        <v>49</v>
      </c>
      <c r="M286" t="s">
        <v>33</v>
      </c>
      <c r="N286" s="2">
        <v>45357.935115740744</v>
      </c>
      <c r="O286" s="2">
        <v>45742.166666666664</v>
      </c>
      <c r="P286" s="2">
        <v>45832.166666666664</v>
      </c>
      <c r="Q286" s="2">
        <v>45825</v>
      </c>
      <c r="R286" s="2">
        <v>45827.592294629627</v>
      </c>
      <c r="S286" t="s">
        <v>702</v>
      </c>
      <c r="T286" s="2">
        <v>45485.166666666664</v>
      </c>
      <c r="U286" s="2">
        <v>45523.166666666664</v>
      </c>
      <c r="V286" s="2">
        <v>45523.166666666664</v>
      </c>
      <c r="W286" s="2">
        <v>45812.166666666664</v>
      </c>
      <c r="X286" s="3">
        <f t="shared" si="40"/>
        <v>38</v>
      </c>
      <c r="Y286">
        <f t="shared" si="41"/>
        <v>289</v>
      </c>
      <c r="Z286">
        <f t="shared" si="42"/>
        <v>327</v>
      </c>
      <c r="AA286">
        <f t="shared" si="43"/>
        <v>467.06488425925636</v>
      </c>
      <c r="AB286">
        <f t="shared" si="44"/>
        <v>140.06488425925636</v>
      </c>
      <c r="AC286">
        <f>IFERROR(_xlfn.XLOOKUP(B286, HoldSummary!$A:$A, HoldSummary!B:B), 0)</f>
        <v>0</v>
      </c>
      <c r="AD286">
        <f>IFERROR(_xlfn.XLOOKUP(B286, HoldSummary!$A:$A, HoldSummary!C:C), 0)</f>
        <v>15.01931269675697</v>
      </c>
      <c r="AE286">
        <f>IFERROR(_xlfn.XLOOKUP(B286, HoldSummary!$A:$A, HoldSummary!D:D), 0)</f>
        <v>0</v>
      </c>
      <c r="AF286">
        <f>IFERROR(_xlfn.XLOOKUP(B286, HoldSummary!$A:$A, HoldSummary!E:E), 0)</f>
        <v>58.707567025456228</v>
      </c>
      <c r="AG286">
        <f>IFERROR(_xlfn.XLOOKUP(B286, HoldSummary!$A:$A, HoldSummary!F:F), 0)</f>
        <v>0.9997204398168833</v>
      </c>
      <c r="AH286">
        <f>IFERROR(_xlfn.XLOOKUP(B286, HoldSummary!$A:$A, HoldSummary!G:G), 0)</f>
        <v>0</v>
      </c>
      <c r="AI286">
        <f>IFERROR(_xlfn.XLOOKUP(B286, HoldSummary!$A:$A, HoldSummary!H:H), 0)</f>
        <v>0</v>
      </c>
      <c r="AJ286">
        <f>IFERROR(_xlfn.XLOOKUP(B286, HoldSummary!$A:$A, HoldSummary!I:I), 0)</f>
        <v>0</v>
      </c>
      <c r="AK286">
        <f t="shared" si="45"/>
        <v>74.726600162030081</v>
      </c>
      <c r="AL286">
        <f t="shared" si="46"/>
        <v>392.33828409722628</v>
      </c>
      <c r="AM286">
        <f t="shared" si="47"/>
        <v>65.338284097226278</v>
      </c>
      <c r="AN286" s="12">
        <f t="shared" si="48"/>
        <v>82.833333333335759</v>
      </c>
      <c r="AO286">
        <f t="shared" si="49"/>
        <v>0</v>
      </c>
    </row>
    <row r="287" spans="1:41" x14ac:dyDescent="0.35">
      <c r="A287" t="s">
        <v>23</v>
      </c>
      <c r="B287" t="s">
        <v>703</v>
      </c>
      <c r="C287" t="s">
        <v>409</v>
      </c>
      <c r="D287" t="s">
        <v>44</v>
      </c>
      <c r="E287" t="s">
        <v>45</v>
      </c>
      <c r="F287" t="s">
        <v>28</v>
      </c>
      <c r="G287">
        <v>12</v>
      </c>
      <c r="H287" t="s">
        <v>704</v>
      </c>
      <c r="I287" t="s">
        <v>30</v>
      </c>
      <c r="J287" t="s">
        <v>31</v>
      </c>
      <c r="K287" t="s">
        <v>48</v>
      </c>
      <c r="L287" t="s">
        <v>192</v>
      </c>
      <c r="N287" s="2">
        <v>45358.876759259256</v>
      </c>
      <c r="O287" s="2">
        <v>45596.166666666664</v>
      </c>
      <c r="P287" s="2">
        <v>45596.166666666664</v>
      </c>
      <c r="Q287" s="2">
        <v>45582</v>
      </c>
      <c r="R287" s="2">
        <v>45582.781696458333</v>
      </c>
      <c r="S287" t="s">
        <v>705</v>
      </c>
      <c r="T287" s="2">
        <v>45434.166666666664</v>
      </c>
      <c r="U287" s="2">
        <v>45531.166666666664</v>
      </c>
      <c r="V287" s="2">
        <v>45531.166666666664</v>
      </c>
      <c r="W287" s="2">
        <v>45547.166666666664</v>
      </c>
      <c r="X287" s="3">
        <f t="shared" si="40"/>
        <v>97</v>
      </c>
      <c r="Y287">
        <f t="shared" si="41"/>
        <v>16</v>
      </c>
      <c r="Z287">
        <f t="shared" si="42"/>
        <v>113</v>
      </c>
      <c r="AA287">
        <f t="shared" si="43"/>
        <v>223.12324074074422</v>
      </c>
      <c r="AB287">
        <f t="shared" si="44"/>
        <v>110.12324074074422</v>
      </c>
      <c r="AC287">
        <f>IFERROR(_xlfn.XLOOKUP(B287, HoldSummary!$A:$A, HoldSummary!B:B), 0)</f>
        <v>0</v>
      </c>
      <c r="AD287">
        <f>IFERROR(_xlfn.XLOOKUP(B287, HoldSummary!$A:$A, HoldSummary!C:C), 0)</f>
        <v>0</v>
      </c>
      <c r="AE287">
        <f>IFERROR(_xlfn.XLOOKUP(B287, HoldSummary!$A:$A, HoldSummary!D:D), 0)</f>
        <v>0</v>
      </c>
      <c r="AF287">
        <f>IFERROR(_xlfn.XLOOKUP(B287, HoldSummary!$A:$A, HoldSummary!E:E), 0)</f>
        <v>1.9703209953731857</v>
      </c>
      <c r="AG287">
        <f>IFERROR(_xlfn.XLOOKUP(B287, HoldSummary!$A:$A, HoldSummary!F:F), 0)</f>
        <v>0</v>
      </c>
      <c r="AH287">
        <f>IFERROR(_xlfn.XLOOKUP(B287, HoldSummary!$A:$A, HoldSummary!G:G), 0)</f>
        <v>0</v>
      </c>
      <c r="AI287">
        <f>IFERROR(_xlfn.XLOOKUP(B287, HoldSummary!$A:$A, HoldSummary!H:H), 0)</f>
        <v>0</v>
      </c>
      <c r="AJ287">
        <f>IFERROR(_xlfn.XLOOKUP(B287, HoldSummary!$A:$A, HoldSummary!I:I), 0)</f>
        <v>0</v>
      </c>
      <c r="AK287">
        <f t="shared" si="45"/>
        <v>1.9703209953731857</v>
      </c>
      <c r="AL287">
        <f t="shared" si="46"/>
        <v>221.15291974537104</v>
      </c>
      <c r="AM287">
        <f t="shared" si="47"/>
        <v>108.15291974537104</v>
      </c>
      <c r="AN287" s="12">
        <f t="shared" si="48"/>
        <v>-14.166666666664241</v>
      </c>
      <c r="AO287">
        <f t="shared" si="49"/>
        <v>1</v>
      </c>
    </row>
    <row r="288" spans="1:41" x14ac:dyDescent="0.35">
      <c r="A288" t="s">
        <v>23</v>
      </c>
      <c r="B288" t="s">
        <v>706</v>
      </c>
      <c r="C288" t="s">
        <v>409</v>
      </c>
      <c r="D288" t="s">
        <v>44</v>
      </c>
      <c r="E288" t="s">
        <v>45</v>
      </c>
      <c r="F288" t="s">
        <v>28</v>
      </c>
      <c r="G288">
        <v>12</v>
      </c>
      <c r="H288" t="s">
        <v>707</v>
      </c>
      <c r="I288" t="s">
        <v>30</v>
      </c>
      <c r="J288" t="s">
        <v>31</v>
      </c>
      <c r="K288" t="s">
        <v>48</v>
      </c>
      <c r="L288" t="s">
        <v>49</v>
      </c>
      <c r="M288" t="s">
        <v>81</v>
      </c>
      <c r="N288" s="2">
        <v>45432.659756944442</v>
      </c>
      <c r="O288" s="2">
        <v>45630.208333333336</v>
      </c>
      <c r="P288" s="2">
        <v>45772.166666666664</v>
      </c>
      <c r="Q288" s="2">
        <v>45756</v>
      </c>
      <c r="R288" s="2">
        <v>45756.658140324071</v>
      </c>
      <c r="S288" t="s">
        <v>708</v>
      </c>
      <c r="T288" s="2">
        <v>45581.166666666664</v>
      </c>
      <c r="U288" s="2">
        <v>45660.208333333336</v>
      </c>
      <c r="V288" s="2">
        <v>45693.208333333336</v>
      </c>
      <c r="W288" s="2">
        <v>45737.166666666664</v>
      </c>
      <c r="X288" s="3">
        <f t="shared" si="40"/>
        <v>79.041666666671517</v>
      </c>
      <c r="Y288">
        <f t="shared" si="41"/>
        <v>43.958333333328483</v>
      </c>
      <c r="Z288">
        <f t="shared" si="42"/>
        <v>123</v>
      </c>
      <c r="AA288">
        <f t="shared" si="43"/>
        <v>323.34024305555795</v>
      </c>
      <c r="AB288">
        <f t="shared" si="44"/>
        <v>200.34024305555795</v>
      </c>
      <c r="AC288">
        <f>IFERROR(_xlfn.XLOOKUP(B288, HoldSummary!$A:$A, HoldSummary!B:B), 0)</f>
        <v>44.693074247683398</v>
      </c>
      <c r="AD288">
        <f>IFERROR(_xlfn.XLOOKUP(B288, HoldSummary!$A:$A, HoldSummary!C:C), 0)</f>
        <v>24.723195081016456</v>
      </c>
      <c r="AE288">
        <f>IFERROR(_xlfn.XLOOKUP(B288, HoldSummary!$A:$A, HoldSummary!D:D), 0)</f>
        <v>0</v>
      </c>
      <c r="AF288">
        <f>IFERROR(_xlfn.XLOOKUP(B288, HoldSummary!$A:$A, HoldSummary!E:E), 0)</f>
        <v>0</v>
      </c>
      <c r="AG288">
        <f>IFERROR(_xlfn.XLOOKUP(B288, HoldSummary!$A:$A, HoldSummary!F:F), 0)</f>
        <v>0</v>
      </c>
      <c r="AH288">
        <f>IFERROR(_xlfn.XLOOKUP(B288, HoldSummary!$A:$A, HoldSummary!G:G), 0)</f>
        <v>0</v>
      </c>
      <c r="AI288">
        <f>IFERROR(_xlfn.XLOOKUP(B288, HoldSummary!$A:$A, HoldSummary!H:H), 0)</f>
        <v>0</v>
      </c>
      <c r="AJ288">
        <f>IFERROR(_xlfn.XLOOKUP(B288, HoldSummary!$A:$A, HoldSummary!I:I), 0)</f>
        <v>0</v>
      </c>
      <c r="AK288">
        <f t="shared" si="45"/>
        <v>69.416269328699855</v>
      </c>
      <c r="AL288">
        <f t="shared" si="46"/>
        <v>253.92397372685809</v>
      </c>
      <c r="AM288">
        <f t="shared" si="47"/>
        <v>130.92397372685809</v>
      </c>
      <c r="AN288" s="12">
        <f t="shared" si="48"/>
        <v>125.79166666666424</v>
      </c>
      <c r="AO288">
        <f t="shared" si="49"/>
        <v>0</v>
      </c>
    </row>
    <row r="289" spans="1:41" x14ac:dyDescent="0.35">
      <c r="A289" t="s">
        <v>23</v>
      </c>
      <c r="B289" t="s">
        <v>709</v>
      </c>
      <c r="C289" t="s">
        <v>36</v>
      </c>
      <c r="D289" t="s">
        <v>44</v>
      </c>
      <c r="E289" t="s">
        <v>45</v>
      </c>
      <c r="F289" t="s">
        <v>28</v>
      </c>
      <c r="G289">
        <v>12</v>
      </c>
      <c r="H289" t="s">
        <v>710</v>
      </c>
      <c r="I289" t="s">
        <v>30</v>
      </c>
      <c r="J289" t="s">
        <v>70</v>
      </c>
      <c r="K289" t="s">
        <v>48</v>
      </c>
      <c r="L289" t="s">
        <v>192</v>
      </c>
      <c r="N289" s="2">
        <v>45377.732592592591</v>
      </c>
      <c r="O289" s="2">
        <v>45657.208333333336</v>
      </c>
      <c r="P289" s="2">
        <v>45642.208333333336</v>
      </c>
      <c r="Q289" s="2">
        <v>45630</v>
      </c>
      <c r="R289" s="2">
        <v>45631.773520775459</v>
      </c>
      <c r="S289" t="s">
        <v>711</v>
      </c>
      <c r="T289" s="2">
        <v>45548.166666666664</v>
      </c>
      <c r="U289" s="2">
        <v>45617.208333333336</v>
      </c>
      <c r="V289" s="2">
        <v>45617.208333333336</v>
      </c>
      <c r="W289" s="2">
        <v>45623.208333333336</v>
      </c>
      <c r="X289" s="3">
        <f t="shared" si="40"/>
        <v>69.041666666671517</v>
      </c>
      <c r="Y289">
        <f t="shared" si="41"/>
        <v>6</v>
      </c>
      <c r="Z289">
        <f t="shared" si="42"/>
        <v>75.041666666671517</v>
      </c>
      <c r="AA289">
        <f t="shared" si="43"/>
        <v>252.26740740740934</v>
      </c>
      <c r="AB289">
        <f t="shared" si="44"/>
        <v>177.22574074073782</v>
      </c>
      <c r="AC289">
        <f>IFERROR(_xlfn.XLOOKUP(B289, HoldSummary!$A:$A, HoldSummary!B:B), 0)</f>
        <v>0</v>
      </c>
      <c r="AD289">
        <f>IFERROR(_xlfn.XLOOKUP(B289, HoldSummary!$A:$A, HoldSummary!C:C), 0)</f>
        <v>0</v>
      </c>
      <c r="AE289">
        <f>IFERROR(_xlfn.XLOOKUP(B289, HoldSummary!$A:$A, HoldSummary!D:D), 0)</f>
        <v>0</v>
      </c>
      <c r="AF289">
        <f>IFERROR(_xlfn.XLOOKUP(B289, HoldSummary!$A:$A, HoldSummary!E:E), 0)</f>
        <v>0</v>
      </c>
      <c r="AG289">
        <f>IFERROR(_xlfn.XLOOKUP(B289, HoldSummary!$A:$A, HoldSummary!F:F), 0)</f>
        <v>0</v>
      </c>
      <c r="AH289">
        <f>IFERROR(_xlfn.XLOOKUP(B289, HoldSummary!$A:$A, HoldSummary!G:G), 0)</f>
        <v>0</v>
      </c>
      <c r="AI289">
        <f>IFERROR(_xlfn.XLOOKUP(B289, HoldSummary!$A:$A, HoldSummary!H:H), 0)</f>
        <v>0</v>
      </c>
      <c r="AJ289">
        <f>IFERROR(_xlfn.XLOOKUP(B289, HoldSummary!$A:$A, HoldSummary!I:I), 0)</f>
        <v>0</v>
      </c>
      <c r="AK289">
        <f t="shared" si="45"/>
        <v>0</v>
      </c>
      <c r="AL289">
        <f t="shared" si="46"/>
        <v>252.26740740740934</v>
      </c>
      <c r="AM289">
        <f t="shared" si="47"/>
        <v>177.22574074073782</v>
      </c>
      <c r="AN289" s="12">
        <f t="shared" si="48"/>
        <v>-27.208333333335759</v>
      </c>
      <c r="AO289">
        <f t="shared" si="49"/>
        <v>1</v>
      </c>
    </row>
    <row r="290" spans="1:41" x14ac:dyDescent="0.35">
      <c r="A290" t="s">
        <v>23</v>
      </c>
      <c r="B290" t="s">
        <v>712</v>
      </c>
      <c r="C290" t="s">
        <v>130</v>
      </c>
      <c r="D290" t="s">
        <v>44</v>
      </c>
      <c r="E290" t="s">
        <v>45</v>
      </c>
      <c r="F290" t="s">
        <v>28</v>
      </c>
      <c r="G290">
        <v>12</v>
      </c>
      <c r="H290" t="s">
        <v>713</v>
      </c>
      <c r="I290" t="s">
        <v>30</v>
      </c>
      <c r="J290" t="s">
        <v>31</v>
      </c>
      <c r="K290" t="s">
        <v>48</v>
      </c>
      <c r="L290" t="s">
        <v>192</v>
      </c>
      <c r="M290" t="s">
        <v>33</v>
      </c>
      <c r="N290" s="2">
        <v>45475.618703703702</v>
      </c>
      <c r="O290" s="2">
        <v>45645.208333333336</v>
      </c>
      <c r="P290" s="2">
        <v>45665.208333333336</v>
      </c>
      <c r="Q290" s="2">
        <v>45645</v>
      </c>
      <c r="R290" s="2">
        <v>45645.702308009262</v>
      </c>
      <c r="S290" t="s">
        <v>714</v>
      </c>
      <c r="T290" s="2">
        <v>45541.166666666664</v>
      </c>
      <c r="U290" s="2">
        <v>45588.166666666664</v>
      </c>
      <c r="V290" s="2">
        <v>45588.166666666664</v>
      </c>
      <c r="W290" s="2">
        <v>45642.208333333336</v>
      </c>
      <c r="X290" s="3">
        <f t="shared" si="40"/>
        <v>47</v>
      </c>
      <c r="Y290">
        <f t="shared" si="41"/>
        <v>54.041666666671517</v>
      </c>
      <c r="Z290">
        <f t="shared" si="42"/>
        <v>101.04166666667152</v>
      </c>
      <c r="AA290">
        <f t="shared" si="43"/>
        <v>169.38129629629839</v>
      </c>
      <c r="AB290">
        <f t="shared" si="44"/>
        <v>68.33962962962687</v>
      </c>
      <c r="AC290">
        <f>IFERROR(_xlfn.XLOOKUP(B290, HoldSummary!$A:$A, HoldSummary!B:B), 0)</f>
        <v>14.999541331017099</v>
      </c>
      <c r="AD290">
        <f>IFERROR(_xlfn.XLOOKUP(B290, HoldSummary!$A:$A, HoldSummary!C:C), 0)</f>
        <v>0</v>
      </c>
      <c r="AE290">
        <f>IFERROR(_xlfn.XLOOKUP(B290, HoldSummary!$A:$A, HoldSummary!D:D), 0)</f>
        <v>0</v>
      </c>
      <c r="AF290">
        <f>IFERROR(_xlfn.XLOOKUP(B290, HoldSummary!$A:$A, HoldSummary!E:E), 0)</f>
        <v>0</v>
      </c>
      <c r="AG290">
        <f>IFERROR(_xlfn.XLOOKUP(B290, HoldSummary!$A:$A, HoldSummary!F:F), 0)</f>
        <v>0.86312700231792405</v>
      </c>
      <c r="AH290">
        <f>IFERROR(_xlfn.XLOOKUP(B290, HoldSummary!$A:$A, HoldSummary!G:G), 0)</f>
        <v>0</v>
      </c>
      <c r="AI290">
        <f>IFERROR(_xlfn.XLOOKUP(B290, HoldSummary!$A:$A, HoldSummary!H:H), 0)</f>
        <v>0</v>
      </c>
      <c r="AJ290">
        <f>IFERROR(_xlfn.XLOOKUP(B290, HoldSummary!$A:$A, HoldSummary!I:I), 0)</f>
        <v>0</v>
      </c>
      <c r="AK290">
        <f t="shared" si="45"/>
        <v>15.862668333335023</v>
      </c>
      <c r="AL290">
        <f t="shared" si="46"/>
        <v>153.51862796296336</v>
      </c>
      <c r="AM290">
        <f t="shared" si="47"/>
        <v>52.476961296291847</v>
      </c>
      <c r="AN290" s="12">
        <f t="shared" si="48"/>
        <v>-0.20833333333575865</v>
      </c>
      <c r="AO290">
        <f t="shared" si="49"/>
        <v>1</v>
      </c>
    </row>
    <row r="291" spans="1:41" x14ac:dyDescent="0.35">
      <c r="A291" t="s">
        <v>23</v>
      </c>
      <c r="B291" t="s">
        <v>715</v>
      </c>
      <c r="C291" t="s">
        <v>76</v>
      </c>
      <c r="D291" t="s">
        <v>44</v>
      </c>
      <c r="E291" t="s">
        <v>45</v>
      </c>
      <c r="F291" t="s">
        <v>28</v>
      </c>
      <c r="G291">
        <v>12</v>
      </c>
      <c r="H291" t="s">
        <v>716</v>
      </c>
      <c r="I291" t="s">
        <v>30</v>
      </c>
      <c r="J291" t="s">
        <v>31</v>
      </c>
      <c r="K291" t="s">
        <v>38</v>
      </c>
      <c r="L291" t="s">
        <v>39</v>
      </c>
      <c r="M291" t="s">
        <v>33</v>
      </c>
      <c r="N291" s="2">
        <v>45526.856446759259</v>
      </c>
      <c r="O291" s="2">
        <v>45698.208333333336</v>
      </c>
      <c r="P291" s="2">
        <v>45644.208333333336</v>
      </c>
      <c r="Q291" s="2">
        <v>45617</v>
      </c>
      <c r="R291" s="2">
        <v>45617.828700347221</v>
      </c>
      <c r="S291" t="s">
        <v>717</v>
      </c>
      <c r="T291" s="2">
        <v>45593.166666666664</v>
      </c>
      <c r="U291" s="2">
        <v>45601.208333333336</v>
      </c>
      <c r="V291" s="2">
        <v>45601.208333333336</v>
      </c>
      <c r="W291" s="2">
        <v>45603.208333333336</v>
      </c>
      <c r="X291" s="3">
        <f t="shared" si="40"/>
        <v>8.0416666666715173</v>
      </c>
      <c r="Y291">
        <f t="shared" si="41"/>
        <v>2</v>
      </c>
      <c r="Z291">
        <f t="shared" si="42"/>
        <v>10.041666666671517</v>
      </c>
      <c r="AA291">
        <f t="shared" si="43"/>
        <v>90.143553240741312</v>
      </c>
      <c r="AB291">
        <f t="shared" si="44"/>
        <v>80.101886574069795</v>
      </c>
      <c r="AC291">
        <f>IFERROR(_xlfn.XLOOKUP(B291, HoldSummary!$A:$A, HoldSummary!B:B), 0)</f>
        <v>0</v>
      </c>
      <c r="AD291">
        <f>IFERROR(_xlfn.XLOOKUP(B291, HoldSummary!$A:$A, HoldSummary!C:C), 0)</f>
        <v>0</v>
      </c>
      <c r="AE291">
        <f>IFERROR(_xlfn.XLOOKUP(B291, HoldSummary!$A:$A, HoldSummary!D:D), 0)</f>
        <v>0</v>
      </c>
      <c r="AF291">
        <f>IFERROR(_xlfn.XLOOKUP(B291, HoldSummary!$A:$A, HoldSummary!E:E), 0)</f>
        <v>0</v>
      </c>
      <c r="AG291">
        <f>IFERROR(_xlfn.XLOOKUP(B291, HoldSummary!$A:$A, HoldSummary!F:F), 0)</f>
        <v>0</v>
      </c>
      <c r="AH291">
        <f>IFERROR(_xlfn.XLOOKUP(B291, HoldSummary!$A:$A, HoldSummary!G:G), 0)</f>
        <v>0</v>
      </c>
      <c r="AI291">
        <f>IFERROR(_xlfn.XLOOKUP(B291, HoldSummary!$A:$A, HoldSummary!H:H), 0)</f>
        <v>0</v>
      </c>
      <c r="AJ291">
        <f>IFERROR(_xlfn.XLOOKUP(B291, HoldSummary!$A:$A, HoldSummary!I:I), 0)</f>
        <v>0</v>
      </c>
      <c r="AK291">
        <f t="shared" si="45"/>
        <v>0</v>
      </c>
      <c r="AL291">
        <f t="shared" si="46"/>
        <v>90.143553240741312</v>
      </c>
      <c r="AM291">
        <f t="shared" si="47"/>
        <v>80.101886574069795</v>
      </c>
      <c r="AN291" s="12">
        <f t="shared" si="48"/>
        <v>-81.208333333335759</v>
      </c>
      <c r="AO291">
        <f t="shared" si="49"/>
        <v>1</v>
      </c>
    </row>
    <row r="292" spans="1:41" x14ac:dyDescent="0.35">
      <c r="A292" t="s">
        <v>23</v>
      </c>
      <c r="B292" t="s">
        <v>718</v>
      </c>
      <c r="C292" t="s">
        <v>461</v>
      </c>
      <c r="D292" t="s">
        <v>44</v>
      </c>
      <c r="E292" t="s">
        <v>45</v>
      </c>
      <c r="F292" t="s">
        <v>28</v>
      </c>
      <c r="G292">
        <v>12</v>
      </c>
      <c r="H292" t="s">
        <v>719</v>
      </c>
      <c r="I292" t="s">
        <v>30</v>
      </c>
      <c r="J292" t="s">
        <v>31</v>
      </c>
      <c r="K292" t="s">
        <v>48</v>
      </c>
      <c r="L292" t="s">
        <v>49</v>
      </c>
      <c r="M292" t="s">
        <v>140</v>
      </c>
      <c r="N292" s="2">
        <v>45589.839791666665</v>
      </c>
      <c r="O292" s="2">
        <v>45600.208333333336</v>
      </c>
      <c r="P292" s="2">
        <v>45600.208333333336</v>
      </c>
      <c r="Q292" s="2">
        <v>45600</v>
      </c>
      <c r="R292" s="2">
        <v>45600.810574988427</v>
      </c>
      <c r="T292" s="2">
        <v>45590.166666666664</v>
      </c>
      <c r="U292" s="2">
        <v>45594.166666666664</v>
      </c>
      <c r="V292" s="2">
        <v>45594.166666666664</v>
      </c>
      <c r="W292" s="2">
        <v>45594.166666666664</v>
      </c>
      <c r="X292" s="3">
        <f t="shared" si="40"/>
        <v>4</v>
      </c>
      <c r="Y292">
        <f t="shared" si="41"/>
        <v>0</v>
      </c>
      <c r="Z292">
        <f t="shared" si="42"/>
        <v>4</v>
      </c>
      <c r="AA292">
        <f t="shared" si="43"/>
        <v>10.160208333334594</v>
      </c>
      <c r="AB292">
        <f t="shared" si="44"/>
        <v>6.1602083333345945</v>
      </c>
      <c r="AC292">
        <f>IFERROR(_xlfn.XLOOKUP(B292, HoldSummary!$A:$A, HoldSummary!B:B), 0)</f>
        <v>0</v>
      </c>
      <c r="AD292">
        <f>IFERROR(_xlfn.XLOOKUP(B292, HoldSummary!$A:$A, HoldSummary!C:C), 0)</f>
        <v>0</v>
      </c>
      <c r="AE292">
        <f>IFERROR(_xlfn.XLOOKUP(B292, HoldSummary!$A:$A, HoldSummary!D:D), 0)</f>
        <v>0</v>
      </c>
      <c r="AF292">
        <f>IFERROR(_xlfn.XLOOKUP(B292, HoldSummary!$A:$A, HoldSummary!E:E), 0)</f>
        <v>0</v>
      </c>
      <c r="AG292">
        <f>IFERROR(_xlfn.XLOOKUP(B292, HoldSummary!$A:$A, HoldSummary!F:F), 0)</f>
        <v>0</v>
      </c>
      <c r="AH292">
        <f>IFERROR(_xlfn.XLOOKUP(B292, HoldSummary!$A:$A, HoldSummary!G:G), 0)</f>
        <v>0</v>
      </c>
      <c r="AI292">
        <f>IFERROR(_xlfn.XLOOKUP(B292, HoldSummary!$A:$A, HoldSummary!H:H), 0)</f>
        <v>0</v>
      </c>
      <c r="AJ292">
        <f>IFERROR(_xlfn.XLOOKUP(B292, HoldSummary!$A:$A, HoldSummary!I:I), 0)</f>
        <v>0</v>
      </c>
      <c r="AK292">
        <f t="shared" si="45"/>
        <v>0</v>
      </c>
      <c r="AL292">
        <f t="shared" si="46"/>
        <v>10.160208333334594</v>
      </c>
      <c r="AM292">
        <f t="shared" si="47"/>
        <v>6.1602083333345945</v>
      </c>
      <c r="AN292" s="12">
        <f t="shared" si="48"/>
        <v>-0.20833333333575865</v>
      </c>
      <c r="AO292">
        <f t="shared" si="49"/>
        <v>1</v>
      </c>
    </row>
    <row r="293" spans="1:41" x14ac:dyDescent="0.35">
      <c r="A293" t="s">
        <v>23</v>
      </c>
      <c r="B293" t="s">
        <v>720</v>
      </c>
      <c r="C293" t="s">
        <v>461</v>
      </c>
      <c r="D293" t="s">
        <v>44</v>
      </c>
      <c r="E293" t="s">
        <v>45</v>
      </c>
      <c r="F293" t="s">
        <v>28</v>
      </c>
      <c r="G293">
        <v>12</v>
      </c>
      <c r="H293" t="s">
        <v>721</v>
      </c>
      <c r="I293" t="s">
        <v>30</v>
      </c>
      <c r="J293" t="s">
        <v>31</v>
      </c>
      <c r="K293" t="s">
        <v>48</v>
      </c>
      <c r="L293" t="s">
        <v>39</v>
      </c>
      <c r="N293" s="2">
        <v>45597.821412037039</v>
      </c>
      <c r="O293" s="2">
        <v>45608.208333333336</v>
      </c>
      <c r="P293" s="2">
        <v>45608.208333333336</v>
      </c>
      <c r="Q293" s="2">
        <v>45609</v>
      </c>
      <c r="R293" s="2">
        <v>45609.913319548614</v>
      </c>
      <c r="T293" s="2"/>
      <c r="U293" s="2"/>
      <c r="V293" s="2"/>
      <c r="W293" s="2"/>
      <c r="X293" s="3" t="str">
        <f t="shared" si="40"/>
        <v/>
      </c>
      <c r="Y293" t="str">
        <f t="shared" si="41"/>
        <v/>
      </c>
      <c r="Z293">
        <f t="shared" si="42"/>
        <v>0</v>
      </c>
      <c r="AA293">
        <f t="shared" si="43"/>
        <v>11.178587962960592</v>
      </c>
      <c r="AB293">
        <f t="shared" si="44"/>
        <v>11.178587962960592</v>
      </c>
      <c r="AC293">
        <f>IFERROR(_xlfn.XLOOKUP(B293, HoldSummary!$A:$A, HoldSummary!B:B), 0)</f>
        <v>0</v>
      </c>
      <c r="AD293">
        <f>IFERROR(_xlfn.XLOOKUP(B293, HoldSummary!$A:$A, HoldSummary!C:C), 0)</f>
        <v>0</v>
      </c>
      <c r="AE293">
        <f>IFERROR(_xlfn.XLOOKUP(B293, HoldSummary!$A:$A, HoldSummary!D:D), 0)</f>
        <v>0</v>
      </c>
      <c r="AF293">
        <f>IFERROR(_xlfn.XLOOKUP(B293, HoldSummary!$A:$A, HoldSummary!E:E), 0)</f>
        <v>0</v>
      </c>
      <c r="AG293">
        <f>IFERROR(_xlfn.XLOOKUP(B293, HoldSummary!$A:$A, HoldSummary!F:F), 0)</f>
        <v>0</v>
      </c>
      <c r="AH293">
        <f>IFERROR(_xlfn.XLOOKUP(B293, HoldSummary!$A:$A, HoldSummary!G:G), 0)</f>
        <v>0</v>
      </c>
      <c r="AI293">
        <f>IFERROR(_xlfn.XLOOKUP(B293, HoldSummary!$A:$A, HoldSummary!H:H), 0)</f>
        <v>0</v>
      </c>
      <c r="AJ293">
        <f>IFERROR(_xlfn.XLOOKUP(B293, HoldSummary!$A:$A, HoldSummary!I:I), 0)</f>
        <v>0</v>
      </c>
      <c r="AK293">
        <f t="shared" si="45"/>
        <v>0</v>
      </c>
      <c r="AL293">
        <f t="shared" si="46"/>
        <v>11.178587962960592</v>
      </c>
      <c r="AM293">
        <f t="shared" si="47"/>
        <v>11.178587962960592</v>
      </c>
      <c r="AN293" s="12">
        <f t="shared" si="48"/>
        <v>0.79166666666424135</v>
      </c>
      <c r="AO293">
        <f t="shared" si="49"/>
        <v>0</v>
      </c>
    </row>
    <row r="294" spans="1:41" x14ac:dyDescent="0.35">
      <c r="A294" t="s">
        <v>23</v>
      </c>
      <c r="B294" t="s">
        <v>722</v>
      </c>
      <c r="C294" t="s">
        <v>54</v>
      </c>
      <c r="D294" t="s">
        <v>44</v>
      </c>
      <c r="E294" t="s">
        <v>45</v>
      </c>
      <c r="F294" t="s">
        <v>28</v>
      </c>
      <c r="G294">
        <v>12</v>
      </c>
      <c r="H294" t="s">
        <v>723</v>
      </c>
      <c r="I294" t="s">
        <v>30</v>
      </c>
      <c r="J294" t="s">
        <v>31</v>
      </c>
      <c r="K294" t="s">
        <v>38</v>
      </c>
      <c r="L294" t="s">
        <v>39</v>
      </c>
      <c r="M294" t="s">
        <v>33</v>
      </c>
      <c r="N294" s="2">
        <v>45611.427789351852</v>
      </c>
      <c r="O294" s="2">
        <v>45729.166666666664</v>
      </c>
      <c r="P294" s="2">
        <v>45786.166666666664</v>
      </c>
      <c r="Q294" s="2">
        <v>45784</v>
      </c>
      <c r="R294" s="2">
        <v>45785.220258726855</v>
      </c>
      <c r="S294" t="s">
        <v>724</v>
      </c>
      <c r="T294" s="2">
        <v>45674.208333333336</v>
      </c>
      <c r="U294" s="2">
        <v>45674.208333333336</v>
      </c>
      <c r="V294" s="2">
        <v>45674.208333333336</v>
      </c>
      <c r="W294" s="2">
        <v>45741.166666666664</v>
      </c>
      <c r="X294" s="3">
        <f t="shared" si="40"/>
        <v>0</v>
      </c>
      <c r="Y294">
        <f t="shared" si="41"/>
        <v>66.958333333328483</v>
      </c>
      <c r="Z294">
        <f t="shared" si="42"/>
        <v>66.958333333328483</v>
      </c>
      <c r="AA294">
        <f t="shared" si="43"/>
        <v>172.57221064814803</v>
      </c>
      <c r="AB294">
        <f t="shared" si="44"/>
        <v>105.61387731481955</v>
      </c>
      <c r="AC294">
        <f>IFERROR(_xlfn.XLOOKUP(B294, HoldSummary!$A:$A, HoldSummary!B:B), 0)</f>
        <v>0</v>
      </c>
      <c r="AD294">
        <f>IFERROR(_xlfn.XLOOKUP(B294, HoldSummary!$A:$A, HoldSummary!C:C), 0)</f>
        <v>35</v>
      </c>
      <c r="AE294">
        <f>IFERROR(_xlfn.XLOOKUP(B294, HoldSummary!$A:$A, HoldSummary!D:D), 0)</f>
        <v>0</v>
      </c>
      <c r="AF294">
        <f>IFERROR(_xlfn.XLOOKUP(B294, HoldSummary!$A:$A, HoldSummary!E:E), 0)</f>
        <v>0</v>
      </c>
      <c r="AG294">
        <f>IFERROR(_xlfn.XLOOKUP(B294, HoldSummary!$A:$A, HoldSummary!F:F), 0)</f>
        <v>0</v>
      </c>
      <c r="AH294">
        <f>IFERROR(_xlfn.XLOOKUP(B294, HoldSummary!$A:$A, HoldSummary!G:G), 0)</f>
        <v>0</v>
      </c>
      <c r="AI294">
        <f>IFERROR(_xlfn.XLOOKUP(B294, HoldSummary!$A:$A, HoldSummary!H:H), 0)</f>
        <v>0</v>
      </c>
      <c r="AJ294">
        <f>IFERROR(_xlfn.XLOOKUP(B294, HoldSummary!$A:$A, HoldSummary!I:I), 0)</f>
        <v>0</v>
      </c>
      <c r="AK294">
        <f t="shared" si="45"/>
        <v>35</v>
      </c>
      <c r="AL294">
        <f t="shared" si="46"/>
        <v>137.57221064814803</v>
      </c>
      <c r="AM294">
        <f t="shared" si="47"/>
        <v>70.613877314819547</v>
      </c>
      <c r="AN294" s="12">
        <f t="shared" si="48"/>
        <v>54.833333333335759</v>
      </c>
      <c r="AO294">
        <f t="shared" si="49"/>
        <v>0</v>
      </c>
    </row>
    <row r="295" spans="1:41" x14ac:dyDescent="0.35">
      <c r="A295" t="s">
        <v>23</v>
      </c>
      <c r="B295" t="s">
        <v>725</v>
      </c>
      <c r="C295" t="s">
        <v>130</v>
      </c>
      <c r="D295" t="s">
        <v>44</v>
      </c>
      <c r="E295" t="s">
        <v>45</v>
      </c>
      <c r="F295" t="s">
        <v>28</v>
      </c>
      <c r="G295">
        <v>12</v>
      </c>
      <c r="H295" t="s">
        <v>726</v>
      </c>
      <c r="I295" t="s">
        <v>30</v>
      </c>
      <c r="J295" t="s">
        <v>31</v>
      </c>
      <c r="K295" t="s">
        <v>38</v>
      </c>
      <c r="L295" t="s">
        <v>39</v>
      </c>
      <c r="M295" t="s">
        <v>33</v>
      </c>
      <c r="N295" s="2">
        <v>45569.863761574074</v>
      </c>
      <c r="O295" s="2">
        <v>45796.166666666664</v>
      </c>
      <c r="P295" s="2">
        <v>45776.166666666664</v>
      </c>
      <c r="Q295" s="2">
        <v>45758</v>
      </c>
      <c r="R295" s="2">
        <v>45758.858688171298</v>
      </c>
      <c r="S295" t="s">
        <v>93</v>
      </c>
      <c r="T295" s="2">
        <v>45735.166666666664</v>
      </c>
      <c r="U295" s="2">
        <v>45735.166666666664</v>
      </c>
      <c r="V295" s="2">
        <v>45735.166666666664</v>
      </c>
      <c r="W295" s="2">
        <v>45737.166666666664</v>
      </c>
      <c r="X295" s="3">
        <f t="shared" si="40"/>
        <v>0</v>
      </c>
      <c r="Y295">
        <f t="shared" si="41"/>
        <v>2</v>
      </c>
      <c r="Z295">
        <f t="shared" si="42"/>
        <v>2</v>
      </c>
      <c r="AA295">
        <f t="shared" si="43"/>
        <v>188.13623842592642</v>
      </c>
      <c r="AB295">
        <f t="shared" si="44"/>
        <v>186.13623842592642</v>
      </c>
      <c r="AC295">
        <f>IFERROR(_xlfn.XLOOKUP(B295, HoldSummary!$A:$A, HoldSummary!B:B), 0)</f>
        <v>31</v>
      </c>
      <c r="AD295">
        <f>IFERROR(_xlfn.XLOOKUP(B295, HoldSummary!$A:$A, HoldSummary!C:C), 0)</f>
        <v>0</v>
      </c>
      <c r="AE295">
        <f>IFERROR(_xlfn.XLOOKUP(B295, HoldSummary!$A:$A, HoldSummary!D:D), 0)</f>
        <v>0</v>
      </c>
      <c r="AF295">
        <f>IFERROR(_xlfn.XLOOKUP(B295, HoldSummary!$A:$A, HoldSummary!E:E), 0)</f>
        <v>0</v>
      </c>
      <c r="AG295">
        <f>IFERROR(_xlfn.XLOOKUP(B295, HoldSummary!$A:$A, HoldSummary!F:F), 0)</f>
        <v>0</v>
      </c>
      <c r="AH295">
        <f>IFERROR(_xlfn.XLOOKUP(B295, HoldSummary!$A:$A, HoldSummary!G:G), 0)</f>
        <v>0</v>
      </c>
      <c r="AI295">
        <f>IFERROR(_xlfn.XLOOKUP(B295, HoldSummary!$A:$A, HoldSummary!H:H), 0)</f>
        <v>0</v>
      </c>
      <c r="AJ295">
        <f>IFERROR(_xlfn.XLOOKUP(B295, HoldSummary!$A:$A, HoldSummary!I:I), 0)</f>
        <v>0</v>
      </c>
      <c r="AK295">
        <f t="shared" si="45"/>
        <v>31</v>
      </c>
      <c r="AL295">
        <f t="shared" si="46"/>
        <v>157.13623842592642</v>
      </c>
      <c r="AM295">
        <f t="shared" si="47"/>
        <v>155.13623842592642</v>
      </c>
      <c r="AN295" s="12">
        <f t="shared" si="48"/>
        <v>-38.166666666664241</v>
      </c>
      <c r="AO295">
        <f t="shared" si="49"/>
        <v>1</v>
      </c>
    </row>
    <row r="296" spans="1:41" x14ac:dyDescent="0.35">
      <c r="A296" t="s">
        <v>23</v>
      </c>
      <c r="B296">
        <v>110312</v>
      </c>
      <c r="C296" t="s">
        <v>54</v>
      </c>
      <c r="D296" t="s">
        <v>44</v>
      </c>
      <c r="E296" t="s">
        <v>55</v>
      </c>
      <c r="F296" t="s">
        <v>28</v>
      </c>
      <c r="G296">
        <v>12</v>
      </c>
      <c r="H296" t="s">
        <v>727</v>
      </c>
      <c r="I296" t="s">
        <v>30</v>
      </c>
      <c r="J296" t="s">
        <v>31</v>
      </c>
      <c r="K296" t="s">
        <v>57</v>
      </c>
      <c r="L296" t="s">
        <v>58</v>
      </c>
      <c r="M296" t="s">
        <v>33</v>
      </c>
      <c r="N296" s="2">
        <v>45653.208333333336</v>
      </c>
      <c r="O296" s="2">
        <v>45806.166666666664</v>
      </c>
      <c r="P296" s="2">
        <v>45779.166666666664</v>
      </c>
      <c r="Q296" s="2">
        <v>45770</v>
      </c>
      <c r="R296" s="2">
        <v>45771.732643587966</v>
      </c>
      <c r="S296" t="s">
        <v>95</v>
      </c>
      <c r="T296" s="2">
        <v>45665.208333333336</v>
      </c>
      <c r="U296" s="2">
        <v>45667.208333333336</v>
      </c>
      <c r="V296" s="2">
        <v>45736.166666666664</v>
      </c>
      <c r="W296" s="2">
        <v>45737.166666666664</v>
      </c>
      <c r="X296" s="3">
        <f t="shared" si="40"/>
        <v>2</v>
      </c>
      <c r="Y296">
        <f t="shared" si="41"/>
        <v>1</v>
      </c>
      <c r="Z296">
        <f t="shared" si="42"/>
        <v>3</v>
      </c>
      <c r="AA296">
        <f t="shared" si="43"/>
        <v>116.79166666666424</v>
      </c>
      <c r="AB296">
        <f t="shared" si="44"/>
        <v>113.79166666666424</v>
      </c>
      <c r="AC296">
        <f>IFERROR(_xlfn.XLOOKUP(B296, HoldSummary!$A:$A, HoldSummary!B:B), 0)</f>
        <v>0</v>
      </c>
      <c r="AD296">
        <f>IFERROR(_xlfn.XLOOKUP(B296, HoldSummary!$A:$A, HoldSummary!C:C), 0)</f>
        <v>0</v>
      </c>
      <c r="AE296">
        <f>IFERROR(_xlfn.XLOOKUP(B296, HoldSummary!$A:$A, HoldSummary!D:D), 0)</f>
        <v>0</v>
      </c>
      <c r="AF296">
        <f>IFERROR(_xlfn.XLOOKUP(B296, HoldSummary!$A:$A, HoldSummary!E:E), 0)</f>
        <v>0</v>
      </c>
      <c r="AG296">
        <f>IFERROR(_xlfn.XLOOKUP(B296, HoldSummary!$A:$A, HoldSummary!F:F), 0)</f>
        <v>14</v>
      </c>
      <c r="AH296">
        <f>IFERROR(_xlfn.XLOOKUP(B296, HoldSummary!$A:$A, HoldSummary!G:G), 0)</f>
        <v>0</v>
      </c>
      <c r="AI296">
        <f>IFERROR(_xlfn.XLOOKUP(B296, HoldSummary!$A:$A, HoldSummary!H:H), 0)</f>
        <v>0</v>
      </c>
      <c r="AJ296">
        <f>IFERROR(_xlfn.XLOOKUP(B296, HoldSummary!$A:$A, HoldSummary!I:I), 0)</f>
        <v>0</v>
      </c>
      <c r="AK296">
        <f t="shared" si="45"/>
        <v>14</v>
      </c>
      <c r="AL296">
        <f t="shared" si="46"/>
        <v>102.79166666666424</v>
      </c>
      <c r="AM296">
        <f t="shared" si="47"/>
        <v>99.791666666664241</v>
      </c>
      <c r="AN296" s="12">
        <f t="shared" si="48"/>
        <v>-36.166666666664241</v>
      </c>
      <c r="AO296">
        <f t="shared" si="49"/>
        <v>1</v>
      </c>
    </row>
    <row r="297" spans="1:41" x14ac:dyDescent="0.35">
      <c r="A297" t="s">
        <v>23</v>
      </c>
      <c r="B297">
        <v>111669</v>
      </c>
      <c r="C297" t="s">
        <v>54</v>
      </c>
      <c r="D297" t="s">
        <v>44</v>
      </c>
      <c r="E297" t="s">
        <v>55</v>
      </c>
      <c r="F297" t="s">
        <v>28</v>
      </c>
      <c r="G297">
        <v>12</v>
      </c>
      <c r="H297" t="s">
        <v>728</v>
      </c>
      <c r="I297" t="s">
        <v>30</v>
      </c>
      <c r="J297" t="s">
        <v>31</v>
      </c>
      <c r="K297" t="s">
        <v>57</v>
      </c>
      <c r="L297" t="s">
        <v>58</v>
      </c>
      <c r="M297" t="s">
        <v>81</v>
      </c>
      <c r="N297" s="2">
        <v>45728.166666666664</v>
      </c>
      <c r="O297" s="2">
        <v>45791.166666666664</v>
      </c>
      <c r="P297" s="2">
        <v>45791.166666666664</v>
      </c>
      <c r="Q297" s="2">
        <v>45757</v>
      </c>
      <c r="R297" s="2">
        <v>45757.651237175924</v>
      </c>
      <c r="T297" s="2">
        <v>45747.166666666664</v>
      </c>
      <c r="U297" s="2">
        <v>45747.166666666664</v>
      </c>
      <c r="V297" s="2">
        <v>45749.166666666664</v>
      </c>
      <c r="W297" s="2">
        <v>45750.166666666664</v>
      </c>
      <c r="X297" s="3">
        <f t="shared" si="40"/>
        <v>0</v>
      </c>
      <c r="Y297">
        <f t="shared" si="41"/>
        <v>1</v>
      </c>
      <c r="Z297">
        <f t="shared" si="42"/>
        <v>1</v>
      </c>
      <c r="AA297">
        <f t="shared" si="43"/>
        <v>28.833333333335759</v>
      </c>
      <c r="AB297">
        <f t="shared" si="44"/>
        <v>27.833333333335759</v>
      </c>
      <c r="AC297">
        <f>IFERROR(_xlfn.XLOOKUP(B297, HoldSummary!$A:$A, HoldSummary!B:B), 0)</f>
        <v>0</v>
      </c>
      <c r="AD297">
        <f>IFERROR(_xlfn.XLOOKUP(B297, HoldSummary!$A:$A, HoldSummary!C:C), 0)</f>
        <v>0</v>
      </c>
      <c r="AE297">
        <f>IFERROR(_xlfn.XLOOKUP(B297, HoldSummary!$A:$A, HoldSummary!D:D), 0)</f>
        <v>0</v>
      </c>
      <c r="AF297">
        <f>IFERROR(_xlfn.XLOOKUP(B297, HoldSummary!$A:$A, HoldSummary!E:E), 0)</f>
        <v>0</v>
      </c>
      <c r="AG297">
        <f>IFERROR(_xlfn.XLOOKUP(B297, HoldSummary!$A:$A, HoldSummary!F:F), 0)</f>
        <v>0</v>
      </c>
      <c r="AH297">
        <f>IFERROR(_xlfn.XLOOKUP(B297, HoldSummary!$A:$A, HoldSummary!G:G), 0)</f>
        <v>0</v>
      </c>
      <c r="AI297">
        <f>IFERROR(_xlfn.XLOOKUP(B297, HoldSummary!$A:$A, HoldSummary!H:H), 0)</f>
        <v>0</v>
      </c>
      <c r="AJ297">
        <f>IFERROR(_xlfn.XLOOKUP(B297, HoldSummary!$A:$A, HoldSummary!I:I), 0)</f>
        <v>0</v>
      </c>
      <c r="AK297">
        <f t="shared" si="45"/>
        <v>0</v>
      </c>
      <c r="AL297">
        <f t="shared" si="46"/>
        <v>28.833333333335759</v>
      </c>
      <c r="AM297">
        <f t="shared" si="47"/>
        <v>27.833333333335759</v>
      </c>
      <c r="AN297" s="12">
        <f t="shared" si="48"/>
        <v>-34.166666666664241</v>
      </c>
      <c r="AO297">
        <f t="shared" si="49"/>
        <v>1</v>
      </c>
    </row>
    <row r="298" spans="1:41" x14ac:dyDescent="0.35">
      <c r="A298" t="s">
        <v>23</v>
      </c>
      <c r="B298" t="s">
        <v>729</v>
      </c>
      <c r="C298" t="s">
        <v>54</v>
      </c>
      <c r="D298" t="s">
        <v>44</v>
      </c>
      <c r="E298" t="s">
        <v>45</v>
      </c>
      <c r="F298" t="s">
        <v>28</v>
      </c>
      <c r="G298">
        <v>13</v>
      </c>
      <c r="H298" t="s">
        <v>730</v>
      </c>
      <c r="I298" t="s">
        <v>30</v>
      </c>
      <c r="J298" t="s">
        <v>70</v>
      </c>
      <c r="K298" t="s">
        <v>38</v>
      </c>
      <c r="L298" t="s">
        <v>53</v>
      </c>
      <c r="N298" s="2">
        <v>44265.701539351852</v>
      </c>
      <c r="O298" s="2">
        <v>45532.166666666664</v>
      </c>
      <c r="P298" s="2">
        <v>45588.166666666664</v>
      </c>
      <c r="Q298" s="2">
        <v>45589</v>
      </c>
      <c r="R298" s="2">
        <v>45590.660477164354</v>
      </c>
      <c r="S298" t="s">
        <v>731</v>
      </c>
      <c r="T298" s="2">
        <v>44802.166666666664</v>
      </c>
      <c r="U298" s="2">
        <v>44991.208333333336</v>
      </c>
      <c r="V298" s="2">
        <v>44991.208333333336</v>
      </c>
      <c r="W298" s="2">
        <v>44993.208333333336</v>
      </c>
      <c r="X298" s="3">
        <f t="shared" si="40"/>
        <v>189.04166666667152</v>
      </c>
      <c r="Y298">
        <f t="shared" si="41"/>
        <v>2</v>
      </c>
      <c r="Z298">
        <f t="shared" si="42"/>
        <v>191.04166666667152</v>
      </c>
      <c r="AA298">
        <f t="shared" si="43"/>
        <v>1323.2984606481477</v>
      </c>
      <c r="AB298">
        <f t="shared" si="44"/>
        <v>1132.2567939814762</v>
      </c>
      <c r="AC298">
        <f>IFERROR(_xlfn.XLOOKUP(B298, HoldSummary!$A:$A, HoldSummary!B:B), 0)</f>
        <v>0</v>
      </c>
      <c r="AD298">
        <f>IFERROR(_xlfn.XLOOKUP(B298, HoldSummary!$A:$A, HoldSummary!C:C), 0)</f>
        <v>0</v>
      </c>
      <c r="AE298">
        <f>IFERROR(_xlfn.XLOOKUP(B298, HoldSummary!$A:$A, HoldSummary!D:D), 0)</f>
        <v>0</v>
      </c>
      <c r="AF298">
        <f>IFERROR(_xlfn.XLOOKUP(B298, HoldSummary!$A:$A, HoldSummary!E:E), 0)</f>
        <v>0</v>
      </c>
      <c r="AG298">
        <f>IFERROR(_xlfn.XLOOKUP(B298, HoldSummary!$A:$A, HoldSummary!F:F), 0)</f>
        <v>0</v>
      </c>
      <c r="AH298">
        <f>IFERROR(_xlfn.XLOOKUP(B298, HoldSummary!$A:$A, HoldSummary!G:G), 0)</f>
        <v>0</v>
      </c>
      <c r="AI298">
        <f>IFERROR(_xlfn.XLOOKUP(B298, HoldSummary!$A:$A, HoldSummary!H:H), 0)</f>
        <v>0</v>
      </c>
      <c r="AJ298">
        <f>IFERROR(_xlfn.XLOOKUP(B298, HoldSummary!$A:$A, HoldSummary!I:I), 0)</f>
        <v>0</v>
      </c>
      <c r="AK298">
        <f t="shared" si="45"/>
        <v>0</v>
      </c>
      <c r="AL298">
        <f t="shared" si="46"/>
        <v>1323.2984606481477</v>
      </c>
      <c r="AM298">
        <f t="shared" si="47"/>
        <v>1132.2567939814762</v>
      </c>
      <c r="AN298" s="12">
        <f t="shared" si="48"/>
        <v>56.833333333335759</v>
      </c>
      <c r="AO298">
        <f t="shared" si="49"/>
        <v>0</v>
      </c>
    </row>
    <row r="299" spans="1:41" x14ac:dyDescent="0.35">
      <c r="A299" t="s">
        <v>23</v>
      </c>
      <c r="B299" t="s">
        <v>732</v>
      </c>
      <c r="C299" t="s">
        <v>54</v>
      </c>
      <c r="D299" t="s">
        <v>44</v>
      </c>
      <c r="E299" t="s">
        <v>45</v>
      </c>
      <c r="F299" t="s">
        <v>28</v>
      </c>
      <c r="G299">
        <v>13</v>
      </c>
      <c r="H299" t="s">
        <v>733</v>
      </c>
      <c r="I299" t="s">
        <v>30</v>
      </c>
      <c r="J299" t="s">
        <v>70</v>
      </c>
      <c r="K299" t="s">
        <v>38</v>
      </c>
      <c r="L299" t="s">
        <v>53</v>
      </c>
      <c r="N299" s="2">
        <v>44784.860173611109</v>
      </c>
      <c r="O299" s="2">
        <v>45548.166666666664</v>
      </c>
      <c r="P299" s="2">
        <v>45707.208333333336</v>
      </c>
      <c r="Q299" s="2">
        <v>45734</v>
      </c>
      <c r="R299" s="2">
        <v>45734.763292881944</v>
      </c>
      <c r="S299" t="s">
        <v>734</v>
      </c>
      <c r="T299" s="2">
        <v>45294.208333333336</v>
      </c>
      <c r="U299" s="2">
        <v>45295.208333333336</v>
      </c>
      <c r="V299" s="2">
        <v>45295.208333333336</v>
      </c>
      <c r="W299" s="2">
        <v>45680.208333333336</v>
      </c>
      <c r="X299" s="3">
        <f t="shared" si="40"/>
        <v>1</v>
      </c>
      <c r="Y299">
        <f t="shared" si="41"/>
        <v>385</v>
      </c>
      <c r="Z299">
        <f t="shared" si="42"/>
        <v>386</v>
      </c>
      <c r="AA299">
        <f t="shared" si="43"/>
        <v>949.13982638889138</v>
      </c>
      <c r="AB299">
        <f t="shared" si="44"/>
        <v>563.13982638889138</v>
      </c>
      <c r="AC299">
        <f>IFERROR(_xlfn.XLOOKUP(B299, HoldSummary!$A:$A, HoldSummary!B:B), 0)</f>
        <v>0</v>
      </c>
      <c r="AD299">
        <f>IFERROR(_xlfn.XLOOKUP(B299, HoldSummary!$A:$A, HoldSummary!C:C), 0)</f>
        <v>0</v>
      </c>
      <c r="AE299">
        <f>IFERROR(_xlfn.XLOOKUP(B299, HoldSummary!$A:$A, HoldSummary!D:D), 0)</f>
        <v>0</v>
      </c>
      <c r="AF299">
        <f>IFERROR(_xlfn.XLOOKUP(B299, HoldSummary!$A:$A, HoldSummary!E:E), 0)</f>
        <v>0</v>
      </c>
      <c r="AG299">
        <f>IFERROR(_xlfn.XLOOKUP(B299, HoldSummary!$A:$A, HoldSummary!F:F), 0)</f>
        <v>0</v>
      </c>
      <c r="AH299">
        <f>IFERROR(_xlfn.XLOOKUP(B299, HoldSummary!$A:$A, HoldSummary!G:G), 0)</f>
        <v>0</v>
      </c>
      <c r="AI299">
        <f>IFERROR(_xlfn.XLOOKUP(B299, HoldSummary!$A:$A, HoldSummary!H:H), 0)</f>
        <v>0</v>
      </c>
      <c r="AJ299">
        <f>IFERROR(_xlfn.XLOOKUP(B299, HoldSummary!$A:$A, HoldSummary!I:I), 0)</f>
        <v>0</v>
      </c>
      <c r="AK299">
        <f t="shared" si="45"/>
        <v>0</v>
      </c>
      <c r="AL299">
        <f t="shared" si="46"/>
        <v>949.13982638889138</v>
      </c>
      <c r="AM299">
        <f t="shared" si="47"/>
        <v>563.13982638889138</v>
      </c>
      <c r="AN299" s="12">
        <f t="shared" si="48"/>
        <v>185.83333333333576</v>
      </c>
      <c r="AO299">
        <f t="shared" si="49"/>
        <v>0</v>
      </c>
    </row>
    <row r="300" spans="1:41" x14ac:dyDescent="0.35">
      <c r="A300" t="s">
        <v>23</v>
      </c>
      <c r="B300" t="s">
        <v>735</v>
      </c>
      <c r="C300" t="s">
        <v>43</v>
      </c>
      <c r="D300" t="s">
        <v>44</v>
      </c>
      <c r="E300" t="s">
        <v>45</v>
      </c>
      <c r="F300" t="s">
        <v>28</v>
      </c>
      <c r="G300">
        <v>13</v>
      </c>
      <c r="H300" t="s">
        <v>736</v>
      </c>
      <c r="I300" t="s">
        <v>30</v>
      </c>
      <c r="J300" t="s">
        <v>70</v>
      </c>
      <c r="K300" t="s">
        <v>48</v>
      </c>
      <c r="L300" t="s">
        <v>49</v>
      </c>
      <c r="N300" s="2">
        <v>44911.080023148148</v>
      </c>
      <c r="O300" s="2">
        <v>45331.208333333336</v>
      </c>
      <c r="P300" s="2">
        <v>45569.166666666664</v>
      </c>
      <c r="Q300" s="2">
        <v>45602</v>
      </c>
      <c r="R300" s="2">
        <v>45604.648414108793</v>
      </c>
      <c r="S300" t="s">
        <v>231</v>
      </c>
      <c r="T300" s="2"/>
      <c r="U300" s="2"/>
      <c r="V300" s="2"/>
      <c r="W300" s="2"/>
      <c r="X300" s="3" t="str">
        <f t="shared" si="40"/>
        <v/>
      </c>
      <c r="Y300" t="str">
        <f t="shared" si="41"/>
        <v/>
      </c>
      <c r="Z300">
        <f t="shared" si="42"/>
        <v>0</v>
      </c>
      <c r="AA300">
        <f t="shared" si="43"/>
        <v>690.91997685185197</v>
      </c>
      <c r="AB300">
        <f t="shared" si="44"/>
        <v>690.91997685185197</v>
      </c>
      <c r="AC300">
        <f>IFERROR(_xlfn.XLOOKUP(B300, HoldSummary!$A:$A, HoldSummary!B:B), 0)</f>
        <v>0</v>
      </c>
      <c r="AD300">
        <f>IFERROR(_xlfn.XLOOKUP(B300, HoldSummary!$A:$A, HoldSummary!C:C), 0)</f>
        <v>0</v>
      </c>
      <c r="AE300">
        <f>IFERROR(_xlfn.XLOOKUP(B300, HoldSummary!$A:$A, HoldSummary!D:D), 0)</f>
        <v>0</v>
      </c>
      <c r="AF300">
        <f>IFERROR(_xlfn.XLOOKUP(B300, HoldSummary!$A:$A, HoldSummary!E:E), 0)</f>
        <v>0</v>
      </c>
      <c r="AG300">
        <f>IFERROR(_xlfn.XLOOKUP(B300, HoldSummary!$A:$A, HoldSummary!F:F), 0)</f>
        <v>0</v>
      </c>
      <c r="AH300">
        <f>IFERROR(_xlfn.XLOOKUP(B300, HoldSummary!$A:$A, HoldSummary!G:G), 0)</f>
        <v>0</v>
      </c>
      <c r="AI300">
        <f>IFERROR(_xlfn.XLOOKUP(B300, HoldSummary!$A:$A, HoldSummary!H:H), 0)</f>
        <v>0</v>
      </c>
      <c r="AJ300">
        <f>IFERROR(_xlfn.XLOOKUP(B300, HoldSummary!$A:$A, HoldSummary!I:I), 0)</f>
        <v>16.164567060186528</v>
      </c>
      <c r="AK300">
        <f t="shared" si="45"/>
        <v>16.164567060186528</v>
      </c>
      <c r="AL300">
        <f t="shared" si="46"/>
        <v>674.75540979166544</v>
      </c>
      <c r="AM300">
        <f t="shared" si="47"/>
        <v>674.75540979166544</v>
      </c>
      <c r="AN300" s="12">
        <f t="shared" si="48"/>
        <v>270.79166666666424</v>
      </c>
      <c r="AO300">
        <f t="shared" si="49"/>
        <v>0</v>
      </c>
    </row>
    <row r="301" spans="1:41" x14ac:dyDescent="0.35">
      <c r="A301" t="s">
        <v>23</v>
      </c>
      <c r="B301" t="s">
        <v>737</v>
      </c>
      <c r="C301" t="s">
        <v>135</v>
      </c>
      <c r="D301" t="s">
        <v>44</v>
      </c>
      <c r="E301" t="s">
        <v>45</v>
      </c>
      <c r="F301" t="s">
        <v>28</v>
      </c>
      <c r="G301">
        <v>13</v>
      </c>
      <c r="H301" t="s">
        <v>738</v>
      </c>
      <c r="I301" t="s">
        <v>30</v>
      </c>
      <c r="J301" t="s">
        <v>31</v>
      </c>
      <c r="K301" t="s">
        <v>32</v>
      </c>
      <c r="L301" t="s">
        <v>32</v>
      </c>
      <c r="N301" s="2">
        <v>44449.397847222222</v>
      </c>
      <c r="O301" s="2">
        <v>45169.166666666664</v>
      </c>
      <c r="P301" s="2">
        <v>45728.166666666664</v>
      </c>
      <c r="Q301" s="2">
        <v>45720</v>
      </c>
      <c r="R301" s="2">
        <v>45721.831060578705</v>
      </c>
      <c r="S301" t="s">
        <v>739</v>
      </c>
      <c r="T301" s="2">
        <v>45168.166666666664</v>
      </c>
      <c r="U301" s="2">
        <v>45168.166666666664</v>
      </c>
      <c r="V301" s="2">
        <v>45168.166666666664</v>
      </c>
      <c r="W301" s="2">
        <v>45710.208333333336</v>
      </c>
      <c r="X301" s="3">
        <f t="shared" si="40"/>
        <v>0</v>
      </c>
      <c r="Y301">
        <f t="shared" si="41"/>
        <v>542.04166666667152</v>
      </c>
      <c r="Z301">
        <f t="shared" si="42"/>
        <v>542.04166666667152</v>
      </c>
      <c r="AA301">
        <f t="shared" si="43"/>
        <v>1270.6021527777775</v>
      </c>
      <c r="AB301">
        <f t="shared" si="44"/>
        <v>728.560486111106</v>
      </c>
      <c r="AC301">
        <f>IFERROR(_xlfn.XLOOKUP(B301, HoldSummary!$A:$A, HoldSummary!B:B), 0)</f>
        <v>0</v>
      </c>
      <c r="AD301">
        <f>IFERROR(_xlfn.XLOOKUP(B301, HoldSummary!$A:$A, HoldSummary!C:C), 0)</f>
        <v>0</v>
      </c>
      <c r="AE301">
        <f>IFERROR(_xlfn.XLOOKUP(B301, HoldSummary!$A:$A, HoldSummary!D:D), 0)</f>
        <v>0</v>
      </c>
      <c r="AF301">
        <f>IFERROR(_xlfn.XLOOKUP(B301, HoldSummary!$A:$A, HoldSummary!E:E), 0)</f>
        <v>0</v>
      </c>
      <c r="AG301">
        <f>IFERROR(_xlfn.XLOOKUP(B301, HoldSummary!$A:$A, HoldSummary!F:F), 0)</f>
        <v>0</v>
      </c>
      <c r="AH301">
        <f>IFERROR(_xlfn.XLOOKUP(B301, HoldSummary!$A:$A, HoldSummary!G:G), 0)</f>
        <v>0</v>
      </c>
      <c r="AI301">
        <f>IFERROR(_xlfn.XLOOKUP(B301, HoldSummary!$A:$A, HoldSummary!H:H), 0)</f>
        <v>0</v>
      </c>
      <c r="AJ301">
        <f>IFERROR(_xlfn.XLOOKUP(B301, HoldSummary!$A:$A, HoldSummary!I:I), 0)</f>
        <v>0</v>
      </c>
      <c r="AK301">
        <f t="shared" si="45"/>
        <v>0</v>
      </c>
      <c r="AL301">
        <f t="shared" si="46"/>
        <v>1270.6021527777775</v>
      </c>
      <c r="AM301">
        <f t="shared" si="47"/>
        <v>728.560486111106</v>
      </c>
      <c r="AN301" s="12">
        <f t="shared" si="48"/>
        <v>550.83333333333576</v>
      </c>
      <c r="AO301">
        <f t="shared" si="49"/>
        <v>0</v>
      </c>
    </row>
    <row r="302" spans="1:41" x14ac:dyDescent="0.35">
      <c r="A302" t="s">
        <v>23</v>
      </c>
      <c r="B302" t="s">
        <v>740</v>
      </c>
      <c r="C302" t="s">
        <v>76</v>
      </c>
      <c r="D302" t="s">
        <v>44</v>
      </c>
      <c r="E302" t="s">
        <v>45</v>
      </c>
      <c r="F302" t="s">
        <v>28</v>
      </c>
      <c r="G302">
        <v>13</v>
      </c>
      <c r="H302" t="s">
        <v>741</v>
      </c>
      <c r="I302" t="s">
        <v>30</v>
      </c>
      <c r="J302" t="s">
        <v>31</v>
      </c>
      <c r="K302" t="s">
        <v>48</v>
      </c>
      <c r="L302" t="s">
        <v>192</v>
      </c>
      <c r="N302" s="2">
        <v>45202.600462962961</v>
      </c>
      <c r="O302" s="2">
        <v>45337.208333333336</v>
      </c>
      <c r="P302" s="2">
        <v>45337.208333333336</v>
      </c>
      <c r="Q302" s="2">
        <v>45322</v>
      </c>
      <c r="R302" s="2">
        <v>45323.655498854168</v>
      </c>
      <c r="S302" t="s">
        <v>742</v>
      </c>
      <c r="T302" s="2">
        <v>45218.166666666664</v>
      </c>
      <c r="U302" s="2">
        <v>45222.166666666664</v>
      </c>
      <c r="V302" s="2">
        <v>45222.166666666664</v>
      </c>
      <c r="W302" s="2">
        <v>45224.166666666664</v>
      </c>
      <c r="X302" s="3">
        <f t="shared" si="40"/>
        <v>4</v>
      </c>
      <c r="Y302">
        <f t="shared" si="41"/>
        <v>2</v>
      </c>
      <c r="Z302">
        <f t="shared" si="42"/>
        <v>6</v>
      </c>
      <c r="AA302">
        <f t="shared" si="43"/>
        <v>119.39953703703941</v>
      </c>
      <c r="AB302">
        <f t="shared" si="44"/>
        <v>113.39953703703941</v>
      </c>
      <c r="AC302">
        <f>IFERROR(_xlfn.XLOOKUP(B302, HoldSummary!$A:$A, HoldSummary!B:B), 0)</f>
        <v>0</v>
      </c>
      <c r="AD302">
        <f>IFERROR(_xlfn.XLOOKUP(B302, HoldSummary!$A:$A, HoldSummary!C:C), 0)</f>
        <v>0</v>
      </c>
      <c r="AE302">
        <f>IFERROR(_xlfn.XLOOKUP(B302, HoldSummary!$A:$A, HoldSummary!D:D), 0)</f>
        <v>0</v>
      </c>
      <c r="AF302">
        <f>IFERROR(_xlfn.XLOOKUP(B302, HoldSummary!$A:$A, HoldSummary!E:E), 0)</f>
        <v>0</v>
      </c>
      <c r="AG302">
        <f>IFERROR(_xlfn.XLOOKUP(B302, HoldSummary!$A:$A, HoldSummary!F:F), 0)</f>
        <v>0</v>
      </c>
      <c r="AH302">
        <f>IFERROR(_xlfn.XLOOKUP(B302, HoldSummary!$A:$A, HoldSummary!G:G), 0)</f>
        <v>0</v>
      </c>
      <c r="AI302">
        <f>IFERROR(_xlfn.XLOOKUP(B302, HoldSummary!$A:$A, HoldSummary!H:H), 0)</f>
        <v>0</v>
      </c>
      <c r="AJ302">
        <f>IFERROR(_xlfn.XLOOKUP(B302, HoldSummary!$A:$A, HoldSummary!I:I), 0)</f>
        <v>0</v>
      </c>
      <c r="AK302">
        <f t="shared" si="45"/>
        <v>0</v>
      </c>
      <c r="AL302">
        <f t="shared" si="46"/>
        <v>119.39953703703941</v>
      </c>
      <c r="AM302">
        <f t="shared" si="47"/>
        <v>113.39953703703941</v>
      </c>
      <c r="AN302" s="12">
        <f t="shared" si="48"/>
        <v>-15.208333333335759</v>
      </c>
      <c r="AO302">
        <f t="shared" si="49"/>
        <v>1</v>
      </c>
    </row>
    <row r="303" spans="1:41" x14ac:dyDescent="0.35">
      <c r="A303" t="s">
        <v>23</v>
      </c>
      <c r="B303" t="s">
        <v>743</v>
      </c>
      <c r="C303" t="s">
        <v>135</v>
      </c>
      <c r="D303" t="s">
        <v>44</v>
      </c>
      <c r="E303" t="s">
        <v>45</v>
      </c>
      <c r="F303" t="s">
        <v>28</v>
      </c>
      <c r="G303">
        <v>13</v>
      </c>
      <c r="H303" t="s">
        <v>744</v>
      </c>
      <c r="I303" t="s">
        <v>30</v>
      </c>
      <c r="J303" t="s">
        <v>31</v>
      </c>
      <c r="K303" t="s">
        <v>32</v>
      </c>
      <c r="L303" t="s">
        <v>32</v>
      </c>
      <c r="N303" s="2">
        <v>45314.621516203704</v>
      </c>
      <c r="O303" s="2">
        <v>45716.208333333336</v>
      </c>
      <c r="P303" s="2">
        <v>45751.166666666664</v>
      </c>
      <c r="Q303" s="2">
        <v>45748</v>
      </c>
      <c r="R303" s="2">
        <v>45750.599870138889</v>
      </c>
      <c r="S303" t="s">
        <v>745</v>
      </c>
      <c r="T303" s="2">
        <v>45321.208333333336</v>
      </c>
      <c r="U303" s="2">
        <v>45427.166666666664</v>
      </c>
      <c r="V303" s="2">
        <v>45427.166666666664</v>
      </c>
      <c r="W303" s="2">
        <v>45713.208333333336</v>
      </c>
      <c r="X303" s="3">
        <f t="shared" si="40"/>
        <v>105.95833333332848</v>
      </c>
      <c r="Y303">
        <f t="shared" si="41"/>
        <v>286.04166666667152</v>
      </c>
      <c r="Z303">
        <f t="shared" si="42"/>
        <v>392</v>
      </c>
      <c r="AA303">
        <f t="shared" si="43"/>
        <v>433.37848379629577</v>
      </c>
      <c r="AB303">
        <f t="shared" si="44"/>
        <v>41.378483796295768</v>
      </c>
      <c r="AC303">
        <f>IFERROR(_xlfn.XLOOKUP(B303, HoldSummary!$A:$A, HoldSummary!B:B), 0)</f>
        <v>0</v>
      </c>
      <c r="AD303">
        <f>IFERROR(_xlfn.XLOOKUP(B303, HoldSummary!$A:$A, HoldSummary!C:C), 0)</f>
        <v>0</v>
      </c>
      <c r="AE303">
        <f>IFERROR(_xlfn.XLOOKUP(B303, HoldSummary!$A:$A, HoldSummary!D:D), 0)</f>
        <v>0</v>
      </c>
      <c r="AF303">
        <f>IFERROR(_xlfn.XLOOKUP(B303, HoldSummary!$A:$A, HoldSummary!E:E), 0)</f>
        <v>0</v>
      </c>
      <c r="AG303">
        <f>IFERROR(_xlfn.XLOOKUP(B303, HoldSummary!$A:$A, HoldSummary!F:F), 0)</f>
        <v>0</v>
      </c>
      <c r="AH303">
        <f>IFERROR(_xlfn.XLOOKUP(B303, HoldSummary!$A:$A, HoldSummary!G:G), 0)</f>
        <v>0</v>
      </c>
      <c r="AI303">
        <f>IFERROR(_xlfn.XLOOKUP(B303, HoldSummary!$A:$A, HoldSummary!H:H), 0)</f>
        <v>0</v>
      </c>
      <c r="AJ303">
        <f>IFERROR(_xlfn.XLOOKUP(B303, HoldSummary!$A:$A, HoldSummary!I:I), 0)</f>
        <v>0</v>
      </c>
      <c r="AK303">
        <f t="shared" si="45"/>
        <v>0</v>
      </c>
      <c r="AL303">
        <f t="shared" si="46"/>
        <v>433.37848379629577</v>
      </c>
      <c r="AM303">
        <f t="shared" si="47"/>
        <v>41.378483796295768</v>
      </c>
      <c r="AN303" s="12">
        <f t="shared" si="48"/>
        <v>31.791666666664241</v>
      </c>
      <c r="AO303">
        <f t="shared" si="49"/>
        <v>0</v>
      </c>
    </row>
    <row r="304" spans="1:41" x14ac:dyDescent="0.35">
      <c r="A304" t="s">
        <v>23</v>
      </c>
      <c r="B304" t="s">
        <v>746</v>
      </c>
      <c r="C304" t="s">
        <v>54</v>
      </c>
      <c r="D304" t="s">
        <v>44</v>
      </c>
      <c r="E304" t="s">
        <v>45</v>
      </c>
      <c r="F304" t="s">
        <v>28</v>
      </c>
      <c r="G304">
        <v>13</v>
      </c>
      <c r="H304" t="s">
        <v>747</v>
      </c>
      <c r="I304" t="s">
        <v>30</v>
      </c>
      <c r="J304" t="s">
        <v>31</v>
      </c>
      <c r="K304" t="s">
        <v>38</v>
      </c>
      <c r="L304" t="s">
        <v>53</v>
      </c>
      <c r="N304" s="2">
        <v>44994.436851851853</v>
      </c>
      <c r="O304" s="2">
        <v>45254.208333333336</v>
      </c>
      <c r="P304" s="2">
        <v>45625.208333333336</v>
      </c>
      <c r="Q304" s="2">
        <v>45617</v>
      </c>
      <c r="R304" s="2">
        <v>45618.651020578705</v>
      </c>
      <c r="S304" t="s">
        <v>748</v>
      </c>
      <c r="T304" s="2">
        <v>45450.166666666664</v>
      </c>
      <c r="U304" s="2">
        <v>45530.166666666664</v>
      </c>
      <c r="V304" s="2">
        <v>45530.166666666664</v>
      </c>
      <c r="W304" s="2">
        <v>45580.166666666664</v>
      </c>
      <c r="X304" s="3">
        <f t="shared" si="40"/>
        <v>80</v>
      </c>
      <c r="Y304">
        <f t="shared" si="41"/>
        <v>50</v>
      </c>
      <c r="Z304">
        <f t="shared" si="42"/>
        <v>130</v>
      </c>
      <c r="AA304">
        <f t="shared" si="43"/>
        <v>622.56314814814687</v>
      </c>
      <c r="AB304">
        <f t="shared" si="44"/>
        <v>492.56314814814687</v>
      </c>
      <c r="AC304">
        <f>IFERROR(_xlfn.XLOOKUP(B304, HoldSummary!$A:$A, HoldSummary!B:B), 0)</f>
        <v>0</v>
      </c>
      <c r="AD304">
        <f>IFERROR(_xlfn.XLOOKUP(B304, HoldSummary!$A:$A, HoldSummary!C:C), 0)</f>
        <v>0</v>
      </c>
      <c r="AE304">
        <f>IFERROR(_xlfn.XLOOKUP(B304, HoldSummary!$A:$A, HoldSummary!D:D), 0)</f>
        <v>0</v>
      </c>
      <c r="AF304">
        <f>IFERROR(_xlfn.XLOOKUP(B304, HoldSummary!$A:$A, HoldSummary!E:E), 0)</f>
        <v>112</v>
      </c>
      <c r="AG304">
        <f>IFERROR(_xlfn.XLOOKUP(B304, HoldSummary!$A:$A, HoldSummary!F:F), 0)</f>
        <v>0</v>
      </c>
      <c r="AH304">
        <f>IFERROR(_xlfn.XLOOKUP(B304, HoldSummary!$A:$A, HoldSummary!G:G), 0)</f>
        <v>0</v>
      </c>
      <c r="AI304">
        <f>IFERROR(_xlfn.XLOOKUP(B304, HoldSummary!$A:$A, HoldSummary!H:H), 0)</f>
        <v>0</v>
      </c>
      <c r="AJ304">
        <f>IFERROR(_xlfn.XLOOKUP(B304, HoldSummary!$A:$A, HoldSummary!I:I), 0)</f>
        <v>0</v>
      </c>
      <c r="AK304">
        <f t="shared" si="45"/>
        <v>112</v>
      </c>
      <c r="AL304">
        <f t="shared" si="46"/>
        <v>510.56314814814687</v>
      </c>
      <c r="AM304">
        <f t="shared" si="47"/>
        <v>380.56314814814687</v>
      </c>
      <c r="AN304" s="12">
        <f t="shared" si="48"/>
        <v>362.79166666666424</v>
      </c>
      <c r="AO304">
        <f t="shared" si="49"/>
        <v>0</v>
      </c>
    </row>
    <row r="305" spans="1:41" x14ac:dyDescent="0.35">
      <c r="A305" t="s">
        <v>23</v>
      </c>
      <c r="B305" t="s">
        <v>749</v>
      </c>
      <c r="C305" t="s">
        <v>76</v>
      </c>
      <c r="D305" t="s">
        <v>44</v>
      </c>
      <c r="E305" t="s">
        <v>45</v>
      </c>
      <c r="F305" t="s">
        <v>28</v>
      </c>
      <c r="G305">
        <v>13</v>
      </c>
      <c r="H305" t="s">
        <v>750</v>
      </c>
      <c r="I305" t="s">
        <v>30</v>
      </c>
      <c r="J305" t="s">
        <v>70</v>
      </c>
      <c r="K305" t="s">
        <v>57</v>
      </c>
      <c r="L305" t="s">
        <v>39</v>
      </c>
      <c r="M305" t="s">
        <v>33</v>
      </c>
      <c r="N305" s="2">
        <v>45414.677662037036</v>
      </c>
      <c r="O305" s="2">
        <v>45603.208333333336</v>
      </c>
      <c r="P305" s="2">
        <v>45603.208333333336</v>
      </c>
      <c r="Q305" s="2">
        <v>45597</v>
      </c>
      <c r="R305" s="2">
        <v>45597.842278032411</v>
      </c>
      <c r="S305" t="s">
        <v>751</v>
      </c>
      <c r="T305" s="2">
        <v>45470.166666666664</v>
      </c>
      <c r="U305" s="2">
        <v>45504.166666666664</v>
      </c>
      <c r="V305" s="2">
        <v>45504.166666666664</v>
      </c>
      <c r="W305" s="2">
        <v>45504.166666666664</v>
      </c>
      <c r="X305" s="3">
        <f t="shared" si="40"/>
        <v>34</v>
      </c>
      <c r="Y305">
        <f t="shared" si="41"/>
        <v>0</v>
      </c>
      <c r="Z305">
        <f t="shared" si="42"/>
        <v>34</v>
      </c>
      <c r="AA305">
        <f t="shared" si="43"/>
        <v>182.3223379629635</v>
      </c>
      <c r="AB305">
        <f t="shared" si="44"/>
        <v>148.3223379629635</v>
      </c>
      <c r="AC305">
        <f>IFERROR(_xlfn.XLOOKUP(B305, HoldSummary!$A:$A, HoldSummary!B:B), 0)</f>
        <v>0</v>
      </c>
      <c r="AD305">
        <f>IFERROR(_xlfn.XLOOKUP(B305, HoldSummary!$A:$A, HoldSummary!C:C), 0)</f>
        <v>0</v>
      </c>
      <c r="AE305">
        <f>IFERROR(_xlfn.XLOOKUP(B305, HoldSummary!$A:$A, HoldSummary!D:D), 0)</f>
        <v>0</v>
      </c>
      <c r="AF305">
        <f>IFERROR(_xlfn.XLOOKUP(B305, HoldSummary!$A:$A, HoldSummary!E:E), 0)</f>
        <v>0</v>
      </c>
      <c r="AG305">
        <f>IFERROR(_xlfn.XLOOKUP(B305, HoldSummary!$A:$A, HoldSummary!F:F), 0)</f>
        <v>0</v>
      </c>
      <c r="AH305">
        <f>IFERROR(_xlfn.XLOOKUP(B305, HoldSummary!$A:$A, HoldSummary!G:G), 0)</f>
        <v>0</v>
      </c>
      <c r="AI305">
        <f>IFERROR(_xlfn.XLOOKUP(B305, HoldSummary!$A:$A, HoldSummary!H:H), 0)</f>
        <v>0</v>
      </c>
      <c r="AJ305">
        <f>IFERROR(_xlfn.XLOOKUP(B305, HoldSummary!$A:$A, HoldSummary!I:I), 0)</f>
        <v>0</v>
      </c>
      <c r="AK305">
        <f t="shared" si="45"/>
        <v>0</v>
      </c>
      <c r="AL305">
        <f t="shared" si="46"/>
        <v>182.3223379629635</v>
      </c>
      <c r="AM305">
        <f t="shared" si="47"/>
        <v>148.3223379629635</v>
      </c>
      <c r="AN305" s="12">
        <f t="shared" si="48"/>
        <v>-6.2083333333357587</v>
      </c>
      <c r="AO305">
        <f t="shared" si="49"/>
        <v>1</v>
      </c>
    </row>
    <row r="306" spans="1:41" x14ac:dyDescent="0.35">
      <c r="A306" t="s">
        <v>23</v>
      </c>
      <c r="B306" t="s">
        <v>752</v>
      </c>
      <c r="C306" t="s">
        <v>36</v>
      </c>
      <c r="D306" t="s">
        <v>44</v>
      </c>
      <c r="E306" t="s">
        <v>45</v>
      </c>
      <c r="F306" t="s">
        <v>28</v>
      </c>
      <c r="G306">
        <v>13</v>
      </c>
      <c r="H306" t="s">
        <v>753</v>
      </c>
      <c r="I306" t="s">
        <v>30</v>
      </c>
      <c r="J306" t="s">
        <v>31</v>
      </c>
      <c r="K306" t="s">
        <v>38</v>
      </c>
      <c r="L306" t="s">
        <v>39</v>
      </c>
      <c r="M306" t="s">
        <v>33</v>
      </c>
      <c r="N306" s="2">
        <v>45562.759444444448</v>
      </c>
      <c r="O306" s="2">
        <v>45667.208333333336</v>
      </c>
      <c r="P306" s="2">
        <v>45637.208333333336</v>
      </c>
      <c r="Q306" s="2">
        <v>45632</v>
      </c>
      <c r="R306" s="2">
        <v>45632.654087326388</v>
      </c>
      <c r="S306" t="s">
        <v>754</v>
      </c>
      <c r="T306" s="2">
        <v>45572.166666666664</v>
      </c>
      <c r="U306" s="2">
        <v>45609.208333333336</v>
      </c>
      <c r="V306" s="2">
        <v>45609.208333333336</v>
      </c>
      <c r="W306" s="2">
        <v>45629.208333333336</v>
      </c>
      <c r="X306" s="3">
        <f t="shared" si="40"/>
        <v>37.041666666671517</v>
      </c>
      <c r="Y306">
        <f t="shared" si="41"/>
        <v>20</v>
      </c>
      <c r="Z306">
        <f t="shared" si="42"/>
        <v>57.041666666671517</v>
      </c>
      <c r="AA306">
        <f t="shared" si="43"/>
        <v>69.240555555552419</v>
      </c>
      <c r="AB306">
        <f t="shared" si="44"/>
        <v>12.198888888880902</v>
      </c>
      <c r="AC306">
        <f>IFERROR(_xlfn.XLOOKUP(B306, HoldSummary!$A:$A, HoldSummary!B:B), 0)</f>
        <v>0</v>
      </c>
      <c r="AD306">
        <f>IFERROR(_xlfn.XLOOKUP(B306, HoldSummary!$A:$A, HoldSummary!C:C), 0)</f>
        <v>0</v>
      </c>
      <c r="AE306">
        <f>IFERROR(_xlfn.XLOOKUP(B306, HoldSummary!$A:$A, HoldSummary!D:D), 0)</f>
        <v>0</v>
      </c>
      <c r="AF306">
        <f>IFERROR(_xlfn.XLOOKUP(B306, HoldSummary!$A:$A, HoldSummary!E:E), 0)</f>
        <v>0</v>
      </c>
      <c r="AG306">
        <f>IFERROR(_xlfn.XLOOKUP(B306, HoldSummary!$A:$A, HoldSummary!F:F), 0)</f>
        <v>0</v>
      </c>
      <c r="AH306">
        <f>IFERROR(_xlfn.XLOOKUP(B306, HoldSummary!$A:$A, HoldSummary!G:G), 0)</f>
        <v>21</v>
      </c>
      <c r="AI306">
        <f>IFERROR(_xlfn.XLOOKUP(B306, HoldSummary!$A:$A, HoldSummary!H:H), 0)</f>
        <v>0</v>
      </c>
      <c r="AJ306">
        <f>IFERROR(_xlfn.XLOOKUP(B306, HoldSummary!$A:$A, HoldSummary!I:I), 0)</f>
        <v>0</v>
      </c>
      <c r="AK306">
        <f t="shared" si="45"/>
        <v>21</v>
      </c>
      <c r="AL306">
        <f t="shared" si="46"/>
        <v>48.240555555552419</v>
      </c>
      <c r="AM306">
        <f t="shared" si="47"/>
        <v>-8.8011111111190985</v>
      </c>
      <c r="AN306" s="12">
        <f t="shared" si="48"/>
        <v>-35.208333333335759</v>
      </c>
      <c r="AO306">
        <f t="shared" si="49"/>
        <v>1</v>
      </c>
    </row>
    <row r="307" spans="1:41" x14ac:dyDescent="0.35">
      <c r="A307" t="s">
        <v>23</v>
      </c>
      <c r="B307" t="s">
        <v>755</v>
      </c>
      <c r="C307" t="s">
        <v>54</v>
      </c>
      <c r="D307" t="s">
        <v>44</v>
      </c>
      <c r="E307" t="s">
        <v>45</v>
      </c>
      <c r="F307" t="s">
        <v>28</v>
      </c>
      <c r="G307">
        <v>13</v>
      </c>
      <c r="H307" t="s">
        <v>756</v>
      </c>
      <c r="I307" t="s">
        <v>30</v>
      </c>
      <c r="J307" t="s">
        <v>31</v>
      </c>
      <c r="K307" t="s">
        <v>38</v>
      </c>
      <c r="L307" t="s">
        <v>39</v>
      </c>
      <c r="M307" t="s">
        <v>33</v>
      </c>
      <c r="N307" s="2">
        <v>45567.556331018517</v>
      </c>
      <c r="O307" s="2">
        <v>45762.166666666664</v>
      </c>
      <c r="P307" s="2">
        <v>45744.166666666664</v>
      </c>
      <c r="Q307" s="2">
        <v>45740</v>
      </c>
      <c r="R307" s="2">
        <v>45740.730767881942</v>
      </c>
      <c r="S307" t="s">
        <v>162</v>
      </c>
      <c r="T307" s="2">
        <v>45610.208333333336</v>
      </c>
      <c r="U307" s="2">
        <v>45688.208333333336</v>
      </c>
      <c r="V307" s="2">
        <v>45688.208333333336</v>
      </c>
      <c r="W307" s="2">
        <v>45713.208333333336</v>
      </c>
      <c r="X307" s="3">
        <f t="shared" si="40"/>
        <v>78</v>
      </c>
      <c r="Y307">
        <f t="shared" si="41"/>
        <v>25</v>
      </c>
      <c r="Z307">
        <f t="shared" si="42"/>
        <v>103</v>
      </c>
      <c r="AA307">
        <f t="shared" si="43"/>
        <v>172.44366898148292</v>
      </c>
      <c r="AB307">
        <f t="shared" si="44"/>
        <v>69.443668981482915</v>
      </c>
      <c r="AC307">
        <f>IFERROR(_xlfn.XLOOKUP(B307, HoldSummary!$A:$A, HoldSummary!B:B), 0)</f>
        <v>0</v>
      </c>
      <c r="AD307">
        <f>IFERROR(_xlfn.XLOOKUP(B307, HoldSummary!$A:$A, HoldSummary!C:C), 0)</f>
        <v>0</v>
      </c>
      <c r="AE307">
        <f>IFERROR(_xlfn.XLOOKUP(B307, HoldSummary!$A:$A, HoldSummary!D:D), 0)</f>
        <v>0</v>
      </c>
      <c r="AF307">
        <f>IFERROR(_xlfn.XLOOKUP(B307, HoldSummary!$A:$A, HoldSummary!E:E), 0)</f>
        <v>17</v>
      </c>
      <c r="AG307">
        <f>IFERROR(_xlfn.XLOOKUP(B307, HoldSummary!$A:$A, HoldSummary!F:F), 0)</f>
        <v>0</v>
      </c>
      <c r="AH307">
        <f>IFERROR(_xlfn.XLOOKUP(B307, HoldSummary!$A:$A, HoldSummary!G:G), 0)</f>
        <v>0</v>
      </c>
      <c r="AI307">
        <f>IFERROR(_xlfn.XLOOKUP(B307, HoldSummary!$A:$A, HoldSummary!H:H), 0)</f>
        <v>0</v>
      </c>
      <c r="AJ307">
        <f>IFERROR(_xlfn.XLOOKUP(B307, HoldSummary!$A:$A, HoldSummary!I:I), 0)</f>
        <v>0</v>
      </c>
      <c r="AK307">
        <f t="shared" si="45"/>
        <v>17</v>
      </c>
      <c r="AL307">
        <f t="shared" si="46"/>
        <v>155.44366898148292</v>
      </c>
      <c r="AM307">
        <f t="shared" si="47"/>
        <v>52.443668981482915</v>
      </c>
      <c r="AN307" s="12">
        <f t="shared" si="48"/>
        <v>-22.166666666664241</v>
      </c>
      <c r="AO307">
        <f t="shared" si="49"/>
        <v>1</v>
      </c>
    </row>
    <row r="308" spans="1:41" x14ac:dyDescent="0.35">
      <c r="A308" t="s">
        <v>23</v>
      </c>
      <c r="B308" t="s">
        <v>757</v>
      </c>
      <c r="C308" t="s">
        <v>135</v>
      </c>
      <c r="D308" t="s">
        <v>44</v>
      </c>
      <c r="E308" t="s">
        <v>45</v>
      </c>
      <c r="F308" t="s">
        <v>28</v>
      </c>
      <c r="G308">
        <v>13</v>
      </c>
      <c r="H308" t="s">
        <v>758</v>
      </c>
      <c r="I308" t="s">
        <v>30</v>
      </c>
      <c r="J308" t="s">
        <v>31</v>
      </c>
      <c r="K308" t="s">
        <v>32</v>
      </c>
      <c r="M308" t="s">
        <v>33</v>
      </c>
      <c r="N308" s="2">
        <v>45609.855798611112</v>
      </c>
      <c r="O308" s="2">
        <v>45702.208333333336</v>
      </c>
      <c r="P308" s="2">
        <v>45702.208333333336</v>
      </c>
      <c r="Q308" s="2">
        <v>45678</v>
      </c>
      <c r="R308" s="2">
        <v>45678.832151921299</v>
      </c>
      <c r="T308" s="2">
        <v>45659.208333333336</v>
      </c>
      <c r="U308" s="2">
        <v>45670.208333333336</v>
      </c>
      <c r="V308" s="2">
        <v>45670.208333333336</v>
      </c>
      <c r="W308" s="2">
        <v>45671.208333333336</v>
      </c>
      <c r="X308" s="3">
        <f t="shared" si="40"/>
        <v>11</v>
      </c>
      <c r="Y308">
        <f t="shared" si="41"/>
        <v>1</v>
      </c>
      <c r="Z308">
        <f t="shared" si="42"/>
        <v>12</v>
      </c>
      <c r="AA308">
        <f t="shared" si="43"/>
        <v>68.144201388888177</v>
      </c>
      <c r="AB308">
        <f t="shared" si="44"/>
        <v>56.144201388888177</v>
      </c>
      <c r="AC308">
        <f>IFERROR(_xlfn.XLOOKUP(B308, HoldSummary!$A:$A, HoldSummary!B:B), 0)</f>
        <v>0</v>
      </c>
      <c r="AD308">
        <f>IFERROR(_xlfn.XLOOKUP(B308, HoldSummary!$A:$A, HoldSummary!C:C), 0)</f>
        <v>0</v>
      </c>
      <c r="AE308">
        <f>IFERROR(_xlfn.XLOOKUP(B308, HoldSummary!$A:$A, HoldSummary!D:D), 0)</f>
        <v>0</v>
      </c>
      <c r="AF308">
        <f>IFERROR(_xlfn.XLOOKUP(B308, HoldSummary!$A:$A, HoldSummary!E:E), 0)</f>
        <v>0</v>
      </c>
      <c r="AG308">
        <f>IFERROR(_xlfn.XLOOKUP(B308, HoldSummary!$A:$A, HoldSummary!F:F), 0)</f>
        <v>0</v>
      </c>
      <c r="AH308">
        <f>IFERROR(_xlfn.XLOOKUP(B308, HoldSummary!$A:$A, HoldSummary!G:G), 0)</f>
        <v>0</v>
      </c>
      <c r="AI308">
        <f>IFERROR(_xlfn.XLOOKUP(B308, HoldSummary!$A:$A, HoldSummary!H:H), 0)</f>
        <v>2</v>
      </c>
      <c r="AJ308">
        <f>IFERROR(_xlfn.XLOOKUP(B308, HoldSummary!$A:$A, HoldSummary!I:I), 0)</f>
        <v>0</v>
      </c>
      <c r="AK308">
        <f t="shared" si="45"/>
        <v>2</v>
      </c>
      <c r="AL308">
        <f t="shared" si="46"/>
        <v>66.144201388888177</v>
      </c>
      <c r="AM308">
        <f t="shared" si="47"/>
        <v>54.144201388888177</v>
      </c>
      <c r="AN308" s="12">
        <f t="shared" si="48"/>
        <v>-24.208333333335759</v>
      </c>
      <c r="AO308">
        <f t="shared" si="49"/>
        <v>1</v>
      </c>
    </row>
    <row r="309" spans="1:41" x14ac:dyDescent="0.35">
      <c r="A309" t="s">
        <v>23</v>
      </c>
      <c r="B309" t="s">
        <v>759</v>
      </c>
      <c r="C309" t="s">
        <v>36</v>
      </c>
      <c r="D309" t="s">
        <v>44</v>
      </c>
      <c r="E309" t="s">
        <v>45</v>
      </c>
      <c r="F309" t="s">
        <v>28</v>
      </c>
      <c r="G309">
        <v>13</v>
      </c>
      <c r="H309" t="s">
        <v>760</v>
      </c>
      <c r="I309" t="s">
        <v>30</v>
      </c>
      <c r="J309" t="s">
        <v>31</v>
      </c>
      <c r="K309" t="s">
        <v>48</v>
      </c>
      <c r="L309" t="s">
        <v>49</v>
      </c>
      <c r="N309" s="2">
        <v>45621.587951388887</v>
      </c>
      <c r="O309" s="2">
        <v>45646.208333333336</v>
      </c>
      <c r="P309" s="2">
        <v>45688.208333333336</v>
      </c>
      <c r="Q309" s="2">
        <v>45688</v>
      </c>
      <c r="R309" s="2">
        <v>45688.923865937497</v>
      </c>
      <c r="T309" s="2">
        <v>45631.208333333336</v>
      </c>
      <c r="U309" s="2">
        <v>45635.208333333336</v>
      </c>
      <c r="V309" s="2">
        <v>45635.208333333336</v>
      </c>
      <c r="W309" s="2">
        <v>45635.208333333336</v>
      </c>
      <c r="X309" s="3">
        <f t="shared" si="40"/>
        <v>4</v>
      </c>
      <c r="Y309">
        <f t="shared" si="41"/>
        <v>0</v>
      </c>
      <c r="Z309">
        <f t="shared" si="42"/>
        <v>4</v>
      </c>
      <c r="AA309">
        <f t="shared" si="43"/>
        <v>66.412048611113278</v>
      </c>
      <c r="AB309">
        <f t="shared" si="44"/>
        <v>62.412048611113278</v>
      </c>
      <c r="AC309">
        <f>IFERROR(_xlfn.XLOOKUP(B309, HoldSummary!$A:$A, HoldSummary!B:B), 0)</f>
        <v>0</v>
      </c>
      <c r="AD309">
        <f>IFERROR(_xlfn.XLOOKUP(B309, HoldSummary!$A:$A, HoldSummary!C:C), 0)</f>
        <v>0</v>
      </c>
      <c r="AE309">
        <f>IFERROR(_xlfn.XLOOKUP(B309, HoldSummary!$A:$A, HoldSummary!D:D), 0)</f>
        <v>0</v>
      </c>
      <c r="AF309">
        <f>IFERROR(_xlfn.XLOOKUP(B309, HoldSummary!$A:$A, HoldSummary!E:E), 0)</f>
        <v>0</v>
      </c>
      <c r="AG309">
        <f>IFERROR(_xlfn.XLOOKUP(B309, HoldSummary!$A:$A, HoldSummary!F:F), 0)</f>
        <v>0.13096011574089061</v>
      </c>
      <c r="AH309">
        <f>IFERROR(_xlfn.XLOOKUP(B309, HoldSummary!$A:$A, HoldSummary!G:G), 0)</f>
        <v>0</v>
      </c>
      <c r="AI309">
        <f>IFERROR(_xlfn.XLOOKUP(B309, HoldSummary!$A:$A, HoldSummary!H:H), 0)</f>
        <v>0</v>
      </c>
      <c r="AJ309">
        <f>IFERROR(_xlfn.XLOOKUP(B309, HoldSummary!$A:$A, HoldSummary!I:I), 0)</f>
        <v>0</v>
      </c>
      <c r="AK309">
        <f t="shared" si="45"/>
        <v>0.13096011574089061</v>
      </c>
      <c r="AL309">
        <f t="shared" si="46"/>
        <v>66.281088495372387</v>
      </c>
      <c r="AM309">
        <f t="shared" si="47"/>
        <v>62.281088495372387</v>
      </c>
      <c r="AN309" s="12">
        <f t="shared" si="48"/>
        <v>41.791666666664241</v>
      </c>
      <c r="AO309">
        <f t="shared" si="49"/>
        <v>0</v>
      </c>
    </row>
    <row r="310" spans="1:41" x14ac:dyDescent="0.35">
      <c r="A310" t="s">
        <v>23</v>
      </c>
      <c r="B310" t="s">
        <v>761</v>
      </c>
      <c r="C310" t="s">
        <v>36</v>
      </c>
      <c r="D310" t="s">
        <v>44</v>
      </c>
      <c r="E310" t="s">
        <v>45</v>
      </c>
      <c r="F310" t="s">
        <v>28</v>
      </c>
      <c r="G310">
        <v>13</v>
      </c>
      <c r="H310" t="s">
        <v>762</v>
      </c>
      <c r="I310" t="s">
        <v>30</v>
      </c>
      <c r="J310" t="s">
        <v>31</v>
      </c>
      <c r="K310" t="s">
        <v>38</v>
      </c>
      <c r="L310" t="s">
        <v>39</v>
      </c>
      <c r="N310" s="2">
        <v>45631.805937500001</v>
      </c>
      <c r="O310" s="2">
        <v>45646.208333333336</v>
      </c>
      <c r="P310" s="2">
        <v>45646.208333333336</v>
      </c>
      <c r="Q310" s="2">
        <v>45643</v>
      </c>
      <c r="R310" s="2">
        <v>45643.612966932873</v>
      </c>
      <c r="T310" s="2"/>
      <c r="U310" s="2"/>
      <c r="V310" s="2"/>
      <c r="W310" s="2"/>
      <c r="X310" s="3" t="str">
        <f t="shared" si="40"/>
        <v/>
      </c>
      <c r="Y310" t="str">
        <f t="shared" si="41"/>
        <v/>
      </c>
      <c r="Z310">
        <f t="shared" si="42"/>
        <v>0</v>
      </c>
      <c r="AA310">
        <f t="shared" si="43"/>
        <v>11.194062499998836</v>
      </c>
      <c r="AB310">
        <f t="shared" si="44"/>
        <v>11.194062499998836</v>
      </c>
      <c r="AC310">
        <f>IFERROR(_xlfn.XLOOKUP(B310, HoldSummary!$A:$A, HoldSummary!B:B), 0)</f>
        <v>0</v>
      </c>
      <c r="AD310">
        <f>IFERROR(_xlfn.XLOOKUP(B310, HoldSummary!$A:$A, HoldSummary!C:C), 0)</f>
        <v>0</v>
      </c>
      <c r="AE310">
        <f>IFERROR(_xlfn.XLOOKUP(B310, HoldSummary!$A:$A, HoldSummary!D:D), 0)</f>
        <v>0</v>
      </c>
      <c r="AF310">
        <f>IFERROR(_xlfn.XLOOKUP(B310, HoldSummary!$A:$A, HoldSummary!E:E), 0)</f>
        <v>0</v>
      </c>
      <c r="AG310">
        <f>IFERROR(_xlfn.XLOOKUP(B310, HoldSummary!$A:$A, HoldSummary!F:F), 0)</f>
        <v>0</v>
      </c>
      <c r="AH310">
        <f>IFERROR(_xlfn.XLOOKUP(B310, HoldSummary!$A:$A, HoldSummary!G:G), 0)</f>
        <v>0</v>
      </c>
      <c r="AI310">
        <f>IFERROR(_xlfn.XLOOKUP(B310, HoldSummary!$A:$A, HoldSummary!H:H), 0)</f>
        <v>0</v>
      </c>
      <c r="AJ310">
        <f>IFERROR(_xlfn.XLOOKUP(B310, HoldSummary!$A:$A, HoldSummary!I:I), 0)</f>
        <v>0</v>
      </c>
      <c r="AK310">
        <f t="shared" si="45"/>
        <v>0</v>
      </c>
      <c r="AL310">
        <f t="shared" si="46"/>
        <v>11.194062499998836</v>
      </c>
      <c r="AM310">
        <f t="shared" si="47"/>
        <v>11.194062499998836</v>
      </c>
      <c r="AN310" s="12">
        <f t="shared" si="48"/>
        <v>-3.2083333333357587</v>
      </c>
      <c r="AO310">
        <f t="shared" si="49"/>
        <v>1</v>
      </c>
    </row>
    <row r="311" spans="1:41" x14ac:dyDescent="0.35">
      <c r="A311" t="s">
        <v>23</v>
      </c>
      <c r="B311">
        <v>110191</v>
      </c>
      <c r="C311" t="s">
        <v>36</v>
      </c>
      <c r="D311" t="s">
        <v>44</v>
      </c>
      <c r="E311" t="s">
        <v>55</v>
      </c>
      <c r="F311" t="s">
        <v>28</v>
      </c>
      <c r="G311">
        <v>13</v>
      </c>
      <c r="H311" t="s">
        <v>763</v>
      </c>
      <c r="I311" t="s">
        <v>30</v>
      </c>
      <c r="J311" t="s">
        <v>31</v>
      </c>
      <c r="K311" t="s">
        <v>57</v>
      </c>
      <c r="L311" t="s">
        <v>39</v>
      </c>
      <c r="M311" t="s">
        <v>33</v>
      </c>
      <c r="N311" s="2">
        <v>45643.208333333336</v>
      </c>
      <c r="O311" s="2">
        <v>45646.208333333336</v>
      </c>
      <c r="P311" s="2">
        <v>45646.208333333336</v>
      </c>
      <c r="Q311" s="2">
        <v>45645</v>
      </c>
      <c r="R311" s="2">
        <v>45645.764875034722</v>
      </c>
      <c r="S311" t="s">
        <v>764</v>
      </c>
      <c r="T311" s="2"/>
      <c r="U311" s="2"/>
      <c r="V311" s="2"/>
      <c r="W311" s="2"/>
      <c r="X311" s="3" t="str">
        <f t="shared" si="40"/>
        <v/>
      </c>
      <c r="Y311" t="str">
        <f t="shared" si="41"/>
        <v/>
      </c>
      <c r="Z311">
        <f t="shared" si="42"/>
        <v>0</v>
      </c>
      <c r="AA311">
        <f t="shared" si="43"/>
        <v>1.7916666666642413</v>
      </c>
      <c r="AB311">
        <f t="shared" si="44"/>
        <v>1.7916666666642413</v>
      </c>
      <c r="AC311">
        <f>IFERROR(_xlfn.XLOOKUP(B311, HoldSummary!$A:$A, HoldSummary!B:B), 0)</f>
        <v>0</v>
      </c>
      <c r="AD311">
        <f>IFERROR(_xlfn.XLOOKUP(B311, HoldSummary!$A:$A, HoldSummary!C:C), 0)</f>
        <v>0</v>
      </c>
      <c r="AE311">
        <f>IFERROR(_xlfn.XLOOKUP(B311, HoldSummary!$A:$A, HoldSummary!D:D), 0)</f>
        <v>0</v>
      </c>
      <c r="AF311">
        <f>IFERROR(_xlfn.XLOOKUP(B311, HoldSummary!$A:$A, HoldSummary!E:E), 0)</f>
        <v>0</v>
      </c>
      <c r="AG311">
        <f>IFERROR(_xlfn.XLOOKUP(B311, HoldSummary!$A:$A, HoldSummary!F:F), 0)</f>
        <v>0</v>
      </c>
      <c r="AH311">
        <f>IFERROR(_xlfn.XLOOKUP(B311, HoldSummary!$A:$A, HoldSummary!G:G), 0)</f>
        <v>0</v>
      </c>
      <c r="AI311">
        <f>IFERROR(_xlfn.XLOOKUP(B311, HoldSummary!$A:$A, HoldSummary!H:H), 0)</f>
        <v>0</v>
      </c>
      <c r="AJ311">
        <f>IFERROR(_xlfn.XLOOKUP(B311, HoldSummary!$A:$A, HoldSummary!I:I), 0)</f>
        <v>0</v>
      </c>
      <c r="AK311">
        <f t="shared" si="45"/>
        <v>0</v>
      </c>
      <c r="AL311">
        <f t="shared" si="46"/>
        <v>1.7916666666642413</v>
      </c>
      <c r="AM311">
        <f t="shared" si="47"/>
        <v>1.7916666666642413</v>
      </c>
      <c r="AN311" s="12">
        <f t="shared" si="48"/>
        <v>-1.2083333333357587</v>
      </c>
      <c r="AO311">
        <f t="shared" si="49"/>
        <v>1</v>
      </c>
    </row>
    <row r="312" spans="1:41" x14ac:dyDescent="0.35">
      <c r="A312" t="s">
        <v>23</v>
      </c>
      <c r="B312" t="s">
        <v>765</v>
      </c>
      <c r="C312" t="s">
        <v>36</v>
      </c>
      <c r="D312" t="s">
        <v>44</v>
      </c>
      <c r="E312" t="s">
        <v>44</v>
      </c>
      <c r="F312" t="s">
        <v>28</v>
      </c>
      <c r="G312">
        <v>13</v>
      </c>
      <c r="H312" t="s">
        <v>766</v>
      </c>
      <c r="I312" t="s">
        <v>30</v>
      </c>
      <c r="J312" t="s">
        <v>31</v>
      </c>
      <c r="K312" t="s">
        <v>48</v>
      </c>
      <c r="L312" t="s">
        <v>49</v>
      </c>
      <c r="M312" t="s">
        <v>33</v>
      </c>
      <c r="N312" s="2">
        <v>45645.208333333336</v>
      </c>
      <c r="O312" s="2">
        <v>45693.208333333336</v>
      </c>
      <c r="P312" s="2">
        <v>45693.208333333336</v>
      </c>
      <c r="Q312" s="2">
        <v>45692</v>
      </c>
      <c r="R312" s="2">
        <v>45692.567624571762</v>
      </c>
      <c r="T312" s="2"/>
      <c r="U312" s="2"/>
      <c r="V312" s="2"/>
      <c r="W312" s="2"/>
      <c r="X312" s="3" t="str">
        <f t="shared" si="40"/>
        <v/>
      </c>
      <c r="Y312" t="str">
        <f t="shared" si="41"/>
        <v/>
      </c>
      <c r="Z312">
        <f t="shared" si="42"/>
        <v>0</v>
      </c>
      <c r="AA312">
        <f t="shared" si="43"/>
        <v>46.791666666664241</v>
      </c>
      <c r="AB312">
        <f t="shared" si="44"/>
        <v>46.791666666664241</v>
      </c>
      <c r="AC312">
        <f>IFERROR(_xlfn.XLOOKUP(B312, HoldSummary!$A:$A, HoldSummary!B:B), 0)</f>
        <v>0</v>
      </c>
      <c r="AD312">
        <f>IFERROR(_xlfn.XLOOKUP(B312, HoldSummary!$A:$A, HoldSummary!C:C), 0)</f>
        <v>0</v>
      </c>
      <c r="AE312">
        <f>IFERROR(_xlfn.XLOOKUP(B312, HoldSummary!$A:$A, HoldSummary!D:D), 0)</f>
        <v>0</v>
      </c>
      <c r="AF312">
        <f>IFERROR(_xlfn.XLOOKUP(B312, HoldSummary!$A:$A, HoldSummary!E:E), 0)</f>
        <v>0</v>
      </c>
      <c r="AG312">
        <f>IFERROR(_xlfn.XLOOKUP(B312, HoldSummary!$A:$A, HoldSummary!F:F), 0)</f>
        <v>0</v>
      </c>
      <c r="AH312">
        <f>IFERROR(_xlfn.XLOOKUP(B312, HoldSummary!$A:$A, HoldSummary!G:G), 0)</f>
        <v>0</v>
      </c>
      <c r="AI312">
        <f>IFERROR(_xlfn.XLOOKUP(B312, HoldSummary!$A:$A, HoldSummary!H:H), 0)</f>
        <v>0</v>
      </c>
      <c r="AJ312">
        <f>IFERROR(_xlfn.XLOOKUP(B312, HoldSummary!$A:$A, HoldSummary!I:I), 0)</f>
        <v>0</v>
      </c>
      <c r="AK312">
        <f t="shared" si="45"/>
        <v>0</v>
      </c>
      <c r="AL312">
        <f t="shared" si="46"/>
        <v>46.791666666664241</v>
      </c>
      <c r="AM312">
        <f t="shared" si="47"/>
        <v>46.791666666664241</v>
      </c>
      <c r="AN312" s="12">
        <f t="shared" si="48"/>
        <v>-1.2083333333357587</v>
      </c>
      <c r="AO312">
        <f t="shared" si="49"/>
        <v>1</v>
      </c>
    </row>
    <row r="313" spans="1:41" x14ac:dyDescent="0.35">
      <c r="A313" t="s">
        <v>23</v>
      </c>
      <c r="B313" t="s">
        <v>767</v>
      </c>
      <c r="C313" t="s">
        <v>409</v>
      </c>
      <c r="D313" t="s">
        <v>44</v>
      </c>
      <c r="E313" t="s">
        <v>45</v>
      </c>
      <c r="F313" t="s">
        <v>28</v>
      </c>
      <c r="G313">
        <v>13</v>
      </c>
      <c r="H313" t="s">
        <v>768</v>
      </c>
      <c r="I313" t="s">
        <v>30</v>
      </c>
      <c r="J313" t="s">
        <v>31</v>
      </c>
      <c r="K313" t="s">
        <v>38</v>
      </c>
      <c r="L313" t="s">
        <v>39</v>
      </c>
      <c r="M313" t="s">
        <v>33</v>
      </c>
      <c r="N313" s="2">
        <v>45588.571909722225</v>
      </c>
      <c r="O313" s="2">
        <v>45790.166666666664</v>
      </c>
      <c r="P313" s="2">
        <v>45777.166666666664</v>
      </c>
      <c r="Q313" s="2">
        <v>45757</v>
      </c>
      <c r="R313" s="2">
        <v>45757.844470995369</v>
      </c>
      <c r="S313" t="s">
        <v>708</v>
      </c>
      <c r="T313" s="2">
        <v>45733.166666666664</v>
      </c>
      <c r="U313" s="2">
        <v>45733.166666666664</v>
      </c>
      <c r="V313" s="2">
        <v>45733.166666666664</v>
      </c>
      <c r="W313" s="2">
        <v>45736.166666666664</v>
      </c>
      <c r="X313" s="3">
        <f t="shared" si="40"/>
        <v>0</v>
      </c>
      <c r="Y313">
        <f t="shared" si="41"/>
        <v>3</v>
      </c>
      <c r="Z313">
        <f t="shared" si="42"/>
        <v>3</v>
      </c>
      <c r="AA313">
        <f t="shared" si="43"/>
        <v>168.42809027777548</v>
      </c>
      <c r="AB313">
        <f t="shared" si="44"/>
        <v>165.42809027777548</v>
      </c>
      <c r="AC313">
        <f>IFERROR(_xlfn.XLOOKUP(B313, HoldSummary!$A:$A, HoldSummary!B:B), 0)</f>
        <v>29</v>
      </c>
      <c r="AD313">
        <f>IFERROR(_xlfn.XLOOKUP(B313, HoldSummary!$A:$A, HoldSummary!C:C), 0)</f>
        <v>0</v>
      </c>
      <c r="AE313">
        <f>IFERROR(_xlfn.XLOOKUP(B313, HoldSummary!$A:$A, HoldSummary!D:D), 0)</f>
        <v>0</v>
      </c>
      <c r="AF313">
        <f>IFERROR(_xlfn.XLOOKUP(B313, HoldSummary!$A:$A, HoldSummary!E:E), 0)</f>
        <v>0</v>
      </c>
      <c r="AG313">
        <f>IFERROR(_xlfn.XLOOKUP(B313, HoldSummary!$A:$A, HoldSummary!F:F), 0)</f>
        <v>0</v>
      </c>
      <c r="AH313">
        <f>IFERROR(_xlfn.XLOOKUP(B313, HoldSummary!$A:$A, HoldSummary!G:G), 0)</f>
        <v>0</v>
      </c>
      <c r="AI313">
        <f>IFERROR(_xlfn.XLOOKUP(B313, HoldSummary!$A:$A, HoldSummary!H:H), 0)</f>
        <v>0</v>
      </c>
      <c r="AJ313">
        <f>IFERROR(_xlfn.XLOOKUP(B313, HoldSummary!$A:$A, HoldSummary!I:I), 0)</f>
        <v>0</v>
      </c>
      <c r="AK313">
        <f t="shared" si="45"/>
        <v>29</v>
      </c>
      <c r="AL313">
        <f t="shared" si="46"/>
        <v>139.42809027777548</v>
      </c>
      <c r="AM313">
        <f t="shared" si="47"/>
        <v>136.42809027777548</v>
      </c>
      <c r="AN313" s="12">
        <f t="shared" si="48"/>
        <v>-33.166666666664241</v>
      </c>
      <c r="AO313">
        <f t="shared" si="49"/>
        <v>1</v>
      </c>
    </row>
    <row r="314" spans="1:41" x14ac:dyDescent="0.35">
      <c r="A314" t="s">
        <v>23</v>
      </c>
      <c r="B314" t="s">
        <v>769</v>
      </c>
      <c r="C314" t="s">
        <v>54</v>
      </c>
      <c r="D314" t="s">
        <v>44</v>
      </c>
      <c r="E314" t="s">
        <v>45</v>
      </c>
      <c r="F314" t="s">
        <v>28</v>
      </c>
      <c r="G314">
        <v>13</v>
      </c>
      <c r="H314" t="s">
        <v>770</v>
      </c>
      <c r="I314" t="s">
        <v>30</v>
      </c>
      <c r="J314" t="s">
        <v>31</v>
      </c>
      <c r="K314" t="s">
        <v>38</v>
      </c>
      <c r="L314" t="s">
        <v>39</v>
      </c>
      <c r="M314" t="s">
        <v>33</v>
      </c>
      <c r="N314" s="2">
        <v>45743.558576388888</v>
      </c>
      <c r="O314" s="2">
        <v>45828.166666666664</v>
      </c>
      <c r="P314" s="2">
        <v>45863.166666666664</v>
      </c>
      <c r="Q314" s="2">
        <v>45856</v>
      </c>
      <c r="R314" s="2">
        <v>45859.855606608799</v>
      </c>
      <c r="T314" s="2">
        <v>45783.166666666664</v>
      </c>
      <c r="U314" s="2">
        <v>45789.166666666664</v>
      </c>
      <c r="V314" s="2">
        <v>45797.166666666664</v>
      </c>
      <c r="W314" s="2">
        <v>45831.166666666664</v>
      </c>
      <c r="X314" s="3">
        <f t="shared" si="40"/>
        <v>6</v>
      </c>
      <c r="Y314">
        <f t="shared" si="41"/>
        <v>34</v>
      </c>
      <c r="Z314">
        <f t="shared" si="42"/>
        <v>40</v>
      </c>
      <c r="AA314">
        <f t="shared" si="43"/>
        <v>112.44142361111153</v>
      </c>
      <c r="AB314">
        <f t="shared" si="44"/>
        <v>72.441423611111531</v>
      </c>
      <c r="AC314">
        <f>IFERROR(_xlfn.XLOOKUP(B314, HoldSummary!$A:$A, HoldSummary!B:B), 0)</f>
        <v>0</v>
      </c>
      <c r="AD314">
        <f>IFERROR(_xlfn.XLOOKUP(B314, HoldSummary!$A:$A, HoldSummary!C:C), 0)</f>
        <v>9</v>
      </c>
      <c r="AE314">
        <f>IFERROR(_xlfn.XLOOKUP(B314, HoldSummary!$A:$A, HoldSummary!D:D), 0)</f>
        <v>0</v>
      </c>
      <c r="AF314">
        <f>IFERROR(_xlfn.XLOOKUP(B314, HoldSummary!$A:$A, HoldSummary!E:E), 0)</f>
        <v>0</v>
      </c>
      <c r="AG314">
        <f>IFERROR(_xlfn.XLOOKUP(B314, HoldSummary!$A:$A, HoldSummary!F:F), 0)</f>
        <v>0</v>
      </c>
      <c r="AH314">
        <f>IFERROR(_xlfn.XLOOKUP(B314, HoldSummary!$A:$A, HoldSummary!G:G), 0)</f>
        <v>0</v>
      </c>
      <c r="AI314">
        <f>IFERROR(_xlfn.XLOOKUP(B314, HoldSummary!$A:$A, HoldSummary!H:H), 0)</f>
        <v>0</v>
      </c>
      <c r="AJ314">
        <f>IFERROR(_xlfn.XLOOKUP(B314, HoldSummary!$A:$A, HoldSummary!I:I), 0)</f>
        <v>0</v>
      </c>
      <c r="AK314">
        <f t="shared" si="45"/>
        <v>9</v>
      </c>
      <c r="AL314">
        <f t="shared" si="46"/>
        <v>103.44142361111153</v>
      </c>
      <c r="AM314">
        <f t="shared" si="47"/>
        <v>63.441423611111531</v>
      </c>
      <c r="AN314" s="12">
        <f t="shared" si="48"/>
        <v>27.833333333335759</v>
      </c>
      <c r="AO314">
        <f t="shared" si="49"/>
        <v>0</v>
      </c>
    </row>
    <row r="315" spans="1:41" x14ac:dyDescent="0.35">
      <c r="A315" t="s">
        <v>23</v>
      </c>
      <c r="B315" t="s">
        <v>2279</v>
      </c>
      <c r="C315" t="s">
        <v>36</v>
      </c>
      <c r="D315" t="s">
        <v>44</v>
      </c>
      <c r="E315" t="s">
        <v>45</v>
      </c>
      <c r="F315" t="s">
        <v>28</v>
      </c>
      <c r="G315">
        <v>13</v>
      </c>
      <c r="H315" t="s">
        <v>2280</v>
      </c>
      <c r="I315" t="s">
        <v>30</v>
      </c>
      <c r="J315" t="s">
        <v>31</v>
      </c>
      <c r="K315" t="s">
        <v>48</v>
      </c>
      <c r="L315" t="s">
        <v>192</v>
      </c>
      <c r="M315" t="s">
        <v>81</v>
      </c>
      <c r="N315" s="2">
        <v>45818.62164351852</v>
      </c>
      <c r="O315" s="2">
        <v>45875.166666666664</v>
      </c>
      <c r="P315" s="2">
        <v>45875.166666666664</v>
      </c>
      <c r="Q315" s="2">
        <v>45861</v>
      </c>
      <c r="R315" s="2">
        <v>45861.671332349535</v>
      </c>
      <c r="S315" t="s">
        <v>84</v>
      </c>
      <c r="T315" s="2">
        <v>45833.166666666664</v>
      </c>
      <c r="U315" s="2">
        <v>45833.166666666664</v>
      </c>
      <c r="V315" s="2"/>
      <c r="W315" s="2">
        <v>45857.166666666664</v>
      </c>
      <c r="X315" s="3">
        <f t="shared" si="40"/>
        <v>0</v>
      </c>
      <c r="Y315" t="str">
        <f t="shared" si="41"/>
        <v/>
      </c>
      <c r="Z315">
        <f t="shared" si="42"/>
        <v>0</v>
      </c>
      <c r="AA315">
        <f t="shared" si="43"/>
        <v>42.378356481480296</v>
      </c>
      <c r="AB315">
        <f t="shared" si="44"/>
        <v>42.378356481480296</v>
      </c>
      <c r="AC315">
        <f>IFERROR(_xlfn.XLOOKUP(B315, HoldSummary!$A:$A, HoldSummary!B:B), 0)</f>
        <v>0</v>
      </c>
      <c r="AD315">
        <f>IFERROR(_xlfn.XLOOKUP(B315, HoldSummary!$A:$A, HoldSummary!C:C), 0)</f>
        <v>0</v>
      </c>
      <c r="AE315">
        <f>IFERROR(_xlfn.XLOOKUP(B315, HoldSummary!$A:$A, HoldSummary!D:D), 0)</f>
        <v>0</v>
      </c>
      <c r="AF315">
        <f>IFERROR(_xlfn.XLOOKUP(B315, HoldSummary!$A:$A, HoldSummary!E:E), 0)</f>
        <v>0</v>
      </c>
      <c r="AG315">
        <f>IFERROR(_xlfn.XLOOKUP(B315, HoldSummary!$A:$A, HoldSummary!F:F), 0)</f>
        <v>0</v>
      </c>
      <c r="AH315">
        <f>IFERROR(_xlfn.XLOOKUP(B315, HoldSummary!$A:$A, HoldSummary!G:G), 0)</f>
        <v>0</v>
      </c>
      <c r="AI315">
        <f>IFERROR(_xlfn.XLOOKUP(B315, HoldSummary!$A:$A, HoldSummary!H:H), 0)</f>
        <v>0</v>
      </c>
      <c r="AJ315">
        <f>IFERROR(_xlfn.XLOOKUP(B315, HoldSummary!$A:$A, HoldSummary!I:I), 0)</f>
        <v>0</v>
      </c>
      <c r="AK315">
        <f t="shared" si="45"/>
        <v>0</v>
      </c>
      <c r="AL315">
        <f t="shared" si="46"/>
        <v>42.378356481480296</v>
      </c>
      <c r="AM315">
        <f t="shared" si="47"/>
        <v>42.378356481480296</v>
      </c>
      <c r="AN315" s="12">
        <f t="shared" si="48"/>
        <v>-14.166666666664241</v>
      </c>
      <c r="AO315">
        <f t="shared" si="49"/>
        <v>1</v>
      </c>
    </row>
    <row r="316" spans="1:41" x14ac:dyDescent="0.35">
      <c r="A316" t="s">
        <v>23</v>
      </c>
      <c r="B316" t="s">
        <v>771</v>
      </c>
      <c r="C316" t="s">
        <v>135</v>
      </c>
      <c r="D316" t="s">
        <v>44</v>
      </c>
      <c r="E316" t="s">
        <v>45</v>
      </c>
      <c r="F316" t="s">
        <v>28</v>
      </c>
      <c r="G316">
        <v>14</v>
      </c>
      <c r="H316" t="s">
        <v>772</v>
      </c>
      <c r="I316" t="s">
        <v>30</v>
      </c>
      <c r="J316" t="s">
        <v>31</v>
      </c>
      <c r="K316" t="s">
        <v>32</v>
      </c>
      <c r="L316" t="s">
        <v>32</v>
      </c>
      <c r="N316" s="2">
        <v>45071.504803240743</v>
      </c>
      <c r="O316" s="2">
        <v>45702.208333333336</v>
      </c>
      <c r="P316" s="2">
        <v>45756.166666666664</v>
      </c>
      <c r="Q316" s="2">
        <v>45751</v>
      </c>
      <c r="R316" s="2">
        <v>45755.608728993058</v>
      </c>
      <c r="S316" t="s">
        <v>745</v>
      </c>
      <c r="T316" s="2">
        <v>45189.166666666664</v>
      </c>
      <c r="U316" s="2">
        <v>45707.208333333336</v>
      </c>
      <c r="V316" s="2">
        <v>45707.208333333336</v>
      </c>
      <c r="W316" s="2">
        <v>45723.208333333336</v>
      </c>
      <c r="X316" s="3">
        <f t="shared" si="40"/>
        <v>518.04166666667152</v>
      </c>
      <c r="Y316">
        <f t="shared" si="41"/>
        <v>16</v>
      </c>
      <c r="Z316">
        <f t="shared" si="42"/>
        <v>534.04166666667152</v>
      </c>
      <c r="AA316">
        <f t="shared" si="43"/>
        <v>679.49519675925694</v>
      </c>
      <c r="AB316">
        <f t="shared" si="44"/>
        <v>145.45353009258542</v>
      </c>
      <c r="AC316">
        <f>IFERROR(_xlfn.XLOOKUP(B316, HoldSummary!$A:$A, HoldSummary!B:B), 0)</f>
        <v>0</v>
      </c>
      <c r="AD316">
        <f>IFERROR(_xlfn.XLOOKUP(B316, HoldSummary!$A:$A, HoldSummary!C:C), 0)</f>
        <v>0</v>
      </c>
      <c r="AE316">
        <f>IFERROR(_xlfn.XLOOKUP(B316, HoldSummary!$A:$A, HoldSummary!D:D), 0)</f>
        <v>0</v>
      </c>
      <c r="AF316">
        <f>IFERROR(_xlfn.XLOOKUP(B316, HoldSummary!$A:$A, HoldSummary!E:E), 0)</f>
        <v>0</v>
      </c>
      <c r="AG316">
        <f>IFERROR(_xlfn.XLOOKUP(B316, HoldSummary!$A:$A, HoldSummary!F:F), 0)</f>
        <v>0</v>
      </c>
      <c r="AH316">
        <f>IFERROR(_xlfn.XLOOKUP(B316, HoldSummary!$A:$A, HoldSummary!G:G), 0)</f>
        <v>0</v>
      </c>
      <c r="AI316">
        <f>IFERROR(_xlfn.XLOOKUP(B316, HoldSummary!$A:$A, HoldSummary!H:H), 0)</f>
        <v>0</v>
      </c>
      <c r="AJ316">
        <f>IFERROR(_xlfn.XLOOKUP(B316, HoldSummary!$A:$A, HoldSummary!I:I), 0)</f>
        <v>0</v>
      </c>
      <c r="AK316">
        <f t="shared" si="45"/>
        <v>0</v>
      </c>
      <c r="AL316">
        <f t="shared" si="46"/>
        <v>679.49519675925694</v>
      </c>
      <c r="AM316">
        <f t="shared" si="47"/>
        <v>145.45353009258542</v>
      </c>
      <c r="AN316" s="12">
        <f t="shared" si="48"/>
        <v>48.791666666664241</v>
      </c>
      <c r="AO316">
        <f t="shared" si="49"/>
        <v>0</v>
      </c>
    </row>
    <row r="317" spans="1:41" x14ac:dyDescent="0.35">
      <c r="A317" t="s">
        <v>23</v>
      </c>
      <c r="B317" t="s">
        <v>773</v>
      </c>
      <c r="C317" t="s">
        <v>130</v>
      </c>
      <c r="D317" t="s">
        <v>44</v>
      </c>
      <c r="E317" t="s">
        <v>45</v>
      </c>
      <c r="F317" t="s">
        <v>28</v>
      </c>
      <c r="G317">
        <v>14</v>
      </c>
      <c r="H317" t="s">
        <v>774</v>
      </c>
      <c r="I317" t="s">
        <v>30</v>
      </c>
      <c r="J317" t="s">
        <v>31</v>
      </c>
      <c r="K317" t="s">
        <v>48</v>
      </c>
      <c r="L317" t="s">
        <v>192</v>
      </c>
      <c r="N317" s="2">
        <v>45250.67864583333</v>
      </c>
      <c r="O317" s="2">
        <v>45372.166666666664</v>
      </c>
      <c r="P317" s="2">
        <v>45457.166666666664</v>
      </c>
      <c r="Q317" s="2">
        <v>45457</v>
      </c>
      <c r="R317" s="2">
        <v>45457.64790708333</v>
      </c>
      <c r="S317" t="s">
        <v>193</v>
      </c>
      <c r="T317" s="2">
        <v>45310.208333333336</v>
      </c>
      <c r="U317" s="2">
        <v>45313.208333333336</v>
      </c>
      <c r="V317" s="2">
        <v>45313.208333333336</v>
      </c>
      <c r="W317" s="2">
        <v>45443.166666666664</v>
      </c>
      <c r="X317" s="3">
        <f t="shared" si="40"/>
        <v>3</v>
      </c>
      <c r="Y317">
        <f t="shared" si="41"/>
        <v>129.95833333332848</v>
      </c>
      <c r="Z317">
        <f t="shared" si="42"/>
        <v>132.95833333332848</v>
      </c>
      <c r="AA317">
        <f t="shared" si="43"/>
        <v>206.32135416667006</v>
      </c>
      <c r="AB317">
        <f t="shared" si="44"/>
        <v>73.363020833341579</v>
      </c>
      <c r="AC317">
        <f>IFERROR(_xlfn.XLOOKUP(B317, HoldSummary!$A:$A, HoldSummary!B:B), 0)</f>
        <v>0</v>
      </c>
      <c r="AD317">
        <f>IFERROR(_xlfn.XLOOKUP(B317, HoldSummary!$A:$A, HoldSummary!C:C), 0)</f>
        <v>0</v>
      </c>
      <c r="AE317">
        <f>IFERROR(_xlfn.XLOOKUP(B317, HoldSummary!$A:$A, HoldSummary!D:D), 0)</f>
        <v>0</v>
      </c>
      <c r="AF317">
        <f>IFERROR(_xlfn.XLOOKUP(B317, HoldSummary!$A:$A, HoldSummary!E:E), 0)</f>
        <v>0</v>
      </c>
      <c r="AG317">
        <f>IFERROR(_xlfn.XLOOKUP(B317, HoldSummary!$A:$A, HoldSummary!F:F), 0)</f>
        <v>0</v>
      </c>
      <c r="AH317">
        <f>IFERROR(_xlfn.XLOOKUP(B317, HoldSummary!$A:$A, HoldSummary!G:G), 0)</f>
        <v>0</v>
      </c>
      <c r="AI317">
        <f>IFERROR(_xlfn.XLOOKUP(B317, HoldSummary!$A:$A, HoldSummary!H:H), 0)</f>
        <v>0</v>
      </c>
      <c r="AJ317">
        <f>IFERROR(_xlfn.XLOOKUP(B317, HoldSummary!$A:$A, HoldSummary!I:I), 0)</f>
        <v>0</v>
      </c>
      <c r="AK317">
        <f t="shared" si="45"/>
        <v>0</v>
      </c>
      <c r="AL317">
        <f t="shared" si="46"/>
        <v>206.32135416667006</v>
      </c>
      <c r="AM317">
        <f t="shared" si="47"/>
        <v>73.363020833341579</v>
      </c>
      <c r="AN317" s="12">
        <f t="shared" si="48"/>
        <v>84.833333333335759</v>
      </c>
      <c r="AO317">
        <f t="shared" si="49"/>
        <v>0</v>
      </c>
    </row>
    <row r="318" spans="1:41" x14ac:dyDescent="0.35">
      <c r="A318" t="s">
        <v>23</v>
      </c>
      <c r="B318" t="s">
        <v>775</v>
      </c>
      <c r="C318" t="s">
        <v>36</v>
      </c>
      <c r="D318" t="s">
        <v>44</v>
      </c>
      <c r="E318" t="s">
        <v>45</v>
      </c>
      <c r="F318" t="s">
        <v>28</v>
      </c>
      <c r="G318">
        <v>14</v>
      </c>
      <c r="H318" t="s">
        <v>776</v>
      </c>
      <c r="I318" t="s">
        <v>30</v>
      </c>
      <c r="J318" t="s">
        <v>70</v>
      </c>
      <c r="K318" t="s">
        <v>48</v>
      </c>
      <c r="L318" t="s">
        <v>192</v>
      </c>
      <c r="N318" s="2">
        <v>45370.876909722225</v>
      </c>
      <c r="O318" s="2">
        <v>45638.208333333336</v>
      </c>
      <c r="P318" s="2">
        <v>45638.208333333336</v>
      </c>
      <c r="Q318" s="2">
        <v>45643</v>
      </c>
      <c r="R318" s="2">
        <v>45643.800505601852</v>
      </c>
      <c r="S318" t="s">
        <v>711</v>
      </c>
      <c r="T318" s="2"/>
      <c r="U318" s="2"/>
      <c r="V318" s="2"/>
      <c r="W318" s="2"/>
      <c r="X318" s="3" t="str">
        <f t="shared" si="40"/>
        <v/>
      </c>
      <c r="Y318" t="str">
        <f t="shared" si="41"/>
        <v/>
      </c>
      <c r="Z318">
        <f t="shared" si="42"/>
        <v>0</v>
      </c>
      <c r="AA318">
        <f t="shared" si="43"/>
        <v>272.12309027777519</v>
      </c>
      <c r="AB318">
        <f t="shared" si="44"/>
        <v>272.12309027777519</v>
      </c>
      <c r="AC318">
        <f>IFERROR(_xlfn.XLOOKUP(B318, HoldSummary!$A:$A, HoldSummary!B:B), 0)</f>
        <v>0</v>
      </c>
      <c r="AD318">
        <f>IFERROR(_xlfn.XLOOKUP(B318, HoldSummary!$A:$A, HoldSummary!C:C), 0)</f>
        <v>0</v>
      </c>
      <c r="AE318">
        <f>IFERROR(_xlfn.XLOOKUP(B318, HoldSummary!$A:$A, HoldSummary!D:D), 0)</f>
        <v>0</v>
      </c>
      <c r="AF318">
        <f>IFERROR(_xlfn.XLOOKUP(B318, HoldSummary!$A:$A, HoldSummary!E:E), 0)</f>
        <v>0</v>
      </c>
      <c r="AG318">
        <f>IFERROR(_xlfn.XLOOKUP(B318, HoldSummary!$A:$A, HoldSummary!F:F), 0)</f>
        <v>0</v>
      </c>
      <c r="AH318">
        <f>IFERROR(_xlfn.XLOOKUP(B318, HoldSummary!$A:$A, HoldSummary!G:G), 0)</f>
        <v>0</v>
      </c>
      <c r="AI318">
        <f>IFERROR(_xlfn.XLOOKUP(B318, HoldSummary!$A:$A, HoldSummary!H:H), 0)</f>
        <v>0</v>
      </c>
      <c r="AJ318">
        <f>IFERROR(_xlfn.XLOOKUP(B318, HoldSummary!$A:$A, HoldSummary!I:I), 0)</f>
        <v>0</v>
      </c>
      <c r="AK318">
        <f t="shared" si="45"/>
        <v>0</v>
      </c>
      <c r="AL318">
        <f t="shared" si="46"/>
        <v>272.12309027777519</v>
      </c>
      <c r="AM318">
        <f t="shared" si="47"/>
        <v>272.12309027777519</v>
      </c>
      <c r="AN318" s="12">
        <f t="shared" si="48"/>
        <v>4.7916666666642413</v>
      </c>
      <c r="AO318">
        <f t="shared" si="49"/>
        <v>0</v>
      </c>
    </row>
    <row r="319" spans="1:41" x14ac:dyDescent="0.35">
      <c r="A319" t="s">
        <v>23</v>
      </c>
      <c r="B319" t="s">
        <v>777</v>
      </c>
      <c r="C319" t="s">
        <v>130</v>
      </c>
      <c r="D319" t="s">
        <v>44</v>
      </c>
      <c r="E319" t="s">
        <v>27</v>
      </c>
      <c r="F319" t="s">
        <v>28</v>
      </c>
      <c r="G319">
        <v>14</v>
      </c>
      <c r="H319" t="s">
        <v>778</v>
      </c>
      <c r="I319" t="s">
        <v>30</v>
      </c>
      <c r="J319" t="s">
        <v>31</v>
      </c>
      <c r="K319" t="s">
        <v>38</v>
      </c>
      <c r="L319" t="s">
        <v>39</v>
      </c>
      <c r="M319" t="s">
        <v>33</v>
      </c>
      <c r="N319" s="2">
        <v>45422.541076388887</v>
      </c>
      <c r="O319" s="2">
        <v>45639.208333333336</v>
      </c>
      <c r="P319" s="2">
        <v>45646.208333333336</v>
      </c>
      <c r="Q319" s="2">
        <v>45643</v>
      </c>
      <c r="R319" s="2">
        <v>45644.062443449075</v>
      </c>
      <c r="S319" t="s">
        <v>145</v>
      </c>
      <c r="T319" s="2">
        <v>45586.166666666664</v>
      </c>
      <c r="U319" s="2">
        <v>45588.166666666664</v>
      </c>
      <c r="V319" s="2">
        <v>45588.166666666664</v>
      </c>
      <c r="W319" s="2">
        <v>45621.208333333336</v>
      </c>
      <c r="X319" s="3">
        <f t="shared" si="40"/>
        <v>2</v>
      </c>
      <c r="Y319">
        <f t="shared" si="41"/>
        <v>33.041666666671517</v>
      </c>
      <c r="Z319">
        <f t="shared" si="42"/>
        <v>35.041666666671517</v>
      </c>
      <c r="AA319">
        <f t="shared" si="43"/>
        <v>220.45892361111328</v>
      </c>
      <c r="AB319">
        <f t="shared" si="44"/>
        <v>185.41725694444176</v>
      </c>
      <c r="AC319">
        <f>IFERROR(_xlfn.XLOOKUP(B319, HoldSummary!$A:$A, HoldSummary!B:B), 0)</f>
        <v>80</v>
      </c>
      <c r="AD319">
        <f>IFERROR(_xlfn.XLOOKUP(B319, HoldSummary!$A:$A, HoldSummary!C:C), 0)</f>
        <v>24</v>
      </c>
      <c r="AE319">
        <f>IFERROR(_xlfn.XLOOKUP(B319, HoldSummary!$A:$A, HoldSummary!D:D), 0)</f>
        <v>0</v>
      </c>
      <c r="AF319">
        <f>IFERROR(_xlfn.XLOOKUP(B319, HoldSummary!$A:$A, HoldSummary!E:E), 0)</f>
        <v>0</v>
      </c>
      <c r="AG319">
        <f>IFERROR(_xlfn.XLOOKUP(B319, HoldSummary!$A:$A, HoldSummary!F:F), 0)</f>
        <v>0</v>
      </c>
      <c r="AH319">
        <f>IFERROR(_xlfn.XLOOKUP(B319, HoldSummary!$A:$A, HoldSummary!G:G), 0)</f>
        <v>0</v>
      </c>
      <c r="AI319">
        <f>IFERROR(_xlfn.XLOOKUP(B319, HoldSummary!$A:$A, HoldSummary!H:H), 0)</f>
        <v>0</v>
      </c>
      <c r="AJ319">
        <f>IFERROR(_xlfn.XLOOKUP(B319, HoldSummary!$A:$A, HoldSummary!I:I), 0)</f>
        <v>0</v>
      </c>
      <c r="AK319">
        <f t="shared" si="45"/>
        <v>104</v>
      </c>
      <c r="AL319">
        <f t="shared" si="46"/>
        <v>116.45892361111328</v>
      </c>
      <c r="AM319">
        <f t="shared" si="47"/>
        <v>81.41725694444176</v>
      </c>
      <c r="AN319" s="12">
        <f t="shared" si="48"/>
        <v>3.7916666666642413</v>
      </c>
      <c r="AO319">
        <f t="shared" si="49"/>
        <v>0</v>
      </c>
    </row>
    <row r="320" spans="1:41" x14ac:dyDescent="0.35">
      <c r="A320" t="s">
        <v>23</v>
      </c>
      <c r="B320" t="s">
        <v>779</v>
      </c>
      <c r="C320" t="s">
        <v>36</v>
      </c>
      <c r="D320" t="s">
        <v>44</v>
      </c>
      <c r="E320" t="s">
        <v>45</v>
      </c>
      <c r="F320" t="s">
        <v>28</v>
      </c>
      <c r="G320">
        <v>14</v>
      </c>
      <c r="H320" t="s">
        <v>780</v>
      </c>
      <c r="I320" t="s">
        <v>30</v>
      </c>
      <c r="J320" t="s">
        <v>70</v>
      </c>
      <c r="K320" t="s">
        <v>38</v>
      </c>
      <c r="L320" t="s">
        <v>39</v>
      </c>
      <c r="M320" t="s">
        <v>33</v>
      </c>
      <c r="N320" s="2">
        <v>45530.829675925925</v>
      </c>
      <c r="O320" s="2">
        <v>45596.166666666664</v>
      </c>
      <c r="P320" s="2">
        <v>45863.166666666664</v>
      </c>
      <c r="Q320" s="2">
        <v>45854</v>
      </c>
      <c r="R320" s="2">
        <v>45854.561211145832</v>
      </c>
      <c r="S320" t="s">
        <v>84</v>
      </c>
      <c r="T320" s="2">
        <v>45824.166666666664</v>
      </c>
      <c r="U320" s="2">
        <v>45832.166666666664</v>
      </c>
      <c r="V320" s="2">
        <v>45832.166666666664</v>
      </c>
      <c r="W320" s="2">
        <v>45832.166666666664</v>
      </c>
      <c r="X320" s="3">
        <f t="shared" si="40"/>
        <v>8</v>
      </c>
      <c r="Y320">
        <f t="shared" si="41"/>
        <v>0</v>
      </c>
      <c r="Z320">
        <f t="shared" si="42"/>
        <v>8</v>
      </c>
      <c r="AA320">
        <f t="shared" si="43"/>
        <v>323.17032407407532</v>
      </c>
      <c r="AB320">
        <f t="shared" si="44"/>
        <v>315.17032407407532</v>
      </c>
      <c r="AC320">
        <f>IFERROR(_xlfn.XLOOKUP(B320, HoldSummary!$A:$A, HoldSummary!B:B), 0)</f>
        <v>0</v>
      </c>
      <c r="AD320">
        <f>IFERROR(_xlfn.XLOOKUP(B320, HoldSummary!$A:$A, HoldSummary!C:C), 0)</f>
        <v>0</v>
      </c>
      <c r="AE320">
        <f>IFERROR(_xlfn.XLOOKUP(B320, HoldSummary!$A:$A, HoldSummary!D:D), 0)</f>
        <v>0</v>
      </c>
      <c r="AF320">
        <f>IFERROR(_xlfn.XLOOKUP(B320, HoldSummary!$A:$A, HoldSummary!E:E), 0)</f>
        <v>0</v>
      </c>
      <c r="AG320">
        <f>IFERROR(_xlfn.XLOOKUP(B320, HoldSummary!$A:$A, HoldSummary!F:F), 0)</f>
        <v>0</v>
      </c>
      <c r="AH320">
        <f>IFERROR(_xlfn.XLOOKUP(B320, HoldSummary!$A:$A, HoldSummary!G:G), 0)</f>
        <v>0</v>
      </c>
      <c r="AI320">
        <f>IFERROR(_xlfn.XLOOKUP(B320, HoldSummary!$A:$A, HoldSummary!H:H), 0)</f>
        <v>0</v>
      </c>
      <c r="AJ320">
        <f>IFERROR(_xlfn.XLOOKUP(B320, HoldSummary!$A:$A, HoldSummary!I:I), 0)</f>
        <v>0</v>
      </c>
      <c r="AK320">
        <f t="shared" si="45"/>
        <v>0</v>
      </c>
      <c r="AL320">
        <f t="shared" si="46"/>
        <v>323.17032407407532</v>
      </c>
      <c r="AM320">
        <f t="shared" si="47"/>
        <v>315.17032407407532</v>
      </c>
      <c r="AN320" s="12">
        <f t="shared" si="48"/>
        <v>257.83333333333576</v>
      </c>
      <c r="AO320">
        <f t="shared" si="49"/>
        <v>0</v>
      </c>
    </row>
    <row r="321" spans="1:41" x14ac:dyDescent="0.35">
      <c r="A321" t="s">
        <v>23</v>
      </c>
      <c r="B321">
        <v>108038</v>
      </c>
      <c r="C321" t="s">
        <v>54</v>
      </c>
      <c r="D321" t="s">
        <v>44</v>
      </c>
      <c r="E321" t="s">
        <v>55</v>
      </c>
      <c r="F321" t="s">
        <v>28</v>
      </c>
      <c r="G321">
        <v>14</v>
      </c>
      <c r="H321" t="s">
        <v>781</v>
      </c>
      <c r="I321" t="s">
        <v>30</v>
      </c>
      <c r="J321" t="s">
        <v>31</v>
      </c>
      <c r="K321" t="s">
        <v>57</v>
      </c>
      <c r="L321" t="s">
        <v>58</v>
      </c>
      <c r="M321" t="s">
        <v>81</v>
      </c>
      <c r="N321" s="2">
        <v>45533.166666666664</v>
      </c>
      <c r="O321" s="2">
        <v>45588.166666666664</v>
      </c>
      <c r="P321" s="2">
        <v>45588.166666666664</v>
      </c>
      <c r="Q321" s="2">
        <v>45575</v>
      </c>
      <c r="R321" s="2">
        <v>45581.749257847223</v>
      </c>
      <c r="T321" s="2">
        <v>45541.166666666664</v>
      </c>
      <c r="U321" s="2">
        <v>45566.166666666664</v>
      </c>
      <c r="V321" s="2">
        <v>45566.166666666664</v>
      </c>
      <c r="W321" s="2">
        <v>45566.166666666664</v>
      </c>
      <c r="X321" s="3">
        <f t="shared" si="40"/>
        <v>25</v>
      </c>
      <c r="Y321">
        <f t="shared" si="41"/>
        <v>0</v>
      </c>
      <c r="Z321">
        <f t="shared" si="42"/>
        <v>25</v>
      </c>
      <c r="AA321">
        <f t="shared" si="43"/>
        <v>41.833333333335759</v>
      </c>
      <c r="AB321">
        <f t="shared" si="44"/>
        <v>16.833333333335759</v>
      </c>
      <c r="AC321">
        <f>IFERROR(_xlfn.XLOOKUP(B321, HoldSummary!$A:$A, HoldSummary!B:B), 0)</f>
        <v>0</v>
      </c>
      <c r="AD321">
        <f>IFERROR(_xlfn.XLOOKUP(B321, HoldSummary!$A:$A, HoldSummary!C:C), 0)</f>
        <v>0</v>
      </c>
      <c r="AE321">
        <f>IFERROR(_xlfn.XLOOKUP(B321, HoldSummary!$A:$A, HoldSummary!D:D), 0)</f>
        <v>0</v>
      </c>
      <c r="AF321">
        <f>IFERROR(_xlfn.XLOOKUP(B321, HoldSummary!$A:$A, HoldSummary!E:E), 0)</f>
        <v>0</v>
      </c>
      <c r="AG321">
        <f>IFERROR(_xlfn.XLOOKUP(B321, HoldSummary!$A:$A, HoldSummary!F:F), 0)</f>
        <v>0</v>
      </c>
      <c r="AH321">
        <f>IFERROR(_xlfn.XLOOKUP(B321, HoldSummary!$A:$A, HoldSummary!G:G), 0)</f>
        <v>0</v>
      </c>
      <c r="AI321">
        <f>IFERROR(_xlfn.XLOOKUP(B321, HoldSummary!$A:$A, HoldSummary!H:H), 0)</f>
        <v>0</v>
      </c>
      <c r="AJ321">
        <f>IFERROR(_xlfn.XLOOKUP(B321, HoldSummary!$A:$A, HoldSummary!I:I), 0)</f>
        <v>0</v>
      </c>
      <c r="AK321">
        <f t="shared" si="45"/>
        <v>0</v>
      </c>
      <c r="AL321">
        <f t="shared" si="46"/>
        <v>41.833333333335759</v>
      </c>
      <c r="AM321">
        <f t="shared" si="47"/>
        <v>16.833333333335759</v>
      </c>
      <c r="AN321" s="12">
        <f t="shared" si="48"/>
        <v>-13.166666666664241</v>
      </c>
      <c r="AO321">
        <f t="shared" si="49"/>
        <v>1</v>
      </c>
    </row>
    <row r="322" spans="1:41" x14ac:dyDescent="0.35">
      <c r="A322" t="s">
        <v>23</v>
      </c>
      <c r="B322" t="s">
        <v>782</v>
      </c>
      <c r="C322" t="s">
        <v>130</v>
      </c>
      <c r="D322" t="s">
        <v>44</v>
      </c>
      <c r="E322" t="s">
        <v>45</v>
      </c>
      <c r="F322" t="s">
        <v>28</v>
      </c>
      <c r="G322">
        <v>14</v>
      </c>
      <c r="H322" t="s">
        <v>783</v>
      </c>
      <c r="I322" t="s">
        <v>30</v>
      </c>
      <c r="J322" t="s">
        <v>31</v>
      </c>
      <c r="K322" t="s">
        <v>48</v>
      </c>
      <c r="L322" t="s">
        <v>39</v>
      </c>
      <c r="M322" t="s">
        <v>81</v>
      </c>
      <c r="N322" s="2">
        <v>45462.696111111109</v>
      </c>
      <c r="O322" s="2">
        <v>45754.166666666664</v>
      </c>
      <c r="P322" s="2">
        <v>45776.166666666664</v>
      </c>
      <c r="Q322" s="2">
        <v>45762</v>
      </c>
      <c r="R322" s="2">
        <v>45762.778510497687</v>
      </c>
      <c r="S322" t="s">
        <v>784</v>
      </c>
      <c r="T322" s="2">
        <v>45726.166666666664</v>
      </c>
      <c r="U322" s="2">
        <v>45727.166666666664</v>
      </c>
      <c r="V322" s="2">
        <v>45728.166666666664</v>
      </c>
      <c r="W322" s="2">
        <v>45728.166666666664</v>
      </c>
      <c r="X322" s="3">
        <f t="shared" si="40"/>
        <v>1</v>
      </c>
      <c r="Y322">
        <f t="shared" si="41"/>
        <v>0</v>
      </c>
      <c r="Z322">
        <f t="shared" si="42"/>
        <v>1</v>
      </c>
      <c r="AA322">
        <f t="shared" si="43"/>
        <v>299.30388888889138</v>
      </c>
      <c r="AB322">
        <f t="shared" si="44"/>
        <v>298.30388888889138</v>
      </c>
      <c r="AC322">
        <f>IFERROR(_xlfn.XLOOKUP(B322, HoldSummary!$A:$A, HoldSummary!B:B), 0)</f>
        <v>44.622999293977045</v>
      </c>
      <c r="AD322">
        <f>IFERROR(_xlfn.XLOOKUP(B322, HoldSummary!$A:$A, HoldSummary!C:C), 0)</f>
        <v>0</v>
      </c>
      <c r="AE322">
        <f>IFERROR(_xlfn.XLOOKUP(B322, HoldSummary!$A:$A, HoldSummary!D:D), 0)</f>
        <v>0.22375590277806623</v>
      </c>
      <c r="AF322">
        <f>IFERROR(_xlfn.XLOOKUP(B322, HoldSummary!$A:$A, HoldSummary!E:E), 0)</f>
        <v>0</v>
      </c>
      <c r="AG322">
        <f>IFERROR(_xlfn.XLOOKUP(B322, HoldSummary!$A:$A, HoldSummary!F:F), 0)</f>
        <v>3.9666769560208195</v>
      </c>
      <c r="AH322">
        <f>IFERROR(_xlfn.XLOOKUP(B322, HoldSummary!$A:$A, HoldSummary!G:G), 0)</f>
        <v>0</v>
      </c>
      <c r="AI322">
        <f>IFERROR(_xlfn.XLOOKUP(B322, HoldSummary!$A:$A, HoldSummary!H:H), 0)</f>
        <v>0</v>
      </c>
      <c r="AJ322">
        <f>IFERROR(_xlfn.XLOOKUP(B322, HoldSummary!$A:$A, HoldSummary!I:I), 0)</f>
        <v>0</v>
      </c>
      <c r="AK322">
        <f t="shared" si="45"/>
        <v>48.813432152775931</v>
      </c>
      <c r="AL322">
        <f t="shared" si="46"/>
        <v>250.49045673611545</v>
      </c>
      <c r="AM322">
        <f t="shared" si="47"/>
        <v>249.49045673611545</v>
      </c>
      <c r="AN322" s="12">
        <f t="shared" si="48"/>
        <v>7.8333333333357587</v>
      </c>
      <c r="AO322">
        <f t="shared" si="49"/>
        <v>0</v>
      </c>
    </row>
    <row r="323" spans="1:41" x14ac:dyDescent="0.35">
      <c r="A323" t="s">
        <v>23</v>
      </c>
      <c r="B323" t="s">
        <v>785</v>
      </c>
      <c r="C323" t="s">
        <v>113</v>
      </c>
      <c r="D323" t="s">
        <v>44</v>
      </c>
      <c r="E323" t="s">
        <v>45</v>
      </c>
      <c r="F323" t="s">
        <v>28</v>
      </c>
      <c r="G323">
        <v>14</v>
      </c>
      <c r="H323" t="s">
        <v>786</v>
      </c>
      <c r="I323" t="s">
        <v>30</v>
      </c>
      <c r="J323" t="s">
        <v>31</v>
      </c>
      <c r="K323" t="s">
        <v>38</v>
      </c>
      <c r="L323" t="s">
        <v>39</v>
      </c>
      <c r="N323" s="2">
        <v>45572.709201388891</v>
      </c>
      <c r="O323" s="2">
        <v>45618.208333333336</v>
      </c>
      <c r="P323" s="2">
        <v>45644.208333333336</v>
      </c>
      <c r="Q323" s="2">
        <v>45639</v>
      </c>
      <c r="R323" s="2">
        <v>45642.50300611111</v>
      </c>
      <c r="S323" t="s">
        <v>754</v>
      </c>
      <c r="T323" s="2">
        <v>45580.166666666664</v>
      </c>
      <c r="U323" s="2">
        <v>45581.166666666664</v>
      </c>
      <c r="V323" s="2">
        <v>45581.166666666664</v>
      </c>
      <c r="W323" s="2">
        <v>45586.166666666664</v>
      </c>
      <c r="X323" s="3">
        <f t="shared" ref="X323:X386" si="50">IF(OR(ISBLANK(T323), ISBLANK(U323)), "", U323 - T323)</f>
        <v>1</v>
      </c>
      <c r="Y323">
        <f t="shared" ref="Y323:Y386" si="51">IF(OR(ISBLANK(V323), ISBLANK(W323)), "", W323 - V323)</f>
        <v>5</v>
      </c>
      <c r="Z323">
        <f t="shared" ref="Z323:Z386" si="52">N(X323) + N(Y323)</f>
        <v>6</v>
      </c>
      <c r="AA323">
        <f t="shared" ref="AA323:AA386" si="53">IF(OR(ISBLANK(N323), ISBLANK(Q323)), "", Q323 - N323)</f>
        <v>66.290798611109494</v>
      </c>
      <c r="AB323">
        <f t="shared" ref="AB323:AB386" si="54">IF(AA323="", "", AA323 - Z323)</f>
        <v>60.290798611109494</v>
      </c>
      <c r="AC323">
        <f>IFERROR(_xlfn.XLOOKUP(B323, HoldSummary!$A:$A, HoldSummary!B:B), 0)</f>
        <v>0</v>
      </c>
      <c r="AD323">
        <f>IFERROR(_xlfn.XLOOKUP(B323, HoldSummary!$A:$A, HoldSummary!C:C), 0)</f>
        <v>0</v>
      </c>
      <c r="AE323">
        <f>IFERROR(_xlfn.XLOOKUP(B323, HoldSummary!$A:$A, HoldSummary!D:D), 0)</f>
        <v>0</v>
      </c>
      <c r="AF323">
        <f>IFERROR(_xlfn.XLOOKUP(B323, HoldSummary!$A:$A, HoldSummary!E:E), 0)</f>
        <v>0</v>
      </c>
      <c r="AG323">
        <f>IFERROR(_xlfn.XLOOKUP(B323, HoldSummary!$A:$A, HoldSummary!F:F), 0)</f>
        <v>0</v>
      </c>
      <c r="AH323">
        <f>IFERROR(_xlfn.XLOOKUP(B323, HoldSummary!$A:$A, HoldSummary!G:G), 0)</f>
        <v>0</v>
      </c>
      <c r="AI323">
        <f>IFERROR(_xlfn.XLOOKUP(B323, HoldSummary!$A:$A, HoldSummary!H:H), 0)</f>
        <v>0</v>
      </c>
      <c r="AJ323">
        <f>IFERROR(_xlfn.XLOOKUP(B323, HoldSummary!$A:$A, HoldSummary!I:I), 0)</f>
        <v>0</v>
      </c>
      <c r="AK323">
        <f t="shared" ref="AK323:AK386" si="55">SUM(AC323:AJ323)</f>
        <v>0</v>
      </c>
      <c r="AL323">
        <f t="shared" ref="AL323:AL386" si="56">IF(AA323="", "", AA323 - AK323)</f>
        <v>66.290798611109494</v>
      </c>
      <c r="AM323">
        <f t="shared" ref="AM323:AM386" si="57">IF(OR(AK323="", AB323=""), "", AB323 - AK323)</f>
        <v>60.290798611109494</v>
      </c>
      <c r="AN323" s="12">
        <f t="shared" ref="AN323:AN386" si="58">Q323-O323</f>
        <v>20.791666666664241</v>
      </c>
      <c r="AO323">
        <f t="shared" ref="AO323:AO386" si="59">IF(OR(ISBLANK(O323), ISBLANK(Q323)), 1, IF(AN323&lt;=0,1,0))</f>
        <v>0</v>
      </c>
    </row>
    <row r="324" spans="1:41" x14ac:dyDescent="0.35">
      <c r="A324" t="s">
        <v>23</v>
      </c>
      <c r="B324" t="s">
        <v>787</v>
      </c>
      <c r="C324" t="s">
        <v>461</v>
      </c>
      <c r="D324" t="s">
        <v>44</v>
      </c>
      <c r="E324" t="s">
        <v>45</v>
      </c>
      <c r="F324" t="s">
        <v>28</v>
      </c>
      <c r="G324">
        <v>14</v>
      </c>
      <c r="H324" t="s">
        <v>788</v>
      </c>
      <c r="I324" t="s">
        <v>30</v>
      </c>
      <c r="J324" t="s">
        <v>31</v>
      </c>
      <c r="K324" t="s">
        <v>48</v>
      </c>
      <c r="L324" t="s">
        <v>695</v>
      </c>
      <c r="M324" t="s">
        <v>33</v>
      </c>
      <c r="N324" s="2">
        <v>45574.899178240739</v>
      </c>
      <c r="O324" s="2">
        <v>45618.208333333336</v>
      </c>
      <c r="P324" s="2">
        <v>45618.208333333336</v>
      </c>
      <c r="Q324" s="2">
        <v>45622</v>
      </c>
      <c r="R324" s="2">
        <v>45622.794778055555</v>
      </c>
      <c r="S324" t="s">
        <v>399</v>
      </c>
      <c r="T324" s="2">
        <v>45588.166666666664</v>
      </c>
      <c r="U324" s="2">
        <v>45615.208333333336</v>
      </c>
      <c r="V324" s="2">
        <v>45615.208333333336</v>
      </c>
      <c r="W324" s="2">
        <v>45616.208333333336</v>
      </c>
      <c r="X324" s="3">
        <f t="shared" si="50"/>
        <v>27.041666666671517</v>
      </c>
      <c r="Y324">
        <f t="shared" si="51"/>
        <v>1</v>
      </c>
      <c r="Z324">
        <f t="shared" si="52"/>
        <v>28.041666666671517</v>
      </c>
      <c r="AA324">
        <f t="shared" si="53"/>
        <v>47.100821759260725</v>
      </c>
      <c r="AB324">
        <f t="shared" si="54"/>
        <v>19.059155092589208</v>
      </c>
      <c r="AC324">
        <f>IFERROR(_xlfn.XLOOKUP(B324, HoldSummary!$A:$A, HoldSummary!B:B), 0)</f>
        <v>0</v>
      </c>
      <c r="AD324">
        <f>IFERROR(_xlfn.XLOOKUP(B324, HoldSummary!$A:$A, HoldSummary!C:C), 0)</f>
        <v>0</v>
      </c>
      <c r="AE324">
        <f>IFERROR(_xlfn.XLOOKUP(B324, HoldSummary!$A:$A, HoldSummary!D:D), 0)</f>
        <v>0</v>
      </c>
      <c r="AF324">
        <f>IFERROR(_xlfn.XLOOKUP(B324, HoldSummary!$A:$A, HoldSummary!E:E), 0)</f>
        <v>0</v>
      </c>
      <c r="AG324">
        <f>IFERROR(_xlfn.XLOOKUP(B324, HoldSummary!$A:$A, HoldSummary!F:F), 0)</f>
        <v>0</v>
      </c>
      <c r="AH324">
        <f>IFERROR(_xlfn.XLOOKUP(B324, HoldSummary!$A:$A, HoldSummary!G:G), 0)</f>
        <v>0</v>
      </c>
      <c r="AI324">
        <f>IFERROR(_xlfn.XLOOKUP(B324, HoldSummary!$A:$A, HoldSummary!H:H), 0)</f>
        <v>0</v>
      </c>
      <c r="AJ324">
        <f>IFERROR(_xlfn.XLOOKUP(B324, HoldSummary!$A:$A, HoldSummary!I:I), 0)</f>
        <v>0</v>
      </c>
      <c r="AK324">
        <f t="shared" si="55"/>
        <v>0</v>
      </c>
      <c r="AL324">
        <f t="shared" si="56"/>
        <v>47.100821759260725</v>
      </c>
      <c r="AM324">
        <f t="shared" si="57"/>
        <v>19.059155092589208</v>
      </c>
      <c r="AN324" s="12">
        <f t="shared" si="58"/>
        <v>3.7916666666642413</v>
      </c>
      <c r="AO324">
        <f t="shared" si="59"/>
        <v>0</v>
      </c>
    </row>
    <row r="325" spans="1:41" x14ac:dyDescent="0.35">
      <c r="A325" t="s">
        <v>23</v>
      </c>
      <c r="B325" t="s">
        <v>789</v>
      </c>
      <c r="C325" t="s">
        <v>461</v>
      </c>
      <c r="D325" t="s">
        <v>44</v>
      </c>
      <c r="E325" t="s">
        <v>45</v>
      </c>
      <c r="F325" t="s">
        <v>28</v>
      </c>
      <c r="G325">
        <v>14</v>
      </c>
      <c r="H325" t="s">
        <v>790</v>
      </c>
      <c r="I325" t="s">
        <v>30</v>
      </c>
      <c r="J325" t="s">
        <v>31</v>
      </c>
      <c r="K325" t="s">
        <v>48</v>
      </c>
      <c r="L325" t="s">
        <v>192</v>
      </c>
      <c r="M325" t="s">
        <v>33</v>
      </c>
      <c r="N325" s="2">
        <v>45576.837604166663</v>
      </c>
      <c r="O325" s="2">
        <v>45587.166666666664</v>
      </c>
      <c r="P325" s="2">
        <v>45622.208333333336</v>
      </c>
      <c r="Q325" s="2">
        <v>45615</v>
      </c>
      <c r="R325" s="2">
        <v>45615.807708229164</v>
      </c>
      <c r="S325" t="s">
        <v>399</v>
      </c>
      <c r="T325" s="2">
        <v>45580.166666666664</v>
      </c>
      <c r="U325" s="2">
        <v>45581.166666666664</v>
      </c>
      <c r="V325" s="2">
        <v>45581.166666666664</v>
      </c>
      <c r="W325" s="2">
        <v>45581.166666666664</v>
      </c>
      <c r="X325" s="3">
        <f t="shared" si="50"/>
        <v>1</v>
      </c>
      <c r="Y325">
        <f t="shared" si="51"/>
        <v>0</v>
      </c>
      <c r="Z325">
        <f t="shared" si="52"/>
        <v>1</v>
      </c>
      <c r="AA325">
        <f t="shared" si="53"/>
        <v>38.162395833336632</v>
      </c>
      <c r="AB325">
        <f t="shared" si="54"/>
        <v>37.162395833336632</v>
      </c>
      <c r="AC325">
        <f>IFERROR(_xlfn.XLOOKUP(B325, HoldSummary!$A:$A, HoldSummary!B:B), 0)</f>
        <v>0</v>
      </c>
      <c r="AD325">
        <f>IFERROR(_xlfn.XLOOKUP(B325, HoldSummary!$A:$A, HoldSummary!C:C), 0)</f>
        <v>0</v>
      </c>
      <c r="AE325">
        <f>IFERROR(_xlfn.XLOOKUP(B325, HoldSummary!$A:$A, HoldSummary!D:D), 0)</f>
        <v>0</v>
      </c>
      <c r="AF325">
        <f>IFERROR(_xlfn.XLOOKUP(B325, HoldSummary!$A:$A, HoldSummary!E:E), 0)</f>
        <v>0</v>
      </c>
      <c r="AG325">
        <f>IFERROR(_xlfn.XLOOKUP(B325, HoldSummary!$A:$A, HoldSummary!F:F), 0)</f>
        <v>0</v>
      </c>
      <c r="AH325">
        <f>IFERROR(_xlfn.XLOOKUP(B325, HoldSummary!$A:$A, HoldSummary!G:G), 0)</f>
        <v>0.22683293981390307</v>
      </c>
      <c r="AI325">
        <f>IFERROR(_xlfn.XLOOKUP(B325, HoldSummary!$A:$A, HoldSummary!H:H), 0)</f>
        <v>0</v>
      </c>
      <c r="AJ325">
        <f>IFERROR(_xlfn.XLOOKUP(B325, HoldSummary!$A:$A, HoldSummary!I:I), 0)</f>
        <v>0</v>
      </c>
      <c r="AK325">
        <f t="shared" si="55"/>
        <v>0.22683293981390307</v>
      </c>
      <c r="AL325">
        <f t="shared" si="56"/>
        <v>37.935562893522729</v>
      </c>
      <c r="AM325">
        <f t="shared" si="57"/>
        <v>36.935562893522729</v>
      </c>
      <c r="AN325" s="12">
        <f t="shared" si="58"/>
        <v>27.833333333335759</v>
      </c>
      <c r="AO325">
        <f t="shared" si="59"/>
        <v>0</v>
      </c>
    </row>
    <row r="326" spans="1:41" x14ac:dyDescent="0.35">
      <c r="A326" t="s">
        <v>23</v>
      </c>
      <c r="B326" t="s">
        <v>791</v>
      </c>
      <c r="C326" t="s">
        <v>76</v>
      </c>
      <c r="D326" t="s">
        <v>44</v>
      </c>
      <c r="E326" t="s">
        <v>45</v>
      </c>
      <c r="F326" t="s">
        <v>28</v>
      </c>
      <c r="G326">
        <v>14</v>
      </c>
      <c r="H326" t="s">
        <v>792</v>
      </c>
      <c r="I326" t="s">
        <v>30</v>
      </c>
      <c r="J326" t="s">
        <v>31</v>
      </c>
      <c r="K326" t="s">
        <v>38</v>
      </c>
      <c r="L326" t="s">
        <v>39</v>
      </c>
      <c r="M326" t="s">
        <v>33</v>
      </c>
      <c r="N326" s="2">
        <v>45566.603738425925</v>
      </c>
      <c r="O326" s="2">
        <v>45707.208333333336</v>
      </c>
      <c r="P326" s="2">
        <v>45730.166666666664</v>
      </c>
      <c r="Q326" s="2">
        <v>45728</v>
      </c>
      <c r="R326" s="2">
        <v>45730.734268819448</v>
      </c>
      <c r="S326" t="s">
        <v>162</v>
      </c>
      <c r="T326" s="2">
        <v>45617.208333333336</v>
      </c>
      <c r="U326" s="2">
        <v>45622.208333333336</v>
      </c>
      <c r="V326" s="2">
        <v>45622.208333333336</v>
      </c>
      <c r="W326" s="2">
        <v>45635.208333333336</v>
      </c>
      <c r="X326" s="3">
        <f t="shared" si="50"/>
        <v>5</v>
      </c>
      <c r="Y326">
        <f t="shared" si="51"/>
        <v>13</v>
      </c>
      <c r="Z326">
        <f t="shared" si="52"/>
        <v>18</v>
      </c>
      <c r="AA326">
        <f t="shared" si="53"/>
        <v>161.39626157407474</v>
      </c>
      <c r="AB326">
        <f t="shared" si="54"/>
        <v>143.39626157407474</v>
      </c>
      <c r="AC326">
        <f>IFERROR(_xlfn.XLOOKUP(B326, HoldSummary!$A:$A, HoldSummary!B:B), 0)</f>
        <v>6</v>
      </c>
      <c r="AD326">
        <f>IFERROR(_xlfn.XLOOKUP(B326, HoldSummary!$A:$A, HoldSummary!C:C), 0)</f>
        <v>0</v>
      </c>
      <c r="AE326">
        <f>IFERROR(_xlfn.XLOOKUP(B326, HoldSummary!$A:$A, HoldSummary!D:D), 0)</f>
        <v>0</v>
      </c>
      <c r="AF326">
        <f>IFERROR(_xlfn.XLOOKUP(B326, HoldSummary!$A:$A, HoldSummary!E:E), 0)</f>
        <v>0</v>
      </c>
      <c r="AG326">
        <f>IFERROR(_xlfn.XLOOKUP(B326, HoldSummary!$A:$A, HoldSummary!F:F), 0)</f>
        <v>0</v>
      </c>
      <c r="AH326">
        <f>IFERROR(_xlfn.XLOOKUP(B326, HoldSummary!$A:$A, HoldSummary!G:G), 0)</f>
        <v>0</v>
      </c>
      <c r="AI326">
        <f>IFERROR(_xlfn.XLOOKUP(B326, HoldSummary!$A:$A, HoldSummary!H:H), 0)</f>
        <v>0</v>
      </c>
      <c r="AJ326">
        <f>IFERROR(_xlfn.XLOOKUP(B326, HoldSummary!$A:$A, HoldSummary!I:I), 0)</f>
        <v>0</v>
      </c>
      <c r="AK326">
        <f t="shared" si="55"/>
        <v>6</v>
      </c>
      <c r="AL326">
        <f t="shared" si="56"/>
        <v>155.39626157407474</v>
      </c>
      <c r="AM326">
        <f t="shared" si="57"/>
        <v>137.39626157407474</v>
      </c>
      <c r="AN326" s="12">
        <f t="shared" si="58"/>
        <v>20.791666666664241</v>
      </c>
      <c r="AO326">
        <f t="shared" si="59"/>
        <v>0</v>
      </c>
    </row>
    <row r="327" spans="1:41" x14ac:dyDescent="0.35">
      <c r="A327" t="s">
        <v>23</v>
      </c>
      <c r="B327" t="s">
        <v>793</v>
      </c>
      <c r="C327" t="s">
        <v>36</v>
      </c>
      <c r="D327" t="s">
        <v>44</v>
      </c>
      <c r="E327" t="s">
        <v>45</v>
      </c>
      <c r="F327" t="s">
        <v>28</v>
      </c>
      <c r="G327">
        <v>14</v>
      </c>
      <c r="H327" t="s">
        <v>794</v>
      </c>
      <c r="I327" t="s">
        <v>30</v>
      </c>
      <c r="J327" t="s">
        <v>31</v>
      </c>
      <c r="K327" t="s">
        <v>48</v>
      </c>
      <c r="L327" t="s">
        <v>49</v>
      </c>
      <c r="M327" t="s">
        <v>33</v>
      </c>
      <c r="N327" s="2">
        <v>45639.638206018521</v>
      </c>
      <c r="O327" s="2">
        <v>45688.208333333336</v>
      </c>
      <c r="P327" s="2">
        <v>45688.208333333336</v>
      </c>
      <c r="Q327" s="2">
        <v>45688</v>
      </c>
      <c r="R327" s="2">
        <v>45688.923937372689</v>
      </c>
      <c r="T327" s="2"/>
      <c r="U327" s="2"/>
      <c r="V327" s="2"/>
      <c r="W327" s="2"/>
      <c r="X327" s="3" t="str">
        <f t="shared" si="50"/>
        <v/>
      </c>
      <c r="Y327" t="str">
        <f t="shared" si="51"/>
        <v/>
      </c>
      <c r="Z327">
        <f t="shared" si="52"/>
        <v>0</v>
      </c>
      <c r="AA327">
        <f t="shared" si="53"/>
        <v>48.361793981479423</v>
      </c>
      <c r="AB327">
        <f t="shared" si="54"/>
        <v>48.361793981479423</v>
      </c>
      <c r="AC327">
        <f>IFERROR(_xlfn.XLOOKUP(B327, HoldSummary!$A:$A, HoldSummary!B:B), 0)</f>
        <v>0</v>
      </c>
      <c r="AD327">
        <f>IFERROR(_xlfn.XLOOKUP(B327, HoldSummary!$A:$A, HoldSummary!C:C), 0)</f>
        <v>0</v>
      </c>
      <c r="AE327">
        <f>IFERROR(_xlfn.XLOOKUP(B327, HoldSummary!$A:$A, HoldSummary!D:D), 0)</f>
        <v>0</v>
      </c>
      <c r="AF327">
        <f>IFERROR(_xlfn.XLOOKUP(B327, HoldSummary!$A:$A, HoldSummary!E:E), 0)</f>
        <v>0</v>
      </c>
      <c r="AG327">
        <f>IFERROR(_xlfn.XLOOKUP(B327, HoldSummary!$A:$A, HoldSummary!F:F), 0)</f>
        <v>0</v>
      </c>
      <c r="AH327">
        <f>IFERROR(_xlfn.XLOOKUP(B327, HoldSummary!$A:$A, HoldSummary!G:G), 0)</f>
        <v>0</v>
      </c>
      <c r="AI327">
        <f>IFERROR(_xlfn.XLOOKUP(B327, HoldSummary!$A:$A, HoldSummary!H:H), 0)</f>
        <v>0</v>
      </c>
      <c r="AJ327">
        <f>IFERROR(_xlfn.XLOOKUP(B327, HoldSummary!$A:$A, HoldSummary!I:I), 0)</f>
        <v>0</v>
      </c>
      <c r="AK327">
        <f t="shared" si="55"/>
        <v>0</v>
      </c>
      <c r="AL327">
        <f t="shared" si="56"/>
        <v>48.361793981479423</v>
      </c>
      <c r="AM327">
        <f t="shared" si="57"/>
        <v>48.361793981479423</v>
      </c>
      <c r="AN327" s="12">
        <f t="shared" si="58"/>
        <v>-0.20833333333575865</v>
      </c>
      <c r="AO327">
        <f t="shared" si="59"/>
        <v>1</v>
      </c>
    </row>
    <row r="328" spans="1:41" x14ac:dyDescent="0.35">
      <c r="A328" t="s">
        <v>23</v>
      </c>
      <c r="B328" t="s">
        <v>795</v>
      </c>
      <c r="C328" t="s">
        <v>135</v>
      </c>
      <c r="D328" t="s">
        <v>44</v>
      </c>
      <c r="E328" t="s">
        <v>45</v>
      </c>
      <c r="F328" t="s">
        <v>28</v>
      </c>
      <c r="G328">
        <v>14</v>
      </c>
      <c r="H328" t="s">
        <v>796</v>
      </c>
      <c r="I328" t="s">
        <v>30</v>
      </c>
      <c r="J328" t="s">
        <v>31</v>
      </c>
      <c r="K328" t="s">
        <v>32</v>
      </c>
      <c r="L328" t="s">
        <v>32</v>
      </c>
      <c r="M328" t="s">
        <v>33</v>
      </c>
      <c r="N328" s="2">
        <v>45629.612627314818</v>
      </c>
      <c r="O328" s="2">
        <v>45800.166666666664</v>
      </c>
      <c r="P328" s="2">
        <v>45821.166666666664</v>
      </c>
      <c r="Q328" s="2">
        <v>45816</v>
      </c>
      <c r="R328" s="2">
        <v>45817.847656377315</v>
      </c>
      <c r="S328" t="s">
        <v>97</v>
      </c>
      <c r="T328" s="2">
        <v>45712.208333333336</v>
      </c>
      <c r="U328" s="2">
        <v>45712.208333333336</v>
      </c>
      <c r="V328" s="2">
        <v>45720.208333333336</v>
      </c>
      <c r="W328" s="2">
        <v>45729.166666666664</v>
      </c>
      <c r="X328" s="3">
        <f t="shared" si="50"/>
        <v>0</v>
      </c>
      <c r="Y328">
        <f t="shared" si="51"/>
        <v>8.9583333333284827</v>
      </c>
      <c r="Z328">
        <f t="shared" si="52"/>
        <v>8.9583333333284827</v>
      </c>
      <c r="AA328">
        <f t="shared" si="53"/>
        <v>186.38737268518162</v>
      </c>
      <c r="AB328">
        <f t="shared" si="54"/>
        <v>177.42903935185313</v>
      </c>
      <c r="AC328">
        <f>IFERROR(_xlfn.XLOOKUP(B328, HoldSummary!$A:$A, HoldSummary!B:B), 0)</f>
        <v>0</v>
      </c>
      <c r="AD328">
        <f>IFERROR(_xlfn.XLOOKUP(B328, HoldSummary!$A:$A, HoldSummary!C:C), 0)</f>
        <v>0</v>
      </c>
      <c r="AE328">
        <f>IFERROR(_xlfn.XLOOKUP(B328, HoldSummary!$A:$A, HoldSummary!D:D), 0)</f>
        <v>0</v>
      </c>
      <c r="AF328">
        <f>IFERROR(_xlfn.XLOOKUP(B328, HoldSummary!$A:$A, HoldSummary!E:E), 0)</f>
        <v>0</v>
      </c>
      <c r="AG328">
        <f>IFERROR(_xlfn.XLOOKUP(B328, HoldSummary!$A:$A, HoldSummary!F:F), 0)</f>
        <v>0</v>
      </c>
      <c r="AH328">
        <f>IFERROR(_xlfn.XLOOKUP(B328, HoldSummary!$A:$A, HoldSummary!G:G), 0)</f>
        <v>0</v>
      </c>
      <c r="AI328">
        <f>IFERROR(_xlfn.XLOOKUP(B328, HoldSummary!$A:$A, HoldSummary!H:H), 0)</f>
        <v>0</v>
      </c>
      <c r="AJ328">
        <f>IFERROR(_xlfn.XLOOKUP(B328, HoldSummary!$A:$A, HoldSummary!I:I), 0)</f>
        <v>0</v>
      </c>
      <c r="AK328">
        <f t="shared" si="55"/>
        <v>0</v>
      </c>
      <c r="AL328">
        <f t="shared" si="56"/>
        <v>186.38737268518162</v>
      </c>
      <c r="AM328">
        <f t="shared" si="57"/>
        <v>177.42903935185313</v>
      </c>
      <c r="AN328" s="12">
        <f t="shared" si="58"/>
        <v>15.833333333335759</v>
      </c>
      <c r="AO328">
        <f t="shared" si="59"/>
        <v>0</v>
      </c>
    </row>
    <row r="329" spans="1:41" x14ac:dyDescent="0.35">
      <c r="A329" t="s">
        <v>23</v>
      </c>
      <c r="B329">
        <v>110856</v>
      </c>
      <c r="C329" t="s">
        <v>98</v>
      </c>
      <c r="D329" t="s">
        <v>44</v>
      </c>
      <c r="E329" t="s">
        <v>55</v>
      </c>
      <c r="F329" t="s">
        <v>28</v>
      </c>
      <c r="G329">
        <v>14</v>
      </c>
      <c r="H329" t="s">
        <v>2102</v>
      </c>
      <c r="I329" t="s">
        <v>30</v>
      </c>
      <c r="J329" t="s">
        <v>31</v>
      </c>
      <c r="K329" t="s">
        <v>57</v>
      </c>
      <c r="L329" t="s">
        <v>58</v>
      </c>
      <c r="M329" t="s">
        <v>81</v>
      </c>
      <c r="N329" s="2">
        <v>45686.208333333336</v>
      </c>
      <c r="O329" s="2">
        <v>45884.166666666664</v>
      </c>
      <c r="P329" s="2">
        <v>45868.166666666664</v>
      </c>
      <c r="Q329" s="2">
        <v>45862</v>
      </c>
      <c r="R329" s="2">
        <v>45868.866969490744</v>
      </c>
      <c r="S329" t="s">
        <v>34</v>
      </c>
      <c r="T329" s="2">
        <v>45768.166666666664</v>
      </c>
      <c r="U329" s="2">
        <v>45768.166666666664</v>
      </c>
      <c r="V329" s="2">
        <v>45768.166666666664</v>
      </c>
      <c r="W329" s="2">
        <v>45851.166666666664</v>
      </c>
      <c r="X329" s="3">
        <f t="shared" si="50"/>
        <v>0</v>
      </c>
      <c r="Y329">
        <f t="shared" si="51"/>
        <v>83</v>
      </c>
      <c r="Z329">
        <f t="shared" si="52"/>
        <v>83</v>
      </c>
      <c r="AA329">
        <f t="shared" si="53"/>
        <v>175.79166666666424</v>
      </c>
      <c r="AB329">
        <f t="shared" si="54"/>
        <v>92.791666666664241</v>
      </c>
      <c r="AC329">
        <f>IFERROR(_xlfn.XLOOKUP(B329, HoldSummary!$A:$A, HoldSummary!B:B), 0)</f>
        <v>0</v>
      </c>
      <c r="AD329">
        <f>IFERROR(_xlfn.XLOOKUP(B329, HoldSummary!$A:$A, HoldSummary!C:C), 0)</f>
        <v>0</v>
      </c>
      <c r="AE329">
        <f>IFERROR(_xlfn.XLOOKUP(B329, HoldSummary!$A:$A, HoldSummary!D:D), 0)</f>
        <v>0</v>
      </c>
      <c r="AF329">
        <f>IFERROR(_xlfn.XLOOKUP(B329, HoldSummary!$A:$A, HoldSummary!E:E), 0)</f>
        <v>8</v>
      </c>
      <c r="AG329">
        <f>IFERROR(_xlfn.XLOOKUP(B329, HoldSummary!$A:$A, HoldSummary!F:F), 0)</f>
        <v>0</v>
      </c>
      <c r="AH329">
        <f>IFERROR(_xlfn.XLOOKUP(B329, HoldSummary!$A:$A, HoldSummary!G:G), 0)</f>
        <v>0</v>
      </c>
      <c r="AI329">
        <f>IFERROR(_xlfn.XLOOKUP(B329, HoldSummary!$A:$A, HoldSummary!H:H), 0)</f>
        <v>0</v>
      </c>
      <c r="AJ329">
        <f>IFERROR(_xlfn.XLOOKUP(B329, HoldSummary!$A:$A, HoldSummary!I:I), 0)</f>
        <v>0</v>
      </c>
      <c r="AK329">
        <f t="shared" si="55"/>
        <v>8</v>
      </c>
      <c r="AL329">
        <f t="shared" si="56"/>
        <v>167.79166666666424</v>
      </c>
      <c r="AM329">
        <f t="shared" si="57"/>
        <v>84.791666666664241</v>
      </c>
      <c r="AN329" s="12">
        <f t="shared" si="58"/>
        <v>-22.166666666664241</v>
      </c>
      <c r="AO329">
        <f t="shared" si="59"/>
        <v>1</v>
      </c>
    </row>
    <row r="330" spans="1:41" x14ac:dyDescent="0.35">
      <c r="A330" t="s">
        <v>23</v>
      </c>
      <c r="B330" t="s">
        <v>797</v>
      </c>
      <c r="C330" t="s">
        <v>76</v>
      </c>
      <c r="D330" t="s">
        <v>44</v>
      </c>
      <c r="E330" t="s">
        <v>45</v>
      </c>
      <c r="F330" t="s">
        <v>28</v>
      </c>
      <c r="G330">
        <v>15</v>
      </c>
      <c r="H330" t="s">
        <v>798</v>
      </c>
      <c r="I330" t="s">
        <v>30</v>
      </c>
      <c r="J330" t="s">
        <v>31</v>
      </c>
      <c r="K330" t="s">
        <v>48</v>
      </c>
      <c r="L330" t="s">
        <v>192</v>
      </c>
      <c r="N330" s="2">
        <v>44914.888622685183</v>
      </c>
      <c r="O330" s="2">
        <v>45044.166666666664</v>
      </c>
      <c r="P330" s="2">
        <v>45408.166666666664</v>
      </c>
      <c r="Q330" s="2">
        <v>45385</v>
      </c>
      <c r="R330" s="2">
        <v>45385.719759930558</v>
      </c>
      <c r="S330" t="s">
        <v>799</v>
      </c>
      <c r="T330" s="2">
        <v>45009.166666666664</v>
      </c>
      <c r="U330" s="2">
        <v>45021.166666666664</v>
      </c>
      <c r="V330" s="2">
        <v>45021.166666666664</v>
      </c>
      <c r="W330" s="2">
        <v>45377.166666666664</v>
      </c>
      <c r="X330" s="3">
        <f t="shared" si="50"/>
        <v>12</v>
      </c>
      <c r="Y330">
        <f t="shared" si="51"/>
        <v>356</v>
      </c>
      <c r="Z330">
        <f t="shared" si="52"/>
        <v>368</v>
      </c>
      <c r="AA330">
        <f t="shared" si="53"/>
        <v>470.11137731481722</v>
      </c>
      <c r="AB330">
        <f t="shared" si="54"/>
        <v>102.11137731481722</v>
      </c>
      <c r="AC330">
        <f>IFERROR(_xlfn.XLOOKUP(B330, HoldSummary!$A:$A, HoldSummary!B:B), 0)</f>
        <v>0</v>
      </c>
      <c r="AD330">
        <f>IFERROR(_xlfn.XLOOKUP(B330, HoldSummary!$A:$A, HoldSummary!C:C), 0)</f>
        <v>0</v>
      </c>
      <c r="AE330">
        <f>IFERROR(_xlfn.XLOOKUP(B330, HoldSummary!$A:$A, HoldSummary!D:D), 0)</f>
        <v>0</v>
      </c>
      <c r="AF330">
        <f>IFERROR(_xlfn.XLOOKUP(B330, HoldSummary!$A:$A, HoldSummary!E:E), 0)</f>
        <v>0</v>
      </c>
      <c r="AG330">
        <f>IFERROR(_xlfn.XLOOKUP(B330, HoldSummary!$A:$A, HoldSummary!F:F), 0)</f>
        <v>0</v>
      </c>
      <c r="AH330">
        <f>IFERROR(_xlfn.XLOOKUP(B330, HoldSummary!$A:$A, HoldSummary!G:G), 0)</f>
        <v>0</v>
      </c>
      <c r="AI330">
        <f>IFERROR(_xlfn.XLOOKUP(B330, HoldSummary!$A:$A, HoldSummary!H:H), 0)</f>
        <v>0</v>
      </c>
      <c r="AJ330">
        <f>IFERROR(_xlfn.XLOOKUP(B330, HoldSummary!$A:$A, HoldSummary!I:I), 0)</f>
        <v>0</v>
      </c>
      <c r="AK330">
        <f t="shared" si="55"/>
        <v>0</v>
      </c>
      <c r="AL330">
        <f t="shared" si="56"/>
        <v>470.11137731481722</v>
      </c>
      <c r="AM330">
        <f t="shared" si="57"/>
        <v>102.11137731481722</v>
      </c>
      <c r="AN330" s="12">
        <f t="shared" si="58"/>
        <v>340.83333333333576</v>
      </c>
      <c r="AO330">
        <f t="shared" si="59"/>
        <v>0</v>
      </c>
    </row>
    <row r="331" spans="1:41" x14ac:dyDescent="0.35">
      <c r="A331" t="s">
        <v>23</v>
      </c>
      <c r="B331" t="s">
        <v>800</v>
      </c>
      <c r="C331" t="s">
        <v>54</v>
      </c>
      <c r="D331" t="s">
        <v>44</v>
      </c>
      <c r="E331" t="s">
        <v>45</v>
      </c>
      <c r="F331" t="s">
        <v>28</v>
      </c>
      <c r="G331">
        <v>15</v>
      </c>
      <c r="H331" t="s">
        <v>801</v>
      </c>
      <c r="I331" t="s">
        <v>30</v>
      </c>
      <c r="J331" t="s">
        <v>31</v>
      </c>
      <c r="K331" t="s">
        <v>38</v>
      </c>
      <c r="L331" t="s">
        <v>39</v>
      </c>
      <c r="M331" t="s">
        <v>81</v>
      </c>
      <c r="N331" s="2">
        <v>45351.630937499998</v>
      </c>
      <c r="O331" s="2">
        <v>45707.208333333336</v>
      </c>
      <c r="P331" s="2">
        <v>45715.208333333336</v>
      </c>
      <c r="Q331" s="2">
        <v>45713</v>
      </c>
      <c r="R331" s="2">
        <v>45713.94374613426</v>
      </c>
      <c r="S331" t="s">
        <v>802</v>
      </c>
      <c r="T331" s="2">
        <v>45540.166666666664</v>
      </c>
      <c r="U331" s="2">
        <v>45540.166666666664</v>
      </c>
      <c r="V331" s="2">
        <v>45540.166666666664</v>
      </c>
      <c r="W331" s="2">
        <v>45681.208333333336</v>
      </c>
      <c r="X331" s="3">
        <f t="shared" si="50"/>
        <v>0</v>
      </c>
      <c r="Y331">
        <f t="shared" si="51"/>
        <v>141.04166666667152</v>
      </c>
      <c r="Z331">
        <f t="shared" si="52"/>
        <v>141.04166666667152</v>
      </c>
      <c r="AA331">
        <f t="shared" si="53"/>
        <v>361.36906250000175</v>
      </c>
      <c r="AB331">
        <f t="shared" si="54"/>
        <v>220.32739583333023</v>
      </c>
      <c r="AC331">
        <f>IFERROR(_xlfn.XLOOKUP(B331, HoldSummary!$A:$A, HoldSummary!B:B), 0)</f>
        <v>74</v>
      </c>
      <c r="AD331">
        <f>IFERROR(_xlfn.XLOOKUP(B331, HoldSummary!$A:$A, HoldSummary!C:C), 0)</f>
        <v>0</v>
      </c>
      <c r="AE331">
        <f>IFERROR(_xlfn.XLOOKUP(B331, HoldSummary!$A:$A, HoldSummary!D:D), 0)</f>
        <v>0</v>
      </c>
      <c r="AF331">
        <f>IFERROR(_xlfn.XLOOKUP(B331, HoldSummary!$A:$A, HoldSummary!E:E), 0)</f>
        <v>0</v>
      </c>
      <c r="AG331">
        <f>IFERROR(_xlfn.XLOOKUP(B331, HoldSummary!$A:$A, HoldSummary!F:F), 0)</f>
        <v>0</v>
      </c>
      <c r="AH331">
        <f>IFERROR(_xlfn.XLOOKUP(B331, HoldSummary!$A:$A, HoldSummary!G:G), 0)</f>
        <v>0</v>
      </c>
      <c r="AI331">
        <f>IFERROR(_xlfn.XLOOKUP(B331, HoldSummary!$A:$A, HoldSummary!H:H), 0)</f>
        <v>0</v>
      </c>
      <c r="AJ331">
        <f>IFERROR(_xlfn.XLOOKUP(B331, HoldSummary!$A:$A, HoldSummary!I:I), 0)</f>
        <v>0</v>
      </c>
      <c r="AK331">
        <f t="shared" si="55"/>
        <v>74</v>
      </c>
      <c r="AL331">
        <f t="shared" si="56"/>
        <v>287.36906250000175</v>
      </c>
      <c r="AM331">
        <f t="shared" si="57"/>
        <v>146.32739583333023</v>
      </c>
      <c r="AN331" s="12">
        <f t="shared" si="58"/>
        <v>5.7916666666642413</v>
      </c>
      <c r="AO331">
        <f t="shared" si="59"/>
        <v>0</v>
      </c>
    </row>
    <row r="332" spans="1:41" x14ac:dyDescent="0.35">
      <c r="A332" t="s">
        <v>23</v>
      </c>
      <c r="B332" t="s">
        <v>803</v>
      </c>
      <c r="C332" t="s">
        <v>76</v>
      </c>
      <c r="D332" t="s">
        <v>44</v>
      </c>
      <c r="E332" t="s">
        <v>45</v>
      </c>
      <c r="F332" t="s">
        <v>28</v>
      </c>
      <c r="G332">
        <v>15</v>
      </c>
      <c r="H332" t="s">
        <v>804</v>
      </c>
      <c r="I332" t="s">
        <v>30</v>
      </c>
      <c r="J332" t="s">
        <v>31</v>
      </c>
      <c r="K332" t="s">
        <v>38</v>
      </c>
      <c r="L332" t="s">
        <v>39</v>
      </c>
      <c r="M332" t="s">
        <v>33</v>
      </c>
      <c r="N332" s="2">
        <v>45523.905995370369</v>
      </c>
      <c r="O332" s="2">
        <v>45569.166666666664</v>
      </c>
      <c r="P332" s="2">
        <v>45576.166666666664</v>
      </c>
      <c r="Q332" s="2">
        <v>45574</v>
      </c>
      <c r="R332" s="2">
        <v>45575.518224861109</v>
      </c>
      <c r="S332" t="s">
        <v>805</v>
      </c>
      <c r="T332" s="2"/>
      <c r="U332" s="2"/>
      <c r="V332" s="2"/>
      <c r="W332" s="2"/>
      <c r="X332" s="3" t="str">
        <f t="shared" si="50"/>
        <v/>
      </c>
      <c r="Y332" t="str">
        <f t="shared" si="51"/>
        <v/>
      </c>
      <c r="Z332">
        <f t="shared" si="52"/>
        <v>0</v>
      </c>
      <c r="AA332">
        <f t="shared" si="53"/>
        <v>50.094004629630945</v>
      </c>
      <c r="AB332">
        <f t="shared" si="54"/>
        <v>50.094004629630945</v>
      </c>
      <c r="AC332">
        <f>IFERROR(_xlfn.XLOOKUP(B332, HoldSummary!$A:$A, HoldSummary!B:B), 0)</f>
        <v>0</v>
      </c>
      <c r="AD332">
        <f>IFERROR(_xlfn.XLOOKUP(B332, HoldSummary!$A:$A, HoldSummary!C:C), 0)</f>
        <v>0</v>
      </c>
      <c r="AE332">
        <f>IFERROR(_xlfn.XLOOKUP(B332, HoldSummary!$A:$A, HoldSummary!D:D), 0)</f>
        <v>0</v>
      </c>
      <c r="AF332">
        <f>IFERROR(_xlfn.XLOOKUP(B332, HoldSummary!$A:$A, HoldSummary!E:E), 0)</f>
        <v>0</v>
      </c>
      <c r="AG332">
        <f>IFERROR(_xlfn.XLOOKUP(B332, HoldSummary!$A:$A, HoldSummary!F:F), 0)</f>
        <v>0</v>
      </c>
      <c r="AH332">
        <f>IFERROR(_xlfn.XLOOKUP(B332, HoldSummary!$A:$A, HoldSummary!G:G), 0)</f>
        <v>0</v>
      </c>
      <c r="AI332">
        <f>IFERROR(_xlfn.XLOOKUP(B332, HoldSummary!$A:$A, HoldSummary!H:H), 0)</f>
        <v>0</v>
      </c>
      <c r="AJ332">
        <f>IFERROR(_xlfn.XLOOKUP(B332, HoldSummary!$A:$A, HoldSummary!I:I), 0)</f>
        <v>0</v>
      </c>
      <c r="AK332">
        <f t="shared" si="55"/>
        <v>0</v>
      </c>
      <c r="AL332">
        <f t="shared" si="56"/>
        <v>50.094004629630945</v>
      </c>
      <c r="AM332">
        <f t="shared" si="57"/>
        <v>50.094004629630945</v>
      </c>
      <c r="AN332" s="12">
        <f t="shared" si="58"/>
        <v>4.8333333333357587</v>
      </c>
      <c r="AO332">
        <f t="shared" si="59"/>
        <v>0</v>
      </c>
    </row>
    <row r="333" spans="1:41" x14ac:dyDescent="0.35">
      <c r="A333" t="s">
        <v>23</v>
      </c>
      <c r="B333" t="s">
        <v>806</v>
      </c>
      <c r="C333" t="s">
        <v>54</v>
      </c>
      <c r="D333" t="s">
        <v>44</v>
      </c>
      <c r="E333" t="s">
        <v>45</v>
      </c>
      <c r="F333" t="s">
        <v>28</v>
      </c>
      <c r="G333">
        <v>15</v>
      </c>
      <c r="H333" t="s">
        <v>807</v>
      </c>
      <c r="I333" t="s">
        <v>30</v>
      </c>
      <c r="J333" t="s">
        <v>70</v>
      </c>
      <c r="K333" t="s">
        <v>57</v>
      </c>
      <c r="L333" t="s">
        <v>53</v>
      </c>
      <c r="M333" t="s">
        <v>33</v>
      </c>
      <c r="N333" s="2">
        <v>45511.543923611112</v>
      </c>
      <c r="O333" s="2">
        <v>45761.166666666664</v>
      </c>
      <c r="P333" s="2">
        <v>45582.166666666664</v>
      </c>
      <c r="Q333" s="2">
        <v>45573</v>
      </c>
      <c r="R333" s="2">
        <v>45575.608400625002</v>
      </c>
      <c r="S333" t="s">
        <v>808</v>
      </c>
      <c r="T333" s="2"/>
      <c r="U333" s="2"/>
      <c r="V333" s="2"/>
      <c r="W333" s="2"/>
      <c r="X333" s="3" t="str">
        <f t="shared" si="50"/>
        <v/>
      </c>
      <c r="Y333" t="str">
        <f t="shared" si="51"/>
        <v/>
      </c>
      <c r="Z333">
        <f t="shared" si="52"/>
        <v>0</v>
      </c>
      <c r="AA333">
        <f t="shared" si="53"/>
        <v>61.456076388887595</v>
      </c>
      <c r="AB333">
        <f t="shared" si="54"/>
        <v>61.456076388887595</v>
      </c>
      <c r="AC333">
        <f>IFERROR(_xlfn.XLOOKUP(B333, HoldSummary!$A:$A, HoldSummary!B:B), 0)</f>
        <v>0</v>
      </c>
      <c r="AD333">
        <f>IFERROR(_xlfn.XLOOKUP(B333, HoldSummary!$A:$A, HoldSummary!C:C), 0)</f>
        <v>0</v>
      </c>
      <c r="AE333">
        <f>IFERROR(_xlfn.XLOOKUP(B333, HoldSummary!$A:$A, HoldSummary!D:D), 0)</f>
        <v>0</v>
      </c>
      <c r="AF333">
        <f>IFERROR(_xlfn.XLOOKUP(B333, HoldSummary!$A:$A, HoldSummary!E:E), 0)</f>
        <v>0</v>
      </c>
      <c r="AG333">
        <f>IFERROR(_xlfn.XLOOKUP(B333, HoldSummary!$A:$A, HoldSummary!F:F), 0)</f>
        <v>0</v>
      </c>
      <c r="AH333">
        <f>IFERROR(_xlfn.XLOOKUP(B333, HoldSummary!$A:$A, HoldSummary!G:G), 0)</f>
        <v>0</v>
      </c>
      <c r="AI333">
        <f>IFERROR(_xlfn.XLOOKUP(B333, HoldSummary!$A:$A, HoldSummary!H:H), 0)</f>
        <v>0</v>
      </c>
      <c r="AJ333">
        <f>IFERROR(_xlfn.XLOOKUP(B333, HoldSummary!$A:$A, HoldSummary!I:I), 0)</f>
        <v>0</v>
      </c>
      <c r="AK333">
        <f t="shared" si="55"/>
        <v>0</v>
      </c>
      <c r="AL333">
        <f t="shared" si="56"/>
        <v>61.456076388887595</v>
      </c>
      <c r="AM333">
        <f t="shared" si="57"/>
        <v>61.456076388887595</v>
      </c>
      <c r="AN333" s="12">
        <f t="shared" si="58"/>
        <v>-188.16666666666424</v>
      </c>
      <c r="AO333">
        <f t="shared" si="59"/>
        <v>1</v>
      </c>
    </row>
    <row r="334" spans="1:41" x14ac:dyDescent="0.35">
      <c r="A334" t="s">
        <v>23</v>
      </c>
      <c r="B334" t="s">
        <v>809</v>
      </c>
      <c r="C334" t="s">
        <v>54</v>
      </c>
      <c r="D334" t="s">
        <v>44</v>
      </c>
      <c r="E334" t="s">
        <v>45</v>
      </c>
      <c r="F334" t="s">
        <v>28</v>
      </c>
      <c r="G334">
        <v>15</v>
      </c>
      <c r="H334" t="s">
        <v>810</v>
      </c>
      <c r="I334" t="s">
        <v>30</v>
      </c>
      <c r="J334" t="s">
        <v>31</v>
      </c>
      <c r="K334" t="s">
        <v>38</v>
      </c>
      <c r="L334" t="s">
        <v>53</v>
      </c>
      <c r="M334" t="s">
        <v>33</v>
      </c>
      <c r="N334" s="2">
        <v>45583.476875</v>
      </c>
      <c r="O334" s="2">
        <v>45757.166666666664</v>
      </c>
      <c r="P334" s="2">
        <v>45618.208333333336</v>
      </c>
      <c r="Q334" s="2">
        <v>45609</v>
      </c>
      <c r="R334" s="2">
        <v>45609.782689733795</v>
      </c>
      <c r="T334" s="2">
        <v>45594.166666666664</v>
      </c>
      <c r="U334" s="2">
        <v>45596.166666666664</v>
      </c>
      <c r="V334" s="2">
        <v>45596.166666666664</v>
      </c>
      <c r="W334" s="2">
        <v>45603.208333333336</v>
      </c>
      <c r="X334" s="3">
        <f t="shared" si="50"/>
        <v>2</v>
      </c>
      <c r="Y334">
        <f t="shared" si="51"/>
        <v>7.0416666666715173</v>
      </c>
      <c r="Z334">
        <f t="shared" si="52"/>
        <v>9.0416666666715173</v>
      </c>
      <c r="AA334">
        <f t="shared" si="53"/>
        <v>25.523124999999709</v>
      </c>
      <c r="AB334">
        <f t="shared" si="54"/>
        <v>16.481458333328192</v>
      </c>
      <c r="AC334">
        <f>IFERROR(_xlfn.XLOOKUP(B334, HoldSummary!$A:$A, HoldSummary!B:B), 0)</f>
        <v>4</v>
      </c>
      <c r="AD334">
        <f>IFERROR(_xlfn.XLOOKUP(B334, HoldSummary!$A:$A, HoldSummary!C:C), 0)</f>
        <v>0</v>
      </c>
      <c r="AE334">
        <f>IFERROR(_xlfn.XLOOKUP(B334, HoldSummary!$A:$A, HoldSummary!D:D), 0)</f>
        <v>0</v>
      </c>
      <c r="AF334">
        <f>IFERROR(_xlfn.XLOOKUP(B334, HoldSummary!$A:$A, HoldSummary!E:E), 0)</f>
        <v>0</v>
      </c>
      <c r="AG334">
        <f>IFERROR(_xlfn.XLOOKUP(B334, HoldSummary!$A:$A, HoldSummary!F:F), 0)</f>
        <v>0</v>
      </c>
      <c r="AH334">
        <f>IFERROR(_xlfn.XLOOKUP(B334, HoldSummary!$A:$A, HoldSummary!G:G), 0)</f>
        <v>0</v>
      </c>
      <c r="AI334">
        <f>IFERROR(_xlfn.XLOOKUP(B334, HoldSummary!$A:$A, HoldSummary!H:H), 0)</f>
        <v>0</v>
      </c>
      <c r="AJ334">
        <f>IFERROR(_xlfn.XLOOKUP(B334, HoldSummary!$A:$A, HoldSummary!I:I), 0)</f>
        <v>0</v>
      </c>
      <c r="AK334">
        <f t="shared" si="55"/>
        <v>4</v>
      </c>
      <c r="AL334">
        <f t="shared" si="56"/>
        <v>21.523124999999709</v>
      </c>
      <c r="AM334">
        <f t="shared" si="57"/>
        <v>12.481458333328192</v>
      </c>
      <c r="AN334" s="12">
        <f t="shared" si="58"/>
        <v>-148.16666666666424</v>
      </c>
      <c r="AO334">
        <f t="shared" si="59"/>
        <v>1</v>
      </c>
    </row>
    <row r="335" spans="1:41" x14ac:dyDescent="0.35">
      <c r="A335" t="s">
        <v>23</v>
      </c>
      <c r="B335" t="s">
        <v>811</v>
      </c>
      <c r="C335" t="s">
        <v>36</v>
      </c>
      <c r="D335" t="s">
        <v>44</v>
      </c>
      <c r="E335" t="s">
        <v>44</v>
      </c>
      <c r="F335" t="s">
        <v>28</v>
      </c>
      <c r="G335">
        <v>15</v>
      </c>
      <c r="H335" t="s">
        <v>812</v>
      </c>
      <c r="I335" t="s">
        <v>30</v>
      </c>
      <c r="J335" t="s">
        <v>31</v>
      </c>
      <c r="K335" t="s">
        <v>48</v>
      </c>
      <c r="L335" t="s">
        <v>49</v>
      </c>
      <c r="M335" t="s">
        <v>33</v>
      </c>
      <c r="N335" s="2">
        <v>45645.208333333336</v>
      </c>
      <c r="O335" s="2">
        <v>45693.208333333336</v>
      </c>
      <c r="P335" s="2">
        <v>45693.208333333336</v>
      </c>
      <c r="Q335" s="2">
        <v>45693</v>
      </c>
      <c r="R335" s="2">
        <v>45693.892386446758</v>
      </c>
      <c r="T335" s="2"/>
      <c r="U335" s="2"/>
      <c r="V335" s="2"/>
      <c r="W335" s="2"/>
      <c r="X335" s="3" t="str">
        <f t="shared" si="50"/>
        <v/>
      </c>
      <c r="Y335" t="str">
        <f t="shared" si="51"/>
        <v/>
      </c>
      <c r="Z335">
        <f t="shared" si="52"/>
        <v>0</v>
      </c>
      <c r="AA335">
        <f t="shared" si="53"/>
        <v>47.791666666664241</v>
      </c>
      <c r="AB335">
        <f t="shared" si="54"/>
        <v>47.791666666664241</v>
      </c>
      <c r="AC335">
        <f>IFERROR(_xlfn.XLOOKUP(B335, HoldSummary!$A:$A, HoldSummary!B:B), 0)</f>
        <v>0</v>
      </c>
      <c r="AD335">
        <f>IFERROR(_xlfn.XLOOKUP(B335, HoldSummary!$A:$A, HoldSummary!C:C), 0)</f>
        <v>0</v>
      </c>
      <c r="AE335">
        <f>IFERROR(_xlfn.XLOOKUP(B335, HoldSummary!$A:$A, HoldSummary!D:D), 0)</f>
        <v>0</v>
      </c>
      <c r="AF335">
        <f>IFERROR(_xlfn.XLOOKUP(B335, HoldSummary!$A:$A, HoldSummary!E:E), 0)</f>
        <v>0</v>
      </c>
      <c r="AG335">
        <f>IFERROR(_xlfn.XLOOKUP(B335, HoldSummary!$A:$A, HoldSummary!F:F), 0)</f>
        <v>0</v>
      </c>
      <c r="AH335">
        <f>IFERROR(_xlfn.XLOOKUP(B335, HoldSummary!$A:$A, HoldSummary!G:G), 0)</f>
        <v>0</v>
      </c>
      <c r="AI335">
        <f>IFERROR(_xlfn.XLOOKUP(B335, HoldSummary!$A:$A, HoldSummary!H:H), 0)</f>
        <v>0</v>
      </c>
      <c r="AJ335">
        <f>IFERROR(_xlfn.XLOOKUP(B335, HoldSummary!$A:$A, HoldSummary!I:I), 0)</f>
        <v>0</v>
      </c>
      <c r="AK335">
        <f t="shared" si="55"/>
        <v>0</v>
      </c>
      <c r="AL335">
        <f t="shared" si="56"/>
        <v>47.791666666664241</v>
      </c>
      <c r="AM335">
        <f t="shared" si="57"/>
        <v>47.791666666664241</v>
      </c>
      <c r="AN335" s="12">
        <f t="shared" si="58"/>
        <v>-0.20833333333575865</v>
      </c>
      <c r="AO335">
        <f t="shared" si="59"/>
        <v>1</v>
      </c>
    </row>
    <row r="336" spans="1:41" x14ac:dyDescent="0.35">
      <c r="A336" t="s">
        <v>23</v>
      </c>
      <c r="B336" t="s">
        <v>813</v>
      </c>
      <c r="C336" t="s">
        <v>409</v>
      </c>
      <c r="D336" t="s">
        <v>44</v>
      </c>
      <c r="E336" t="s">
        <v>45</v>
      </c>
      <c r="F336" t="s">
        <v>28</v>
      </c>
      <c r="G336">
        <v>15</v>
      </c>
      <c r="H336" t="s">
        <v>814</v>
      </c>
      <c r="I336" t="s">
        <v>30</v>
      </c>
      <c r="J336" t="s">
        <v>31</v>
      </c>
      <c r="K336" t="s">
        <v>38</v>
      </c>
      <c r="L336" t="s">
        <v>39</v>
      </c>
      <c r="M336" t="s">
        <v>81</v>
      </c>
      <c r="N336" s="2">
        <v>45596.847141203703</v>
      </c>
      <c r="O336" s="2">
        <v>45770.166666666664</v>
      </c>
      <c r="P336" s="2">
        <v>45770.166666666664</v>
      </c>
      <c r="Q336" s="2">
        <v>45762</v>
      </c>
      <c r="R336" s="2">
        <v>45762.840074247688</v>
      </c>
      <c r="S336" t="s">
        <v>708</v>
      </c>
      <c r="T336" s="2">
        <v>45694.208333333336</v>
      </c>
      <c r="U336" s="2">
        <v>45700.208333333336</v>
      </c>
      <c r="V336" s="2">
        <v>45700.208333333336</v>
      </c>
      <c r="W336" s="2">
        <v>45758.166666666664</v>
      </c>
      <c r="X336" s="3">
        <f t="shared" si="50"/>
        <v>6</v>
      </c>
      <c r="Y336">
        <f t="shared" si="51"/>
        <v>57.958333333328483</v>
      </c>
      <c r="Z336">
        <f t="shared" si="52"/>
        <v>63.958333333328483</v>
      </c>
      <c r="AA336">
        <f t="shared" si="53"/>
        <v>165.15285879629664</v>
      </c>
      <c r="AB336">
        <f t="shared" si="54"/>
        <v>101.19452546296816</v>
      </c>
      <c r="AC336">
        <f>IFERROR(_xlfn.XLOOKUP(B336, HoldSummary!$A:$A, HoldSummary!B:B), 0)</f>
        <v>21</v>
      </c>
      <c r="AD336">
        <f>IFERROR(_xlfn.XLOOKUP(B336, HoldSummary!$A:$A, HoldSummary!C:C), 0)</f>
        <v>0</v>
      </c>
      <c r="AE336">
        <f>IFERROR(_xlfn.XLOOKUP(B336, HoldSummary!$A:$A, HoldSummary!D:D), 0)</f>
        <v>0</v>
      </c>
      <c r="AF336">
        <f>IFERROR(_xlfn.XLOOKUP(B336, HoldSummary!$A:$A, HoldSummary!E:E), 0)</f>
        <v>0</v>
      </c>
      <c r="AG336">
        <f>IFERROR(_xlfn.XLOOKUP(B336, HoldSummary!$A:$A, HoldSummary!F:F), 0)</f>
        <v>0</v>
      </c>
      <c r="AH336">
        <f>IFERROR(_xlfn.XLOOKUP(B336, HoldSummary!$A:$A, HoldSummary!G:G), 0)</f>
        <v>0</v>
      </c>
      <c r="AI336">
        <f>IFERROR(_xlfn.XLOOKUP(B336, HoldSummary!$A:$A, HoldSummary!H:H), 0)</f>
        <v>0</v>
      </c>
      <c r="AJ336">
        <f>IFERROR(_xlfn.XLOOKUP(B336, HoldSummary!$A:$A, HoldSummary!I:I), 0)</f>
        <v>0</v>
      </c>
      <c r="AK336">
        <f t="shared" si="55"/>
        <v>21</v>
      </c>
      <c r="AL336">
        <f t="shared" si="56"/>
        <v>144.15285879629664</v>
      </c>
      <c r="AM336">
        <f t="shared" si="57"/>
        <v>80.194525462968159</v>
      </c>
      <c r="AN336" s="12">
        <f t="shared" si="58"/>
        <v>-8.1666666666642413</v>
      </c>
      <c r="AO336">
        <f t="shared" si="59"/>
        <v>1</v>
      </c>
    </row>
    <row r="337" spans="1:41" x14ac:dyDescent="0.35">
      <c r="A337" t="s">
        <v>23</v>
      </c>
      <c r="B337" t="s">
        <v>815</v>
      </c>
      <c r="C337" t="s">
        <v>816</v>
      </c>
      <c r="D337" t="s">
        <v>44</v>
      </c>
      <c r="E337" t="s">
        <v>45</v>
      </c>
      <c r="F337" t="s">
        <v>28</v>
      </c>
      <c r="G337">
        <v>15</v>
      </c>
      <c r="H337" t="s">
        <v>817</v>
      </c>
      <c r="I337" t="s">
        <v>30</v>
      </c>
      <c r="J337" t="s">
        <v>31</v>
      </c>
      <c r="K337" t="s">
        <v>32</v>
      </c>
      <c r="L337" t="s">
        <v>32</v>
      </c>
      <c r="N337" s="2">
        <v>45588.538506944446</v>
      </c>
      <c r="O337" s="2">
        <v>45777.166666666664</v>
      </c>
      <c r="P337" s="2">
        <v>45793.166666666664</v>
      </c>
      <c r="Q337" s="2">
        <v>45786</v>
      </c>
      <c r="R337" s="2">
        <v>45789.570408981483</v>
      </c>
      <c r="S337" t="s">
        <v>818</v>
      </c>
      <c r="T337" s="2">
        <v>45748.166666666664</v>
      </c>
      <c r="U337" s="2">
        <v>45748.166666666664</v>
      </c>
      <c r="V337" s="2">
        <v>45748.166666666664</v>
      </c>
      <c r="W337" s="2">
        <v>45749.166666666664</v>
      </c>
      <c r="X337" s="3">
        <f t="shared" si="50"/>
        <v>0</v>
      </c>
      <c r="Y337">
        <f t="shared" si="51"/>
        <v>1</v>
      </c>
      <c r="Z337">
        <f t="shared" si="52"/>
        <v>1</v>
      </c>
      <c r="AA337">
        <f t="shared" si="53"/>
        <v>197.46149305555446</v>
      </c>
      <c r="AB337">
        <f t="shared" si="54"/>
        <v>196.46149305555446</v>
      </c>
      <c r="AC337">
        <f>IFERROR(_xlfn.XLOOKUP(B337, HoldSummary!$A:$A, HoldSummary!B:B), 0)</f>
        <v>0</v>
      </c>
      <c r="AD337">
        <f>IFERROR(_xlfn.XLOOKUP(B337, HoldSummary!$A:$A, HoldSummary!C:C), 0)</f>
        <v>0</v>
      </c>
      <c r="AE337">
        <f>IFERROR(_xlfn.XLOOKUP(B337, HoldSummary!$A:$A, HoldSummary!D:D), 0)</f>
        <v>0</v>
      </c>
      <c r="AF337">
        <f>IFERROR(_xlfn.XLOOKUP(B337, HoldSummary!$A:$A, HoldSummary!E:E), 0)</f>
        <v>0</v>
      </c>
      <c r="AG337">
        <f>IFERROR(_xlfn.XLOOKUP(B337, HoldSummary!$A:$A, HoldSummary!F:F), 0)</f>
        <v>0</v>
      </c>
      <c r="AH337">
        <f>IFERROR(_xlfn.XLOOKUP(B337, HoldSummary!$A:$A, HoldSummary!G:G), 0)</f>
        <v>0</v>
      </c>
      <c r="AI337">
        <f>IFERROR(_xlfn.XLOOKUP(B337, HoldSummary!$A:$A, HoldSummary!H:H), 0)</f>
        <v>0</v>
      </c>
      <c r="AJ337">
        <f>IFERROR(_xlfn.XLOOKUP(B337, HoldSummary!$A:$A, HoldSummary!I:I), 0)</f>
        <v>0</v>
      </c>
      <c r="AK337">
        <f t="shared" si="55"/>
        <v>0</v>
      </c>
      <c r="AL337">
        <f t="shared" si="56"/>
        <v>197.46149305555446</v>
      </c>
      <c r="AM337">
        <f t="shared" si="57"/>
        <v>196.46149305555446</v>
      </c>
      <c r="AN337" s="12">
        <f t="shared" si="58"/>
        <v>8.8333333333357587</v>
      </c>
      <c r="AO337">
        <f t="shared" si="59"/>
        <v>0</v>
      </c>
    </row>
    <row r="338" spans="1:41" x14ac:dyDescent="0.35">
      <c r="A338" t="s">
        <v>23</v>
      </c>
      <c r="B338" t="s">
        <v>819</v>
      </c>
      <c r="C338" t="s">
        <v>135</v>
      </c>
      <c r="D338" t="s">
        <v>44</v>
      </c>
      <c r="E338" t="s">
        <v>45</v>
      </c>
      <c r="F338" t="s">
        <v>28</v>
      </c>
      <c r="G338">
        <v>15</v>
      </c>
      <c r="H338" t="s">
        <v>820</v>
      </c>
      <c r="I338" t="s">
        <v>30</v>
      </c>
      <c r="J338" t="s">
        <v>31</v>
      </c>
      <c r="K338" t="s">
        <v>32</v>
      </c>
      <c r="L338" t="s">
        <v>32</v>
      </c>
      <c r="M338" t="s">
        <v>33</v>
      </c>
      <c r="N338" s="2">
        <v>45664.512743055559</v>
      </c>
      <c r="O338" s="2">
        <v>45838.166666666664</v>
      </c>
      <c r="P338" s="2">
        <v>45890.166666666664</v>
      </c>
      <c r="Q338" s="2">
        <v>45848</v>
      </c>
      <c r="R338" s="2">
        <v>45852.665945671295</v>
      </c>
      <c r="T338" s="2">
        <v>45797.166666666664</v>
      </c>
      <c r="U338" s="2">
        <v>45797.166666666664</v>
      </c>
      <c r="V338" s="2">
        <v>45797.166666666664</v>
      </c>
      <c r="W338" s="2">
        <v>45824.166666666664</v>
      </c>
      <c r="X338" s="3">
        <f t="shared" si="50"/>
        <v>0</v>
      </c>
      <c r="Y338">
        <f t="shared" si="51"/>
        <v>27</v>
      </c>
      <c r="Z338">
        <f t="shared" si="52"/>
        <v>27</v>
      </c>
      <c r="AA338">
        <f t="shared" si="53"/>
        <v>183.48725694444147</v>
      </c>
      <c r="AB338">
        <f t="shared" si="54"/>
        <v>156.48725694444147</v>
      </c>
      <c r="AC338">
        <f>IFERROR(_xlfn.XLOOKUP(B338, HoldSummary!$A:$A, HoldSummary!B:B), 0)</f>
        <v>0</v>
      </c>
      <c r="AD338">
        <f>IFERROR(_xlfn.XLOOKUP(B338, HoldSummary!$A:$A, HoldSummary!C:C), 0)</f>
        <v>0</v>
      </c>
      <c r="AE338">
        <f>IFERROR(_xlfn.XLOOKUP(B338, HoldSummary!$A:$A, HoldSummary!D:D), 0)</f>
        <v>13</v>
      </c>
      <c r="AF338">
        <f>IFERROR(_xlfn.XLOOKUP(B338, HoldSummary!$A:$A, HoldSummary!E:E), 0)</f>
        <v>0</v>
      </c>
      <c r="AG338">
        <f>IFERROR(_xlfn.XLOOKUP(B338, HoldSummary!$A:$A, HoldSummary!F:F), 0)</f>
        <v>16</v>
      </c>
      <c r="AH338">
        <f>IFERROR(_xlfn.XLOOKUP(B338, HoldSummary!$A:$A, HoldSummary!G:G), 0)</f>
        <v>0</v>
      </c>
      <c r="AI338">
        <f>IFERROR(_xlfn.XLOOKUP(B338, HoldSummary!$A:$A, HoldSummary!H:H), 0)</f>
        <v>0</v>
      </c>
      <c r="AJ338">
        <f>IFERROR(_xlfn.XLOOKUP(B338, HoldSummary!$A:$A, HoldSummary!I:I), 0)</f>
        <v>0</v>
      </c>
      <c r="AK338">
        <f t="shared" si="55"/>
        <v>29</v>
      </c>
      <c r="AL338">
        <f t="shared" si="56"/>
        <v>154.48725694444147</v>
      </c>
      <c r="AM338">
        <f t="shared" si="57"/>
        <v>127.48725694444147</v>
      </c>
      <c r="AN338" s="12">
        <f t="shared" si="58"/>
        <v>9.8333333333357587</v>
      </c>
      <c r="AO338">
        <f t="shared" si="59"/>
        <v>0</v>
      </c>
    </row>
    <row r="339" spans="1:41" x14ac:dyDescent="0.35">
      <c r="A339" t="s">
        <v>23</v>
      </c>
      <c r="B339" t="s">
        <v>821</v>
      </c>
      <c r="C339" t="s">
        <v>816</v>
      </c>
      <c r="D339" t="s">
        <v>44</v>
      </c>
      <c r="E339" t="s">
        <v>45</v>
      </c>
      <c r="F339" t="s">
        <v>28</v>
      </c>
      <c r="G339">
        <v>15</v>
      </c>
      <c r="H339" t="s">
        <v>822</v>
      </c>
      <c r="I339" t="s">
        <v>30</v>
      </c>
      <c r="J339" t="s">
        <v>31</v>
      </c>
      <c r="K339" t="s">
        <v>32</v>
      </c>
      <c r="L339" t="s">
        <v>32</v>
      </c>
      <c r="M339" t="s">
        <v>33</v>
      </c>
      <c r="N339" s="2">
        <v>45744.792337962965</v>
      </c>
      <c r="O339" s="2">
        <v>45772.166666666664</v>
      </c>
      <c r="P339" s="2">
        <v>45786.166666666664</v>
      </c>
      <c r="Q339" s="2">
        <v>45784</v>
      </c>
      <c r="R339" s="2">
        <v>45784.771623032408</v>
      </c>
      <c r="S339" t="s">
        <v>104</v>
      </c>
      <c r="T339" s="2">
        <v>45755.166666666664</v>
      </c>
      <c r="U339" s="2">
        <v>45756.166666666664</v>
      </c>
      <c r="V339" s="2">
        <v>45756.166666666664</v>
      </c>
      <c r="W339" s="2">
        <v>45757.166666666664</v>
      </c>
      <c r="X339" s="3">
        <f t="shared" si="50"/>
        <v>1</v>
      </c>
      <c r="Y339">
        <f t="shared" si="51"/>
        <v>1</v>
      </c>
      <c r="Z339">
        <f t="shared" si="52"/>
        <v>2</v>
      </c>
      <c r="AA339">
        <f t="shared" si="53"/>
        <v>39.207662037035334</v>
      </c>
      <c r="AB339">
        <f t="shared" si="54"/>
        <v>37.207662037035334</v>
      </c>
      <c r="AC339">
        <f>IFERROR(_xlfn.XLOOKUP(B339, HoldSummary!$A:$A, HoldSummary!B:B), 0)</f>
        <v>0</v>
      </c>
      <c r="AD339">
        <f>IFERROR(_xlfn.XLOOKUP(B339, HoldSummary!$A:$A, HoldSummary!C:C), 0)</f>
        <v>0</v>
      </c>
      <c r="AE339">
        <f>IFERROR(_xlfn.XLOOKUP(B339, HoldSummary!$A:$A, HoldSummary!D:D), 0)</f>
        <v>0</v>
      </c>
      <c r="AF339">
        <f>IFERROR(_xlfn.XLOOKUP(B339, HoldSummary!$A:$A, HoldSummary!E:E), 0)</f>
        <v>0</v>
      </c>
      <c r="AG339">
        <f>IFERROR(_xlfn.XLOOKUP(B339, HoldSummary!$A:$A, HoldSummary!F:F), 0)</f>
        <v>0</v>
      </c>
      <c r="AH339">
        <f>IFERROR(_xlfn.XLOOKUP(B339, HoldSummary!$A:$A, HoldSummary!G:G), 0)</f>
        <v>0</v>
      </c>
      <c r="AI339">
        <f>IFERROR(_xlfn.XLOOKUP(B339, HoldSummary!$A:$A, HoldSummary!H:H), 0)</f>
        <v>0</v>
      </c>
      <c r="AJ339">
        <f>IFERROR(_xlfn.XLOOKUP(B339, HoldSummary!$A:$A, HoldSummary!I:I), 0)</f>
        <v>0</v>
      </c>
      <c r="AK339">
        <f t="shared" si="55"/>
        <v>0</v>
      </c>
      <c r="AL339">
        <f t="shared" si="56"/>
        <v>39.207662037035334</v>
      </c>
      <c r="AM339">
        <f t="shared" si="57"/>
        <v>37.207662037035334</v>
      </c>
      <c r="AN339" s="12">
        <f t="shared" si="58"/>
        <v>11.833333333335759</v>
      </c>
      <c r="AO339">
        <f t="shared" si="59"/>
        <v>0</v>
      </c>
    </row>
    <row r="340" spans="1:41" x14ac:dyDescent="0.35">
      <c r="A340" t="s">
        <v>23</v>
      </c>
      <c r="B340" t="s">
        <v>823</v>
      </c>
      <c r="C340" t="s">
        <v>135</v>
      </c>
      <c r="D340" t="s">
        <v>44</v>
      </c>
      <c r="E340" t="s">
        <v>45</v>
      </c>
      <c r="F340" t="s">
        <v>28</v>
      </c>
      <c r="G340">
        <v>15</v>
      </c>
      <c r="H340" t="s">
        <v>824</v>
      </c>
      <c r="I340" t="s">
        <v>30</v>
      </c>
      <c r="J340" t="s">
        <v>31</v>
      </c>
      <c r="K340" t="s">
        <v>32</v>
      </c>
      <c r="L340" t="s">
        <v>32</v>
      </c>
      <c r="M340" t="s">
        <v>81</v>
      </c>
      <c r="N340" s="2">
        <v>45729.442997685182</v>
      </c>
      <c r="O340" s="2">
        <v>45838.166666666664</v>
      </c>
      <c r="P340" s="2">
        <v>45833.166666666664</v>
      </c>
      <c r="Q340" s="2">
        <v>45816</v>
      </c>
      <c r="R340" s="2">
        <v>45819.623073437499</v>
      </c>
      <c r="S340" t="s">
        <v>97</v>
      </c>
      <c r="T340" s="2">
        <v>45786.166666666664</v>
      </c>
      <c r="U340" s="2">
        <v>45786.166666666664</v>
      </c>
      <c r="V340" s="2">
        <v>45786.166666666664</v>
      </c>
      <c r="W340" s="2">
        <v>45797.166666666664</v>
      </c>
      <c r="X340" s="3">
        <f t="shared" si="50"/>
        <v>0</v>
      </c>
      <c r="Y340">
        <f t="shared" si="51"/>
        <v>11</v>
      </c>
      <c r="Z340">
        <f t="shared" si="52"/>
        <v>11</v>
      </c>
      <c r="AA340">
        <f t="shared" si="53"/>
        <v>86.55700231481751</v>
      </c>
      <c r="AB340">
        <f t="shared" si="54"/>
        <v>75.55700231481751</v>
      </c>
      <c r="AC340">
        <f>IFERROR(_xlfn.XLOOKUP(B340, HoldSummary!$A:$A, HoldSummary!B:B), 0)</f>
        <v>13</v>
      </c>
      <c r="AD340">
        <f>IFERROR(_xlfn.XLOOKUP(B340, HoldSummary!$A:$A, HoldSummary!C:C), 0)</f>
        <v>0</v>
      </c>
      <c r="AE340">
        <f>IFERROR(_xlfn.XLOOKUP(B340, HoldSummary!$A:$A, HoldSummary!D:D), 0)</f>
        <v>8</v>
      </c>
      <c r="AF340">
        <f>IFERROR(_xlfn.XLOOKUP(B340, HoldSummary!$A:$A, HoldSummary!E:E), 0)</f>
        <v>0</v>
      </c>
      <c r="AG340">
        <f>IFERROR(_xlfn.XLOOKUP(B340, HoldSummary!$A:$A, HoldSummary!F:F), 0)</f>
        <v>0</v>
      </c>
      <c r="AH340">
        <f>IFERROR(_xlfn.XLOOKUP(B340, HoldSummary!$A:$A, HoldSummary!G:G), 0)</f>
        <v>0</v>
      </c>
      <c r="AI340">
        <f>IFERROR(_xlfn.XLOOKUP(B340, HoldSummary!$A:$A, HoldSummary!H:H), 0)</f>
        <v>0</v>
      </c>
      <c r="AJ340">
        <f>IFERROR(_xlfn.XLOOKUP(B340, HoldSummary!$A:$A, HoldSummary!I:I), 0)</f>
        <v>0</v>
      </c>
      <c r="AK340">
        <f t="shared" si="55"/>
        <v>21</v>
      </c>
      <c r="AL340">
        <f t="shared" si="56"/>
        <v>65.55700231481751</v>
      </c>
      <c r="AM340">
        <f t="shared" si="57"/>
        <v>54.55700231481751</v>
      </c>
      <c r="AN340" s="12">
        <f t="shared" si="58"/>
        <v>-22.166666666664241</v>
      </c>
      <c r="AO340">
        <f t="shared" si="59"/>
        <v>1</v>
      </c>
    </row>
    <row r="341" spans="1:41" x14ac:dyDescent="0.35">
      <c r="A341" t="s">
        <v>23</v>
      </c>
      <c r="B341" t="s">
        <v>825</v>
      </c>
      <c r="C341" t="s">
        <v>36</v>
      </c>
      <c r="D341" t="s">
        <v>44</v>
      </c>
      <c r="E341" t="s">
        <v>45</v>
      </c>
      <c r="F341" t="s">
        <v>28</v>
      </c>
      <c r="G341">
        <v>15</v>
      </c>
      <c r="H341" t="s">
        <v>826</v>
      </c>
      <c r="I341" t="s">
        <v>30</v>
      </c>
      <c r="J341" t="s">
        <v>31</v>
      </c>
      <c r="K341" t="s">
        <v>48</v>
      </c>
      <c r="L341" t="s">
        <v>827</v>
      </c>
      <c r="M341" t="s">
        <v>33</v>
      </c>
      <c r="N341" s="2">
        <v>45761.528032407405</v>
      </c>
      <c r="O341" s="2">
        <v>45772.166666666664</v>
      </c>
      <c r="P341" s="2">
        <v>45772.166666666664</v>
      </c>
      <c r="Q341" s="2">
        <v>45776</v>
      </c>
      <c r="R341" s="2">
        <v>45776.72735335648</v>
      </c>
      <c r="S341" t="s">
        <v>93</v>
      </c>
      <c r="T341" s="2"/>
      <c r="U341" s="2"/>
      <c r="V341" s="2"/>
      <c r="W341" s="2"/>
      <c r="X341" s="3" t="str">
        <f t="shared" si="50"/>
        <v/>
      </c>
      <c r="Y341" t="str">
        <f t="shared" si="51"/>
        <v/>
      </c>
      <c r="Z341">
        <f t="shared" si="52"/>
        <v>0</v>
      </c>
      <c r="AA341">
        <f t="shared" si="53"/>
        <v>14.47196759259532</v>
      </c>
      <c r="AB341">
        <f t="shared" si="54"/>
        <v>14.47196759259532</v>
      </c>
      <c r="AC341">
        <f>IFERROR(_xlfn.XLOOKUP(B341, HoldSummary!$A:$A, HoldSummary!B:B), 0)</f>
        <v>0</v>
      </c>
      <c r="AD341">
        <f>IFERROR(_xlfn.XLOOKUP(B341, HoldSummary!$A:$A, HoldSummary!C:C), 0)</f>
        <v>0</v>
      </c>
      <c r="AE341">
        <f>IFERROR(_xlfn.XLOOKUP(B341, HoldSummary!$A:$A, HoldSummary!D:D), 0)</f>
        <v>0</v>
      </c>
      <c r="AF341">
        <f>IFERROR(_xlfn.XLOOKUP(B341, HoldSummary!$A:$A, HoldSummary!E:E), 0)</f>
        <v>0</v>
      </c>
      <c r="AG341">
        <f>IFERROR(_xlfn.XLOOKUP(B341, HoldSummary!$A:$A, HoldSummary!F:F), 0)</f>
        <v>0</v>
      </c>
      <c r="AH341">
        <f>IFERROR(_xlfn.XLOOKUP(B341, HoldSummary!$A:$A, HoldSummary!G:G), 0)</f>
        <v>0</v>
      </c>
      <c r="AI341">
        <f>IFERROR(_xlfn.XLOOKUP(B341, HoldSummary!$A:$A, HoldSummary!H:H), 0)</f>
        <v>0</v>
      </c>
      <c r="AJ341">
        <f>IFERROR(_xlfn.XLOOKUP(B341, HoldSummary!$A:$A, HoldSummary!I:I), 0)</f>
        <v>0</v>
      </c>
      <c r="AK341">
        <f t="shared" si="55"/>
        <v>0</v>
      </c>
      <c r="AL341">
        <f t="shared" si="56"/>
        <v>14.47196759259532</v>
      </c>
      <c r="AM341">
        <f t="shared" si="57"/>
        <v>14.47196759259532</v>
      </c>
      <c r="AN341" s="12">
        <f t="shared" si="58"/>
        <v>3.8333333333357587</v>
      </c>
      <c r="AO341">
        <f t="shared" si="59"/>
        <v>0</v>
      </c>
    </row>
    <row r="342" spans="1:41" x14ac:dyDescent="0.35">
      <c r="A342" t="s">
        <v>23</v>
      </c>
      <c r="B342" t="s">
        <v>828</v>
      </c>
      <c r="C342" t="s">
        <v>76</v>
      </c>
      <c r="D342" t="s">
        <v>44</v>
      </c>
      <c r="E342" t="s">
        <v>45</v>
      </c>
      <c r="F342" t="s">
        <v>28</v>
      </c>
      <c r="G342">
        <v>16</v>
      </c>
      <c r="H342" t="s">
        <v>829</v>
      </c>
      <c r="I342" t="s">
        <v>30</v>
      </c>
      <c r="J342" t="s">
        <v>31</v>
      </c>
      <c r="K342" t="s">
        <v>38</v>
      </c>
      <c r="L342" t="s">
        <v>39</v>
      </c>
      <c r="M342" t="s">
        <v>33</v>
      </c>
      <c r="N342" s="2">
        <v>45352.777337962965</v>
      </c>
      <c r="O342" s="2">
        <v>45671.208333333336</v>
      </c>
      <c r="P342" s="2">
        <v>45671.208333333336</v>
      </c>
      <c r="Q342" s="2">
        <v>45615</v>
      </c>
      <c r="R342" s="2">
        <v>45615.962881805557</v>
      </c>
      <c r="T342" s="2">
        <v>45457.166666666664</v>
      </c>
      <c r="U342" s="2">
        <v>45509.166666666664</v>
      </c>
      <c r="V342" s="2">
        <v>45509.166666666664</v>
      </c>
      <c r="W342" s="2">
        <v>45525.166666666664</v>
      </c>
      <c r="X342" s="3">
        <f t="shared" si="50"/>
        <v>52</v>
      </c>
      <c r="Y342">
        <f t="shared" si="51"/>
        <v>16</v>
      </c>
      <c r="Z342">
        <f t="shared" si="52"/>
        <v>68</v>
      </c>
      <c r="AA342">
        <f t="shared" si="53"/>
        <v>262.22266203703475</v>
      </c>
      <c r="AB342">
        <f t="shared" si="54"/>
        <v>194.22266203703475</v>
      </c>
      <c r="AC342">
        <f>IFERROR(_xlfn.XLOOKUP(B342, HoldSummary!$A:$A, HoldSummary!B:B), 0)</f>
        <v>0</v>
      </c>
      <c r="AD342">
        <f>IFERROR(_xlfn.XLOOKUP(B342, HoldSummary!$A:$A, HoldSummary!C:C), 0)</f>
        <v>0</v>
      </c>
      <c r="AE342">
        <f>IFERROR(_xlfn.XLOOKUP(B342, HoldSummary!$A:$A, HoldSummary!D:D), 0)</f>
        <v>0</v>
      </c>
      <c r="AF342">
        <f>IFERROR(_xlfn.XLOOKUP(B342, HoldSummary!$A:$A, HoldSummary!E:E), 0)</f>
        <v>0</v>
      </c>
      <c r="AG342">
        <f>IFERROR(_xlfn.XLOOKUP(B342, HoldSummary!$A:$A, HoldSummary!F:F), 0)</f>
        <v>18</v>
      </c>
      <c r="AH342">
        <f>IFERROR(_xlfn.XLOOKUP(B342, HoldSummary!$A:$A, HoldSummary!G:G), 0)</f>
        <v>0</v>
      </c>
      <c r="AI342">
        <f>IFERROR(_xlfn.XLOOKUP(B342, HoldSummary!$A:$A, HoldSummary!H:H), 0)</f>
        <v>0</v>
      </c>
      <c r="AJ342">
        <f>IFERROR(_xlfn.XLOOKUP(B342, HoldSummary!$A:$A, HoldSummary!I:I), 0)</f>
        <v>0</v>
      </c>
      <c r="AK342">
        <f t="shared" si="55"/>
        <v>18</v>
      </c>
      <c r="AL342">
        <f t="shared" si="56"/>
        <v>244.22266203703475</v>
      </c>
      <c r="AM342">
        <f t="shared" si="57"/>
        <v>176.22266203703475</v>
      </c>
      <c r="AN342" s="12">
        <f t="shared" si="58"/>
        <v>-56.208333333335759</v>
      </c>
      <c r="AO342">
        <f t="shared" si="59"/>
        <v>1</v>
      </c>
    </row>
    <row r="343" spans="1:41" x14ac:dyDescent="0.35">
      <c r="A343" t="s">
        <v>23</v>
      </c>
      <c r="B343" t="s">
        <v>830</v>
      </c>
      <c r="C343" t="s">
        <v>36</v>
      </c>
      <c r="D343" t="s">
        <v>44</v>
      </c>
      <c r="E343" t="s">
        <v>45</v>
      </c>
      <c r="F343" t="s">
        <v>28</v>
      </c>
      <c r="G343">
        <v>16</v>
      </c>
      <c r="H343" t="s">
        <v>831</v>
      </c>
      <c r="I343" t="s">
        <v>30</v>
      </c>
      <c r="J343" t="s">
        <v>300</v>
      </c>
      <c r="K343" t="s">
        <v>48</v>
      </c>
      <c r="L343" t="s">
        <v>49</v>
      </c>
      <c r="N343" s="2">
        <v>45377.733043981483</v>
      </c>
      <c r="O343" s="2">
        <v>45448.166666666664</v>
      </c>
      <c r="P343" s="2">
        <v>45637.208333333336</v>
      </c>
      <c r="Q343" s="2">
        <v>45630</v>
      </c>
      <c r="R343" s="2">
        <v>45631.768864166668</v>
      </c>
      <c r="S343" t="s">
        <v>754</v>
      </c>
      <c r="T343" s="2">
        <v>45453.166666666664</v>
      </c>
      <c r="U343" s="2">
        <v>45617.208333333336</v>
      </c>
      <c r="V343" s="2">
        <v>45617.208333333336</v>
      </c>
      <c r="W343" s="2">
        <v>45623.208333333336</v>
      </c>
      <c r="X343" s="3">
        <f t="shared" si="50"/>
        <v>164.04166666667152</v>
      </c>
      <c r="Y343">
        <f t="shared" si="51"/>
        <v>6</v>
      </c>
      <c r="Z343">
        <f t="shared" si="52"/>
        <v>170.04166666667152</v>
      </c>
      <c r="AA343">
        <f t="shared" si="53"/>
        <v>252.26695601851679</v>
      </c>
      <c r="AB343">
        <f t="shared" si="54"/>
        <v>82.225289351845277</v>
      </c>
      <c r="AC343">
        <f>IFERROR(_xlfn.XLOOKUP(B343, HoldSummary!$A:$A, HoldSummary!B:B), 0)</f>
        <v>0</v>
      </c>
      <c r="AD343">
        <f>IFERROR(_xlfn.XLOOKUP(B343, HoldSummary!$A:$A, HoldSummary!C:C), 0)</f>
        <v>0</v>
      </c>
      <c r="AE343">
        <f>IFERROR(_xlfn.XLOOKUP(B343, HoldSummary!$A:$A, HoldSummary!D:D), 0)</f>
        <v>0</v>
      </c>
      <c r="AF343">
        <f>IFERROR(_xlfn.XLOOKUP(B343, HoldSummary!$A:$A, HoldSummary!E:E), 0)</f>
        <v>0</v>
      </c>
      <c r="AG343">
        <f>IFERROR(_xlfn.XLOOKUP(B343, HoldSummary!$A:$A, HoldSummary!F:F), 0)</f>
        <v>0</v>
      </c>
      <c r="AH343">
        <f>IFERROR(_xlfn.XLOOKUP(B343, HoldSummary!$A:$A, HoldSummary!G:G), 0)</f>
        <v>90.21002001157467</v>
      </c>
      <c r="AI343">
        <f>IFERROR(_xlfn.XLOOKUP(B343, HoldSummary!$A:$A, HoldSummary!H:H), 0)</f>
        <v>0</v>
      </c>
      <c r="AJ343">
        <f>IFERROR(_xlfn.XLOOKUP(B343, HoldSummary!$A:$A, HoldSummary!I:I), 0)</f>
        <v>0</v>
      </c>
      <c r="AK343">
        <f t="shared" si="55"/>
        <v>90.21002001157467</v>
      </c>
      <c r="AL343">
        <f t="shared" si="56"/>
        <v>162.05693600694212</v>
      </c>
      <c r="AM343">
        <f t="shared" si="57"/>
        <v>-7.9847306597293937</v>
      </c>
      <c r="AN343" s="12">
        <f t="shared" si="58"/>
        <v>181.83333333333576</v>
      </c>
      <c r="AO343">
        <f t="shared" si="59"/>
        <v>0</v>
      </c>
    </row>
    <row r="344" spans="1:41" x14ac:dyDescent="0.35">
      <c r="A344" t="s">
        <v>23</v>
      </c>
      <c r="B344" t="s">
        <v>832</v>
      </c>
      <c r="C344" t="s">
        <v>130</v>
      </c>
      <c r="D344" t="s">
        <v>44</v>
      </c>
      <c r="E344" t="s">
        <v>45</v>
      </c>
      <c r="F344" t="s">
        <v>28</v>
      </c>
      <c r="G344">
        <v>16</v>
      </c>
      <c r="H344" t="s">
        <v>833</v>
      </c>
      <c r="I344" t="s">
        <v>30</v>
      </c>
      <c r="J344" t="s">
        <v>31</v>
      </c>
      <c r="K344" t="s">
        <v>38</v>
      </c>
      <c r="L344" t="s">
        <v>39</v>
      </c>
      <c r="M344" t="s">
        <v>33</v>
      </c>
      <c r="N344" s="2">
        <v>45352.627175925925</v>
      </c>
      <c r="O344" s="2">
        <v>45660.208333333336</v>
      </c>
      <c r="P344" s="2">
        <v>45589.166666666664</v>
      </c>
      <c r="Q344" s="2">
        <v>45588</v>
      </c>
      <c r="R344" s="2">
        <v>45589.29011277778</v>
      </c>
      <c r="S344" t="s">
        <v>834</v>
      </c>
      <c r="T344" s="2">
        <v>45425.166666666664</v>
      </c>
      <c r="U344" s="2">
        <v>45518.166666666664</v>
      </c>
      <c r="V344" s="2">
        <v>45518.166666666664</v>
      </c>
      <c r="W344" s="2">
        <v>45546.166666666664</v>
      </c>
      <c r="X344" s="3">
        <f t="shared" si="50"/>
        <v>93</v>
      </c>
      <c r="Y344">
        <f t="shared" si="51"/>
        <v>28</v>
      </c>
      <c r="Z344">
        <f t="shared" si="52"/>
        <v>121</v>
      </c>
      <c r="AA344">
        <f t="shared" si="53"/>
        <v>235.37282407407474</v>
      </c>
      <c r="AB344">
        <f t="shared" si="54"/>
        <v>114.37282407407474</v>
      </c>
      <c r="AC344">
        <f>IFERROR(_xlfn.XLOOKUP(B344, HoldSummary!$A:$A, HoldSummary!B:B), 0)</f>
        <v>0</v>
      </c>
      <c r="AD344">
        <f>IFERROR(_xlfn.XLOOKUP(B344, HoldSummary!$A:$A, HoldSummary!C:C), 0)</f>
        <v>0</v>
      </c>
      <c r="AE344">
        <f>IFERROR(_xlfn.XLOOKUP(B344, HoldSummary!$A:$A, HoldSummary!D:D), 0)</f>
        <v>0</v>
      </c>
      <c r="AF344">
        <f>IFERROR(_xlfn.XLOOKUP(B344, HoldSummary!$A:$A, HoldSummary!E:E), 0)</f>
        <v>6</v>
      </c>
      <c r="AG344">
        <f>IFERROR(_xlfn.XLOOKUP(B344, HoldSummary!$A:$A, HoldSummary!F:F), 0)</f>
        <v>0</v>
      </c>
      <c r="AH344">
        <f>IFERROR(_xlfn.XLOOKUP(B344, HoldSummary!$A:$A, HoldSummary!G:G), 0)</f>
        <v>0</v>
      </c>
      <c r="AI344">
        <f>IFERROR(_xlfn.XLOOKUP(B344, HoldSummary!$A:$A, HoldSummary!H:H), 0)</f>
        <v>0</v>
      </c>
      <c r="AJ344">
        <f>IFERROR(_xlfn.XLOOKUP(B344, HoldSummary!$A:$A, HoldSummary!I:I), 0)</f>
        <v>0</v>
      </c>
      <c r="AK344">
        <f t="shared" si="55"/>
        <v>6</v>
      </c>
      <c r="AL344">
        <f t="shared" si="56"/>
        <v>229.37282407407474</v>
      </c>
      <c r="AM344">
        <f t="shared" si="57"/>
        <v>108.37282407407474</v>
      </c>
      <c r="AN344" s="12">
        <f t="shared" si="58"/>
        <v>-72.208333333335759</v>
      </c>
      <c r="AO344">
        <f t="shared" si="59"/>
        <v>1</v>
      </c>
    </row>
    <row r="345" spans="1:41" x14ac:dyDescent="0.35">
      <c r="A345" t="s">
        <v>23</v>
      </c>
      <c r="B345" t="s">
        <v>835</v>
      </c>
      <c r="C345" t="s">
        <v>54</v>
      </c>
      <c r="D345" t="s">
        <v>44</v>
      </c>
      <c r="E345" t="s">
        <v>45</v>
      </c>
      <c r="F345" t="s">
        <v>28</v>
      </c>
      <c r="G345">
        <v>16</v>
      </c>
      <c r="H345" t="s">
        <v>836</v>
      </c>
      <c r="I345" t="s">
        <v>30</v>
      </c>
      <c r="J345" t="s">
        <v>31</v>
      </c>
      <c r="K345" t="s">
        <v>38</v>
      </c>
      <c r="L345" t="s">
        <v>39</v>
      </c>
      <c r="N345" s="2">
        <v>45282.372673611113</v>
      </c>
      <c r="O345" s="2">
        <v>45761.166666666664</v>
      </c>
      <c r="P345" s="2">
        <v>45849.166666666664</v>
      </c>
      <c r="Q345" s="2">
        <v>45840</v>
      </c>
      <c r="R345" s="2">
        <v>45841.062667824073</v>
      </c>
      <c r="S345" t="s">
        <v>84</v>
      </c>
      <c r="T345" s="2">
        <v>45593.166666666664</v>
      </c>
      <c r="U345" s="2">
        <v>45594.166666666664</v>
      </c>
      <c r="V345" s="2">
        <v>45594.166666666664</v>
      </c>
      <c r="W345" s="2">
        <v>45715.208333333336</v>
      </c>
      <c r="X345" s="3">
        <f t="shared" si="50"/>
        <v>1</v>
      </c>
      <c r="Y345">
        <f t="shared" si="51"/>
        <v>121.04166666667152</v>
      </c>
      <c r="Z345">
        <f t="shared" si="52"/>
        <v>122.04166666667152</v>
      </c>
      <c r="AA345">
        <f t="shared" si="53"/>
        <v>557.62732638888701</v>
      </c>
      <c r="AB345">
        <f t="shared" si="54"/>
        <v>435.5856597222155</v>
      </c>
      <c r="AC345">
        <f>IFERROR(_xlfn.XLOOKUP(B345, HoldSummary!$A:$A, HoldSummary!B:B), 0)</f>
        <v>0</v>
      </c>
      <c r="AD345">
        <f>IFERROR(_xlfn.XLOOKUP(B345, HoldSummary!$A:$A, HoldSummary!C:C), 0)</f>
        <v>15</v>
      </c>
      <c r="AE345">
        <f>IFERROR(_xlfn.XLOOKUP(B345, HoldSummary!$A:$A, HoldSummary!D:D), 0)</f>
        <v>12</v>
      </c>
      <c r="AF345">
        <f>IFERROR(_xlfn.XLOOKUP(B345, HoldSummary!$A:$A, HoldSummary!E:E), 0)</f>
        <v>158</v>
      </c>
      <c r="AG345">
        <f>IFERROR(_xlfn.XLOOKUP(B345, HoldSummary!$A:$A, HoldSummary!F:F), 0)</f>
        <v>61</v>
      </c>
      <c r="AH345">
        <f>IFERROR(_xlfn.XLOOKUP(B345, HoldSummary!$A:$A, HoldSummary!G:G), 0)</f>
        <v>0</v>
      </c>
      <c r="AI345">
        <f>IFERROR(_xlfn.XLOOKUP(B345, HoldSummary!$A:$A, HoldSummary!H:H), 0)</f>
        <v>0</v>
      </c>
      <c r="AJ345">
        <f>IFERROR(_xlfn.XLOOKUP(B345, HoldSummary!$A:$A, HoldSummary!I:I), 0)</f>
        <v>0</v>
      </c>
      <c r="AK345">
        <f t="shared" si="55"/>
        <v>246</v>
      </c>
      <c r="AL345">
        <f t="shared" si="56"/>
        <v>311.62732638888701</v>
      </c>
      <c r="AM345">
        <f t="shared" si="57"/>
        <v>189.5856597222155</v>
      </c>
      <c r="AN345" s="12">
        <f t="shared" si="58"/>
        <v>78.833333333335759</v>
      </c>
      <c r="AO345">
        <f t="shared" si="59"/>
        <v>0</v>
      </c>
    </row>
    <row r="346" spans="1:41" x14ac:dyDescent="0.35">
      <c r="A346" t="s">
        <v>23</v>
      </c>
      <c r="B346" t="s">
        <v>837</v>
      </c>
      <c r="C346" t="s">
        <v>76</v>
      </c>
      <c r="D346" t="s">
        <v>44</v>
      </c>
      <c r="E346" t="s">
        <v>45</v>
      </c>
      <c r="F346" t="s">
        <v>28</v>
      </c>
      <c r="G346">
        <v>16</v>
      </c>
      <c r="H346" t="s">
        <v>838</v>
      </c>
      <c r="I346" t="s">
        <v>30</v>
      </c>
      <c r="J346" t="s">
        <v>31</v>
      </c>
      <c r="K346" t="s">
        <v>48</v>
      </c>
      <c r="L346" t="s">
        <v>49</v>
      </c>
      <c r="M346" t="s">
        <v>81</v>
      </c>
      <c r="N346" s="2">
        <v>45498.641087962962</v>
      </c>
      <c r="O346" s="2">
        <v>45701.208333333336</v>
      </c>
      <c r="P346" s="2">
        <v>45701.208333333336</v>
      </c>
      <c r="Q346" s="2">
        <v>45694</v>
      </c>
      <c r="R346" s="2">
        <v>45694.879341053238</v>
      </c>
      <c r="S346" t="s">
        <v>839</v>
      </c>
      <c r="T346" s="2">
        <v>45610.208333333336</v>
      </c>
      <c r="U346" s="2">
        <v>45618.208333333336</v>
      </c>
      <c r="V346" s="2">
        <v>45618.208333333336</v>
      </c>
      <c r="W346" s="2">
        <v>45621.208333333336</v>
      </c>
      <c r="X346" s="3">
        <f t="shared" si="50"/>
        <v>8</v>
      </c>
      <c r="Y346">
        <f t="shared" si="51"/>
        <v>3</v>
      </c>
      <c r="Z346">
        <f t="shared" si="52"/>
        <v>11</v>
      </c>
      <c r="AA346">
        <f t="shared" si="53"/>
        <v>195.35891203703795</v>
      </c>
      <c r="AB346">
        <f t="shared" si="54"/>
        <v>184.35891203703795</v>
      </c>
      <c r="AC346">
        <f>IFERROR(_xlfn.XLOOKUP(B346, HoldSummary!$A:$A, HoldSummary!B:B), 0)</f>
        <v>30.088121076398238</v>
      </c>
      <c r="AD346">
        <f>IFERROR(_xlfn.XLOOKUP(B346, HoldSummary!$A:$A, HoldSummary!C:C), 0)</f>
        <v>0</v>
      </c>
      <c r="AE346">
        <f>IFERROR(_xlfn.XLOOKUP(B346, HoldSummary!$A:$A, HoldSummary!D:D), 0)</f>
        <v>0</v>
      </c>
      <c r="AF346">
        <f>IFERROR(_xlfn.XLOOKUP(B346, HoldSummary!$A:$A, HoldSummary!E:E), 0)</f>
        <v>0</v>
      </c>
      <c r="AG346">
        <f>IFERROR(_xlfn.XLOOKUP(B346, HoldSummary!$A:$A, HoldSummary!F:F), 0)</f>
        <v>0</v>
      </c>
      <c r="AH346">
        <f>IFERROR(_xlfn.XLOOKUP(B346, HoldSummary!$A:$A, HoldSummary!G:G), 0)</f>
        <v>0</v>
      </c>
      <c r="AI346">
        <f>IFERROR(_xlfn.XLOOKUP(B346, HoldSummary!$A:$A, HoldSummary!H:H), 0)</f>
        <v>0</v>
      </c>
      <c r="AJ346">
        <f>IFERROR(_xlfn.XLOOKUP(B346, HoldSummary!$A:$A, HoldSummary!I:I), 0)</f>
        <v>0</v>
      </c>
      <c r="AK346">
        <f t="shared" si="55"/>
        <v>30.088121076398238</v>
      </c>
      <c r="AL346">
        <f t="shared" si="56"/>
        <v>165.27079096063972</v>
      </c>
      <c r="AM346">
        <f t="shared" si="57"/>
        <v>154.27079096063972</v>
      </c>
      <c r="AN346" s="12">
        <f t="shared" si="58"/>
        <v>-7.2083333333357587</v>
      </c>
      <c r="AO346">
        <f t="shared" si="59"/>
        <v>1</v>
      </c>
    </row>
    <row r="347" spans="1:41" x14ac:dyDescent="0.35">
      <c r="A347" t="s">
        <v>23</v>
      </c>
      <c r="B347" t="s">
        <v>840</v>
      </c>
      <c r="C347" t="s">
        <v>43</v>
      </c>
      <c r="D347" t="s">
        <v>44</v>
      </c>
      <c r="E347" t="s">
        <v>45</v>
      </c>
      <c r="F347" t="s">
        <v>28</v>
      </c>
      <c r="G347">
        <v>16</v>
      </c>
      <c r="H347" t="s">
        <v>841</v>
      </c>
      <c r="I347" t="s">
        <v>30</v>
      </c>
      <c r="J347" t="s">
        <v>31</v>
      </c>
      <c r="K347" t="s">
        <v>38</v>
      </c>
      <c r="L347" t="s">
        <v>39</v>
      </c>
      <c r="M347" t="s">
        <v>33</v>
      </c>
      <c r="N347" s="2">
        <v>45565.797824074078</v>
      </c>
      <c r="O347" s="2">
        <v>45594.166666666664</v>
      </c>
      <c r="P347" s="2">
        <v>45594.166666666664</v>
      </c>
      <c r="Q347" s="2">
        <v>45594</v>
      </c>
      <c r="R347" s="2">
        <v>45595.534529328703</v>
      </c>
      <c r="T347" s="2"/>
      <c r="U347" s="2"/>
      <c r="V347" s="2"/>
      <c r="W347" s="2"/>
      <c r="X347" s="3" t="str">
        <f t="shared" si="50"/>
        <v/>
      </c>
      <c r="Y347" t="str">
        <f t="shared" si="51"/>
        <v/>
      </c>
      <c r="Z347">
        <f t="shared" si="52"/>
        <v>0</v>
      </c>
      <c r="AA347">
        <f t="shared" si="53"/>
        <v>28.202175925922347</v>
      </c>
      <c r="AB347">
        <f t="shared" si="54"/>
        <v>28.202175925922347</v>
      </c>
      <c r="AC347">
        <f>IFERROR(_xlfn.XLOOKUP(B347, HoldSummary!$A:$A, HoldSummary!B:B), 0)</f>
        <v>0</v>
      </c>
      <c r="AD347">
        <f>IFERROR(_xlfn.XLOOKUP(B347, HoldSummary!$A:$A, HoldSummary!C:C), 0)</f>
        <v>0</v>
      </c>
      <c r="AE347">
        <f>IFERROR(_xlfn.XLOOKUP(B347, HoldSummary!$A:$A, HoldSummary!D:D), 0)</f>
        <v>0</v>
      </c>
      <c r="AF347">
        <f>IFERROR(_xlfn.XLOOKUP(B347, HoldSummary!$A:$A, HoldSummary!E:E), 0)</f>
        <v>0</v>
      </c>
      <c r="AG347">
        <f>IFERROR(_xlfn.XLOOKUP(B347, HoldSummary!$A:$A, HoldSummary!F:F), 0)</f>
        <v>0</v>
      </c>
      <c r="AH347">
        <f>IFERROR(_xlfn.XLOOKUP(B347, HoldSummary!$A:$A, HoldSummary!G:G), 0)</f>
        <v>0</v>
      </c>
      <c r="AI347">
        <f>IFERROR(_xlfn.XLOOKUP(B347, HoldSummary!$A:$A, HoldSummary!H:H), 0)</f>
        <v>0</v>
      </c>
      <c r="AJ347">
        <f>IFERROR(_xlfn.XLOOKUP(B347, HoldSummary!$A:$A, HoldSummary!I:I), 0)</f>
        <v>0</v>
      </c>
      <c r="AK347">
        <f t="shared" si="55"/>
        <v>0</v>
      </c>
      <c r="AL347">
        <f t="shared" si="56"/>
        <v>28.202175925922347</v>
      </c>
      <c r="AM347">
        <f t="shared" si="57"/>
        <v>28.202175925922347</v>
      </c>
      <c r="AN347" s="12">
        <f t="shared" si="58"/>
        <v>-0.16666666666424135</v>
      </c>
      <c r="AO347">
        <f t="shared" si="59"/>
        <v>1</v>
      </c>
    </row>
    <row r="348" spans="1:41" x14ac:dyDescent="0.35">
      <c r="A348" t="s">
        <v>23</v>
      </c>
      <c r="B348">
        <v>109545</v>
      </c>
      <c r="C348" t="s">
        <v>36</v>
      </c>
      <c r="D348" t="s">
        <v>44</v>
      </c>
      <c r="E348" t="s">
        <v>55</v>
      </c>
      <c r="F348" t="s">
        <v>28</v>
      </c>
      <c r="G348">
        <v>16</v>
      </c>
      <c r="H348" t="s">
        <v>842</v>
      </c>
      <c r="I348" t="s">
        <v>30</v>
      </c>
      <c r="J348" t="s">
        <v>31</v>
      </c>
      <c r="K348" t="s">
        <v>57</v>
      </c>
      <c r="L348" t="s">
        <v>39</v>
      </c>
      <c r="M348" t="s">
        <v>33</v>
      </c>
      <c r="N348" s="2">
        <v>45607.208333333336</v>
      </c>
      <c r="O348" s="2">
        <v>45681.208333333336</v>
      </c>
      <c r="P348" s="2">
        <v>45714.208333333336</v>
      </c>
      <c r="Q348" s="2">
        <v>45716</v>
      </c>
      <c r="R348" s="2">
        <v>45716.95677960648</v>
      </c>
      <c r="S348" t="s">
        <v>115</v>
      </c>
      <c r="T348" s="2">
        <v>45618.208333333336</v>
      </c>
      <c r="U348" s="2">
        <v>45621.208333333336</v>
      </c>
      <c r="V348" s="2">
        <v>45621.208333333336</v>
      </c>
      <c r="W348" s="2">
        <v>45667.208333333336</v>
      </c>
      <c r="X348" s="3">
        <f t="shared" si="50"/>
        <v>3</v>
      </c>
      <c r="Y348">
        <f t="shared" si="51"/>
        <v>46</v>
      </c>
      <c r="Z348">
        <f t="shared" si="52"/>
        <v>49</v>
      </c>
      <c r="AA348">
        <f t="shared" si="53"/>
        <v>108.79166666666424</v>
      </c>
      <c r="AB348">
        <f t="shared" si="54"/>
        <v>59.791666666664241</v>
      </c>
      <c r="AC348">
        <f>IFERROR(_xlfn.XLOOKUP(B348, HoldSummary!$A:$A, HoldSummary!B:B), 0)</f>
        <v>0</v>
      </c>
      <c r="AD348">
        <f>IFERROR(_xlfn.XLOOKUP(B348, HoldSummary!$A:$A, HoldSummary!C:C), 0)</f>
        <v>0</v>
      </c>
      <c r="AE348">
        <f>IFERROR(_xlfn.XLOOKUP(B348, HoldSummary!$A:$A, HoldSummary!D:D), 0)</f>
        <v>0</v>
      </c>
      <c r="AF348">
        <f>IFERROR(_xlfn.XLOOKUP(B348, HoldSummary!$A:$A, HoldSummary!E:E), 0)</f>
        <v>0</v>
      </c>
      <c r="AG348">
        <f>IFERROR(_xlfn.XLOOKUP(B348, HoldSummary!$A:$A, HoldSummary!F:F), 0)</f>
        <v>0</v>
      </c>
      <c r="AH348">
        <f>IFERROR(_xlfn.XLOOKUP(B348, HoldSummary!$A:$A, HoldSummary!G:G), 0)</f>
        <v>0</v>
      </c>
      <c r="AI348">
        <f>IFERROR(_xlfn.XLOOKUP(B348, HoldSummary!$A:$A, HoldSummary!H:H), 0)</f>
        <v>0</v>
      </c>
      <c r="AJ348">
        <f>IFERROR(_xlfn.XLOOKUP(B348, HoldSummary!$A:$A, HoldSummary!I:I), 0)</f>
        <v>0</v>
      </c>
      <c r="AK348">
        <f t="shared" si="55"/>
        <v>0</v>
      </c>
      <c r="AL348">
        <f t="shared" si="56"/>
        <v>108.79166666666424</v>
      </c>
      <c r="AM348">
        <f t="shared" si="57"/>
        <v>59.791666666664241</v>
      </c>
      <c r="AN348" s="12">
        <f t="shared" si="58"/>
        <v>34.791666666664241</v>
      </c>
      <c r="AO348">
        <f t="shared" si="59"/>
        <v>0</v>
      </c>
    </row>
    <row r="349" spans="1:41" x14ac:dyDescent="0.35">
      <c r="A349" t="s">
        <v>23</v>
      </c>
      <c r="B349" t="s">
        <v>843</v>
      </c>
      <c r="C349" t="s">
        <v>76</v>
      </c>
      <c r="D349" t="s">
        <v>44</v>
      </c>
      <c r="E349" t="s">
        <v>45</v>
      </c>
      <c r="F349" t="s">
        <v>28</v>
      </c>
      <c r="G349">
        <v>16</v>
      </c>
      <c r="H349" t="s">
        <v>844</v>
      </c>
      <c r="I349" t="s">
        <v>30</v>
      </c>
      <c r="J349" t="s">
        <v>31</v>
      </c>
      <c r="K349" t="s">
        <v>38</v>
      </c>
      <c r="L349" t="s">
        <v>39</v>
      </c>
      <c r="M349" t="s">
        <v>33</v>
      </c>
      <c r="N349" s="2">
        <v>45559.854490740741</v>
      </c>
      <c r="O349" s="2">
        <v>45720.208333333336</v>
      </c>
      <c r="P349" s="2">
        <v>45720.208333333336</v>
      </c>
      <c r="Q349" s="2">
        <v>45679</v>
      </c>
      <c r="R349" s="2">
        <v>45679.782243402777</v>
      </c>
      <c r="T349" s="2">
        <v>45645.208333333336</v>
      </c>
      <c r="U349" s="2">
        <v>45665.208333333336</v>
      </c>
      <c r="V349" s="2">
        <v>45665.208333333336</v>
      </c>
      <c r="W349" s="2">
        <v>45667.208333333336</v>
      </c>
      <c r="X349" s="3">
        <f t="shared" si="50"/>
        <v>20</v>
      </c>
      <c r="Y349">
        <f t="shared" si="51"/>
        <v>2</v>
      </c>
      <c r="Z349">
        <f t="shared" si="52"/>
        <v>22</v>
      </c>
      <c r="AA349">
        <f t="shared" si="53"/>
        <v>119.14550925925869</v>
      </c>
      <c r="AB349">
        <f t="shared" si="54"/>
        <v>97.145509259258688</v>
      </c>
      <c r="AC349">
        <f>IFERROR(_xlfn.XLOOKUP(B349, HoldSummary!$A:$A, HoldSummary!B:B), 0)</f>
        <v>34</v>
      </c>
      <c r="AD349">
        <f>IFERROR(_xlfn.XLOOKUP(B349, HoldSummary!$A:$A, HoldSummary!C:C), 0)</f>
        <v>0</v>
      </c>
      <c r="AE349">
        <f>IFERROR(_xlfn.XLOOKUP(B349, HoldSummary!$A:$A, HoldSummary!D:D), 0)</f>
        <v>0</v>
      </c>
      <c r="AF349">
        <f>IFERROR(_xlfn.XLOOKUP(B349, HoldSummary!$A:$A, HoldSummary!E:E), 0)</f>
        <v>0</v>
      </c>
      <c r="AG349">
        <f>IFERROR(_xlfn.XLOOKUP(B349, HoldSummary!$A:$A, HoldSummary!F:F), 0)</f>
        <v>0</v>
      </c>
      <c r="AH349">
        <f>IFERROR(_xlfn.XLOOKUP(B349, HoldSummary!$A:$A, HoldSummary!G:G), 0)</f>
        <v>0</v>
      </c>
      <c r="AI349">
        <f>IFERROR(_xlfn.XLOOKUP(B349, HoldSummary!$A:$A, HoldSummary!H:H), 0)</f>
        <v>0</v>
      </c>
      <c r="AJ349">
        <f>IFERROR(_xlfn.XLOOKUP(B349, HoldSummary!$A:$A, HoldSummary!I:I), 0)</f>
        <v>0</v>
      </c>
      <c r="AK349">
        <f t="shared" si="55"/>
        <v>34</v>
      </c>
      <c r="AL349">
        <f t="shared" si="56"/>
        <v>85.145509259258688</v>
      </c>
      <c r="AM349">
        <f t="shared" si="57"/>
        <v>63.145509259258688</v>
      </c>
      <c r="AN349" s="12">
        <f t="shared" si="58"/>
        <v>-41.208333333335759</v>
      </c>
      <c r="AO349">
        <f t="shared" si="59"/>
        <v>1</v>
      </c>
    </row>
    <row r="350" spans="1:41" x14ac:dyDescent="0.35">
      <c r="A350" t="s">
        <v>23</v>
      </c>
      <c r="B350" t="s">
        <v>845</v>
      </c>
      <c r="C350" t="s">
        <v>36</v>
      </c>
      <c r="D350" t="s">
        <v>44</v>
      </c>
      <c r="E350" t="s">
        <v>45</v>
      </c>
      <c r="F350" t="s">
        <v>28</v>
      </c>
      <c r="G350">
        <v>16</v>
      </c>
      <c r="H350" t="s">
        <v>846</v>
      </c>
      <c r="I350" t="s">
        <v>30</v>
      </c>
      <c r="J350" t="s">
        <v>31</v>
      </c>
      <c r="K350" t="s">
        <v>48</v>
      </c>
      <c r="L350" t="s">
        <v>192</v>
      </c>
      <c r="M350" t="s">
        <v>81</v>
      </c>
      <c r="N350" s="2">
        <v>45595.856111111112</v>
      </c>
      <c r="O350" s="2">
        <v>45616.208333333336</v>
      </c>
      <c r="P350" s="2">
        <v>45700.208333333336</v>
      </c>
      <c r="Q350" s="2">
        <v>45700</v>
      </c>
      <c r="R350" s="2">
        <v>45700.842041747688</v>
      </c>
      <c r="T350" s="2">
        <v>45622.208333333336</v>
      </c>
      <c r="U350" s="2">
        <v>45663.208333333336</v>
      </c>
      <c r="V350" s="2">
        <v>45663.208333333336</v>
      </c>
      <c r="W350" s="2">
        <v>45663.208333333336</v>
      </c>
      <c r="X350" s="3">
        <f t="shared" si="50"/>
        <v>41</v>
      </c>
      <c r="Y350">
        <f t="shared" si="51"/>
        <v>0</v>
      </c>
      <c r="Z350">
        <f t="shared" si="52"/>
        <v>41</v>
      </c>
      <c r="AA350">
        <f t="shared" si="53"/>
        <v>104.14388888888789</v>
      </c>
      <c r="AB350">
        <f t="shared" si="54"/>
        <v>63.143888888887886</v>
      </c>
      <c r="AC350">
        <f>IFERROR(_xlfn.XLOOKUP(B350, HoldSummary!$A:$A, HoldSummary!B:B), 0)</f>
        <v>0</v>
      </c>
      <c r="AD350">
        <f>IFERROR(_xlfn.XLOOKUP(B350, HoldSummary!$A:$A, HoldSummary!C:C), 0)</f>
        <v>0</v>
      </c>
      <c r="AE350">
        <f>IFERROR(_xlfn.XLOOKUP(B350, HoldSummary!$A:$A, HoldSummary!D:D), 0)</f>
        <v>0</v>
      </c>
      <c r="AF350">
        <f>IFERROR(_xlfn.XLOOKUP(B350, HoldSummary!$A:$A, HoldSummary!E:E), 0)</f>
        <v>0</v>
      </c>
      <c r="AG350">
        <f>IFERROR(_xlfn.XLOOKUP(B350, HoldSummary!$A:$A, HoldSummary!F:F), 0)</f>
        <v>0</v>
      </c>
      <c r="AH350">
        <f>IFERROR(_xlfn.XLOOKUP(B350, HoldSummary!$A:$A, HoldSummary!G:G), 0)</f>
        <v>0</v>
      </c>
      <c r="AI350">
        <f>IFERROR(_xlfn.XLOOKUP(B350, HoldSummary!$A:$A, HoldSummary!H:H), 0)</f>
        <v>0</v>
      </c>
      <c r="AJ350">
        <f>IFERROR(_xlfn.XLOOKUP(B350, HoldSummary!$A:$A, HoldSummary!I:I), 0)</f>
        <v>0</v>
      </c>
      <c r="AK350">
        <f t="shared" si="55"/>
        <v>0</v>
      </c>
      <c r="AL350">
        <f t="shared" si="56"/>
        <v>104.14388888888789</v>
      </c>
      <c r="AM350">
        <f t="shared" si="57"/>
        <v>63.143888888887886</v>
      </c>
      <c r="AN350" s="12">
        <f t="shared" si="58"/>
        <v>83.791666666664241</v>
      </c>
      <c r="AO350">
        <f t="shared" si="59"/>
        <v>0</v>
      </c>
    </row>
    <row r="351" spans="1:41" x14ac:dyDescent="0.35">
      <c r="A351" t="s">
        <v>23</v>
      </c>
      <c r="B351" t="s">
        <v>847</v>
      </c>
      <c r="C351" t="s">
        <v>130</v>
      </c>
      <c r="D351" t="s">
        <v>44</v>
      </c>
      <c r="E351" t="s">
        <v>45</v>
      </c>
      <c r="F351" t="s">
        <v>28</v>
      </c>
      <c r="G351">
        <v>16</v>
      </c>
      <c r="H351" t="s">
        <v>848</v>
      </c>
      <c r="I351" t="s">
        <v>30</v>
      </c>
      <c r="J351" t="s">
        <v>31</v>
      </c>
      <c r="K351" t="s">
        <v>38</v>
      </c>
      <c r="L351" t="s">
        <v>39</v>
      </c>
      <c r="M351" t="s">
        <v>33</v>
      </c>
      <c r="N351" s="2">
        <v>45706.845254629632</v>
      </c>
      <c r="O351" s="2">
        <v>45924.166666666664</v>
      </c>
      <c r="P351" s="2">
        <v>45805.166666666664</v>
      </c>
      <c r="Q351" s="2">
        <v>45786</v>
      </c>
      <c r="R351" s="2">
        <v>45786.837766643519</v>
      </c>
      <c r="S351" t="s">
        <v>104</v>
      </c>
      <c r="T351" s="2">
        <v>45761.166666666664</v>
      </c>
      <c r="U351" s="2">
        <v>45762.166666666664</v>
      </c>
      <c r="V351" s="2">
        <v>45772.166666666664</v>
      </c>
      <c r="W351" s="2">
        <v>45777.166666666664</v>
      </c>
      <c r="X351" s="3">
        <f t="shared" si="50"/>
        <v>1</v>
      </c>
      <c r="Y351">
        <f t="shared" si="51"/>
        <v>5</v>
      </c>
      <c r="Z351">
        <f t="shared" si="52"/>
        <v>6</v>
      </c>
      <c r="AA351">
        <f t="shared" si="53"/>
        <v>79.154745370367891</v>
      </c>
      <c r="AB351">
        <f t="shared" si="54"/>
        <v>73.154745370367891</v>
      </c>
      <c r="AC351">
        <f>IFERROR(_xlfn.XLOOKUP(B351, HoldSummary!$A:$A, HoldSummary!B:B), 0)</f>
        <v>5</v>
      </c>
      <c r="AD351">
        <f>IFERROR(_xlfn.XLOOKUP(B351, HoldSummary!$A:$A, HoldSummary!C:C), 0)</f>
        <v>0</v>
      </c>
      <c r="AE351">
        <f>IFERROR(_xlfn.XLOOKUP(B351, HoldSummary!$A:$A, HoldSummary!D:D), 0)</f>
        <v>0</v>
      </c>
      <c r="AF351">
        <f>IFERROR(_xlfn.XLOOKUP(B351, HoldSummary!$A:$A, HoldSummary!E:E), 0)</f>
        <v>0</v>
      </c>
      <c r="AG351">
        <f>IFERROR(_xlfn.XLOOKUP(B351, HoldSummary!$A:$A, HoldSummary!F:F), 0)</f>
        <v>0</v>
      </c>
      <c r="AH351">
        <f>IFERROR(_xlfn.XLOOKUP(B351, HoldSummary!$A:$A, HoldSummary!G:G), 0)</f>
        <v>0</v>
      </c>
      <c r="AI351">
        <f>IFERROR(_xlfn.XLOOKUP(B351, HoldSummary!$A:$A, HoldSummary!H:H), 0)</f>
        <v>0</v>
      </c>
      <c r="AJ351">
        <f>IFERROR(_xlfn.XLOOKUP(B351, HoldSummary!$A:$A, HoldSummary!I:I), 0)</f>
        <v>0</v>
      </c>
      <c r="AK351">
        <f t="shared" si="55"/>
        <v>5</v>
      </c>
      <c r="AL351">
        <f t="shared" si="56"/>
        <v>74.154745370367891</v>
      </c>
      <c r="AM351">
        <f t="shared" si="57"/>
        <v>68.154745370367891</v>
      </c>
      <c r="AN351" s="12">
        <f t="shared" si="58"/>
        <v>-138.16666666666424</v>
      </c>
      <c r="AO351">
        <f t="shared" si="59"/>
        <v>1</v>
      </c>
    </row>
    <row r="352" spans="1:41" x14ac:dyDescent="0.35">
      <c r="A352" t="s">
        <v>23</v>
      </c>
      <c r="B352" t="s">
        <v>849</v>
      </c>
      <c r="C352" t="s">
        <v>54</v>
      </c>
      <c r="D352" t="s">
        <v>44</v>
      </c>
      <c r="E352" t="s">
        <v>45</v>
      </c>
      <c r="F352" t="s">
        <v>28</v>
      </c>
      <c r="G352">
        <v>16</v>
      </c>
      <c r="H352" t="s">
        <v>850</v>
      </c>
      <c r="I352" t="s">
        <v>30</v>
      </c>
      <c r="J352" t="s">
        <v>31</v>
      </c>
      <c r="K352" t="s">
        <v>38</v>
      </c>
      <c r="L352" t="s">
        <v>39</v>
      </c>
      <c r="M352" t="s">
        <v>33</v>
      </c>
      <c r="N352" s="2">
        <v>45728.59778935185</v>
      </c>
      <c r="O352" s="2">
        <v>45870.166666666664</v>
      </c>
      <c r="P352" s="2">
        <v>45764.166666666664</v>
      </c>
      <c r="Q352" s="2">
        <v>45762</v>
      </c>
      <c r="R352" s="2">
        <v>45768.577184120368</v>
      </c>
      <c r="S352" t="s">
        <v>851</v>
      </c>
      <c r="T352" s="2">
        <v>45742.166666666664</v>
      </c>
      <c r="U352" s="2">
        <v>45749.166666666664</v>
      </c>
      <c r="V352" s="2">
        <v>45749.166666666664</v>
      </c>
      <c r="W352" s="2">
        <v>45749.166666666664</v>
      </c>
      <c r="X352" s="3">
        <f t="shared" si="50"/>
        <v>7</v>
      </c>
      <c r="Y352">
        <f t="shared" si="51"/>
        <v>0</v>
      </c>
      <c r="Z352">
        <f t="shared" si="52"/>
        <v>7</v>
      </c>
      <c r="AA352">
        <f t="shared" si="53"/>
        <v>33.402210648149776</v>
      </c>
      <c r="AB352">
        <f t="shared" si="54"/>
        <v>26.402210648149776</v>
      </c>
      <c r="AC352">
        <f>IFERROR(_xlfn.XLOOKUP(B352, HoldSummary!$A:$A, HoldSummary!B:B), 0)</f>
        <v>0</v>
      </c>
      <c r="AD352">
        <f>IFERROR(_xlfn.XLOOKUP(B352, HoldSummary!$A:$A, HoldSummary!C:C), 0)</f>
        <v>0</v>
      </c>
      <c r="AE352">
        <f>IFERROR(_xlfn.XLOOKUP(B352, HoldSummary!$A:$A, HoldSummary!D:D), 0)</f>
        <v>0</v>
      </c>
      <c r="AF352">
        <f>IFERROR(_xlfn.XLOOKUP(B352, HoldSummary!$A:$A, HoldSummary!E:E), 0)</f>
        <v>0</v>
      </c>
      <c r="AG352">
        <f>IFERROR(_xlfn.XLOOKUP(B352, HoldSummary!$A:$A, HoldSummary!F:F), 0)</f>
        <v>0</v>
      </c>
      <c r="AH352">
        <f>IFERROR(_xlfn.XLOOKUP(B352, HoldSummary!$A:$A, HoldSummary!G:G), 0)</f>
        <v>0</v>
      </c>
      <c r="AI352">
        <f>IFERROR(_xlfn.XLOOKUP(B352, HoldSummary!$A:$A, HoldSummary!H:H), 0)</f>
        <v>0</v>
      </c>
      <c r="AJ352">
        <f>IFERROR(_xlfn.XLOOKUP(B352, HoldSummary!$A:$A, HoldSummary!I:I), 0)</f>
        <v>0</v>
      </c>
      <c r="AK352">
        <f t="shared" si="55"/>
        <v>0</v>
      </c>
      <c r="AL352">
        <f t="shared" si="56"/>
        <v>33.402210648149776</v>
      </c>
      <c r="AM352">
        <f t="shared" si="57"/>
        <v>26.402210648149776</v>
      </c>
      <c r="AN352" s="12">
        <f t="shared" si="58"/>
        <v>-108.16666666666424</v>
      </c>
      <c r="AO352">
        <f t="shared" si="59"/>
        <v>1</v>
      </c>
    </row>
    <row r="353" spans="1:41" x14ac:dyDescent="0.35">
      <c r="A353" t="s">
        <v>23</v>
      </c>
      <c r="B353" t="s">
        <v>852</v>
      </c>
      <c r="C353" t="s">
        <v>36</v>
      </c>
      <c r="D353" t="s">
        <v>44</v>
      </c>
      <c r="E353" t="s">
        <v>45</v>
      </c>
      <c r="F353" t="s">
        <v>28</v>
      </c>
      <c r="G353">
        <v>16</v>
      </c>
      <c r="H353" t="s">
        <v>853</v>
      </c>
      <c r="I353" t="s">
        <v>30</v>
      </c>
      <c r="J353" t="s">
        <v>31</v>
      </c>
      <c r="K353" t="s">
        <v>48</v>
      </c>
      <c r="L353" t="s">
        <v>695</v>
      </c>
      <c r="M353" t="s">
        <v>33</v>
      </c>
      <c r="N353" s="2">
        <v>45754.686076388891</v>
      </c>
      <c r="O353" s="2">
        <v>45770.166666666664</v>
      </c>
      <c r="P353" s="2">
        <v>45772.166666666664</v>
      </c>
      <c r="Q353" s="2">
        <v>45776</v>
      </c>
      <c r="R353" s="2">
        <v>45776.728280532407</v>
      </c>
      <c r="S353" t="s">
        <v>93</v>
      </c>
      <c r="T353" s="2">
        <v>45756.166666666664</v>
      </c>
      <c r="U353" s="2">
        <v>45756.166666666664</v>
      </c>
      <c r="V353" s="2"/>
      <c r="W353" s="2">
        <v>45756.166666666664</v>
      </c>
      <c r="X353" s="3">
        <f t="shared" si="50"/>
        <v>0</v>
      </c>
      <c r="Y353" t="str">
        <f t="shared" si="51"/>
        <v/>
      </c>
      <c r="Z353">
        <f t="shared" si="52"/>
        <v>0</v>
      </c>
      <c r="AA353">
        <f t="shared" si="53"/>
        <v>21.313923611109203</v>
      </c>
      <c r="AB353">
        <f t="shared" si="54"/>
        <v>21.313923611109203</v>
      </c>
      <c r="AC353">
        <f>IFERROR(_xlfn.XLOOKUP(B353, HoldSummary!$A:$A, HoldSummary!B:B), 0)</f>
        <v>0</v>
      </c>
      <c r="AD353">
        <f>IFERROR(_xlfn.XLOOKUP(B353, HoldSummary!$A:$A, HoldSummary!C:C), 0)</f>
        <v>0</v>
      </c>
      <c r="AE353">
        <f>IFERROR(_xlfn.XLOOKUP(B353, HoldSummary!$A:$A, HoldSummary!D:D), 0)</f>
        <v>0</v>
      </c>
      <c r="AF353">
        <f>IFERROR(_xlfn.XLOOKUP(B353, HoldSummary!$A:$A, HoldSummary!E:E), 0)</f>
        <v>0</v>
      </c>
      <c r="AG353">
        <f>IFERROR(_xlfn.XLOOKUP(B353, HoldSummary!$A:$A, HoldSummary!F:F), 0)</f>
        <v>0</v>
      </c>
      <c r="AH353">
        <f>IFERROR(_xlfn.XLOOKUP(B353, HoldSummary!$A:$A, HoldSummary!G:G), 0)</f>
        <v>0</v>
      </c>
      <c r="AI353">
        <f>IFERROR(_xlfn.XLOOKUP(B353, HoldSummary!$A:$A, HoldSummary!H:H), 0)</f>
        <v>0</v>
      </c>
      <c r="AJ353">
        <f>IFERROR(_xlfn.XLOOKUP(B353, HoldSummary!$A:$A, HoldSummary!I:I), 0)</f>
        <v>0</v>
      </c>
      <c r="AK353">
        <f t="shared" si="55"/>
        <v>0</v>
      </c>
      <c r="AL353">
        <f t="shared" si="56"/>
        <v>21.313923611109203</v>
      </c>
      <c r="AM353">
        <f t="shared" si="57"/>
        <v>21.313923611109203</v>
      </c>
      <c r="AN353" s="12">
        <f t="shared" si="58"/>
        <v>5.8333333333357587</v>
      </c>
      <c r="AO353">
        <f t="shared" si="59"/>
        <v>0</v>
      </c>
    </row>
    <row r="354" spans="1:41" x14ac:dyDescent="0.35">
      <c r="A354" t="s">
        <v>23</v>
      </c>
      <c r="B354" t="s">
        <v>854</v>
      </c>
      <c r="C354" t="s">
        <v>36</v>
      </c>
      <c r="D354" t="s">
        <v>44</v>
      </c>
      <c r="E354" t="s">
        <v>45</v>
      </c>
      <c r="F354" t="s">
        <v>28</v>
      </c>
      <c r="G354">
        <v>16</v>
      </c>
      <c r="H354" t="s">
        <v>855</v>
      </c>
      <c r="I354" t="s">
        <v>30</v>
      </c>
      <c r="J354" t="s">
        <v>70</v>
      </c>
      <c r="K354" t="s">
        <v>48</v>
      </c>
      <c r="L354" t="s">
        <v>192</v>
      </c>
      <c r="M354" t="s">
        <v>33</v>
      </c>
      <c r="N354" s="2">
        <v>45785.414618055554</v>
      </c>
      <c r="O354" s="2">
        <v>45811.166666666664</v>
      </c>
      <c r="P354" s="2">
        <v>45828.166666666664</v>
      </c>
      <c r="Q354" s="2">
        <v>45819</v>
      </c>
      <c r="R354" s="2">
        <v>45821.723120416667</v>
      </c>
      <c r="S354" t="s">
        <v>97</v>
      </c>
      <c r="T354" s="2"/>
      <c r="U354" s="2"/>
      <c r="V354" s="2"/>
      <c r="W354" s="2"/>
      <c r="X354" s="3" t="str">
        <f t="shared" si="50"/>
        <v/>
      </c>
      <c r="Y354" t="str">
        <f t="shared" si="51"/>
        <v/>
      </c>
      <c r="Z354">
        <f t="shared" si="52"/>
        <v>0</v>
      </c>
      <c r="AA354">
        <f t="shared" si="53"/>
        <v>33.585381944445544</v>
      </c>
      <c r="AB354">
        <f t="shared" si="54"/>
        <v>33.585381944445544</v>
      </c>
      <c r="AC354">
        <f>IFERROR(_xlfn.XLOOKUP(B354, HoldSummary!$A:$A, HoldSummary!B:B), 0)</f>
        <v>0</v>
      </c>
      <c r="AD354">
        <f>IFERROR(_xlfn.XLOOKUP(B354, HoldSummary!$A:$A, HoldSummary!C:C), 0)</f>
        <v>0</v>
      </c>
      <c r="AE354">
        <f>IFERROR(_xlfn.XLOOKUP(B354, HoldSummary!$A:$A, HoldSummary!D:D), 0)</f>
        <v>0</v>
      </c>
      <c r="AF354">
        <f>IFERROR(_xlfn.XLOOKUP(B354, HoldSummary!$A:$A, HoldSummary!E:E), 0)</f>
        <v>0</v>
      </c>
      <c r="AG354">
        <f>IFERROR(_xlfn.XLOOKUP(B354, HoldSummary!$A:$A, HoldSummary!F:F), 0)</f>
        <v>0</v>
      </c>
      <c r="AH354">
        <f>IFERROR(_xlfn.XLOOKUP(B354, HoldSummary!$A:$A, HoldSummary!G:G), 0)</f>
        <v>0</v>
      </c>
      <c r="AI354">
        <f>IFERROR(_xlfn.XLOOKUP(B354, HoldSummary!$A:$A, HoldSummary!H:H), 0)</f>
        <v>0</v>
      </c>
      <c r="AJ354">
        <f>IFERROR(_xlfn.XLOOKUP(B354, HoldSummary!$A:$A, HoldSummary!I:I), 0)</f>
        <v>0.67575780092738569</v>
      </c>
      <c r="AK354">
        <f t="shared" si="55"/>
        <v>0.67575780092738569</v>
      </c>
      <c r="AL354">
        <f t="shared" si="56"/>
        <v>32.909624143518158</v>
      </c>
      <c r="AM354">
        <f t="shared" si="57"/>
        <v>32.909624143518158</v>
      </c>
      <c r="AN354" s="12">
        <f t="shared" si="58"/>
        <v>7.8333333333357587</v>
      </c>
      <c r="AO354">
        <f t="shared" si="59"/>
        <v>0</v>
      </c>
    </row>
    <row r="355" spans="1:41" x14ac:dyDescent="0.35">
      <c r="A355" t="s">
        <v>23</v>
      </c>
      <c r="B355" t="s">
        <v>856</v>
      </c>
      <c r="C355" t="s">
        <v>36</v>
      </c>
      <c r="D355" t="s">
        <v>44</v>
      </c>
      <c r="E355" t="s">
        <v>45</v>
      </c>
      <c r="F355" t="s">
        <v>28</v>
      </c>
      <c r="G355">
        <v>17</v>
      </c>
      <c r="H355" t="s">
        <v>857</v>
      </c>
      <c r="I355" t="s">
        <v>30</v>
      </c>
      <c r="J355" t="s">
        <v>31</v>
      </c>
      <c r="K355" t="s">
        <v>48</v>
      </c>
      <c r="L355" t="s">
        <v>49</v>
      </c>
      <c r="N355" s="2">
        <v>45085.325810185182</v>
      </c>
      <c r="O355" s="2">
        <v>45296.208333333336</v>
      </c>
      <c r="P355" s="2">
        <v>45826.166666666664</v>
      </c>
      <c r="Q355" s="2">
        <v>45813</v>
      </c>
      <c r="R355" s="2">
        <v>45813.840612638887</v>
      </c>
      <c r="S355" t="s">
        <v>858</v>
      </c>
      <c r="T355" s="2">
        <v>45237.208333333336</v>
      </c>
      <c r="U355" s="2">
        <v>45265.208333333336</v>
      </c>
      <c r="V355" s="2">
        <v>45789.166666666664</v>
      </c>
      <c r="W355" s="2">
        <v>45806.166666666664</v>
      </c>
      <c r="X355" s="3">
        <f t="shared" si="50"/>
        <v>28</v>
      </c>
      <c r="Y355">
        <f t="shared" si="51"/>
        <v>17</v>
      </c>
      <c r="Z355">
        <f t="shared" si="52"/>
        <v>45</v>
      </c>
      <c r="AA355">
        <f t="shared" si="53"/>
        <v>727.67418981481751</v>
      </c>
      <c r="AB355">
        <f t="shared" si="54"/>
        <v>682.67418981481751</v>
      </c>
      <c r="AC355">
        <f>IFERROR(_xlfn.XLOOKUP(B355, HoldSummary!$A:$A, HoldSummary!B:B), 0)</f>
        <v>0</v>
      </c>
      <c r="AD355">
        <f>IFERROR(_xlfn.XLOOKUP(B355, HoldSummary!$A:$A, HoldSummary!C:C), 0)</f>
        <v>0</v>
      </c>
      <c r="AE355">
        <f>IFERROR(_xlfn.XLOOKUP(B355, HoldSummary!$A:$A, HoldSummary!D:D), 0)</f>
        <v>0</v>
      </c>
      <c r="AF355">
        <f>IFERROR(_xlfn.XLOOKUP(B355, HoldSummary!$A:$A, HoldSummary!E:E), 0)</f>
        <v>0</v>
      </c>
      <c r="AG355">
        <f>IFERROR(_xlfn.XLOOKUP(B355, HoldSummary!$A:$A, HoldSummary!F:F), 0)</f>
        <v>0</v>
      </c>
      <c r="AH355">
        <f>IFERROR(_xlfn.XLOOKUP(B355, HoldSummary!$A:$A, HoldSummary!G:G), 0)</f>
        <v>0</v>
      </c>
      <c r="AI355">
        <f>IFERROR(_xlfn.XLOOKUP(B355, HoldSummary!$A:$A, HoldSummary!H:H), 0)</f>
        <v>0</v>
      </c>
      <c r="AJ355">
        <f>IFERROR(_xlfn.XLOOKUP(B355, HoldSummary!$A:$A, HoldSummary!I:I), 0)</f>
        <v>0</v>
      </c>
      <c r="AK355">
        <f t="shared" si="55"/>
        <v>0</v>
      </c>
      <c r="AL355">
        <f t="shared" si="56"/>
        <v>727.67418981481751</v>
      </c>
      <c r="AM355">
        <f t="shared" si="57"/>
        <v>682.67418981481751</v>
      </c>
      <c r="AN355" s="12">
        <f t="shared" si="58"/>
        <v>516.79166666666424</v>
      </c>
      <c r="AO355">
        <f t="shared" si="59"/>
        <v>0</v>
      </c>
    </row>
    <row r="356" spans="1:41" x14ac:dyDescent="0.35">
      <c r="A356" t="s">
        <v>23</v>
      </c>
      <c r="B356" t="s">
        <v>859</v>
      </c>
      <c r="C356" t="s">
        <v>409</v>
      </c>
      <c r="D356" t="s">
        <v>44</v>
      </c>
      <c r="E356" t="s">
        <v>45</v>
      </c>
      <c r="F356" t="s">
        <v>28</v>
      </c>
      <c r="G356">
        <v>17</v>
      </c>
      <c r="H356" t="s">
        <v>860</v>
      </c>
      <c r="I356" t="s">
        <v>30</v>
      </c>
      <c r="J356" t="s">
        <v>31</v>
      </c>
      <c r="K356" t="s">
        <v>48</v>
      </c>
      <c r="L356" t="s">
        <v>49</v>
      </c>
      <c r="N356" s="2">
        <v>45216.874421296299</v>
      </c>
      <c r="O356" s="2">
        <v>45358.208333333336</v>
      </c>
      <c r="P356" s="2">
        <v>45772.166666666664</v>
      </c>
      <c r="Q356" s="2">
        <v>45751</v>
      </c>
      <c r="R356" s="2">
        <v>45754.551582893517</v>
      </c>
      <c r="S356" t="s">
        <v>708</v>
      </c>
      <c r="T356" s="2">
        <v>45328.208333333336</v>
      </c>
      <c r="U356" s="2">
        <v>45371.166666666664</v>
      </c>
      <c r="V356" s="2">
        <v>45371.166666666664</v>
      </c>
      <c r="W356" s="2">
        <v>45728.166666666664</v>
      </c>
      <c r="X356" s="3">
        <f t="shared" si="50"/>
        <v>42.958333333328483</v>
      </c>
      <c r="Y356">
        <f t="shared" si="51"/>
        <v>357</v>
      </c>
      <c r="Z356">
        <f t="shared" si="52"/>
        <v>399.95833333332848</v>
      </c>
      <c r="AA356">
        <f t="shared" si="53"/>
        <v>534.12557870370074</v>
      </c>
      <c r="AB356">
        <f t="shared" si="54"/>
        <v>134.16724537037226</v>
      </c>
      <c r="AC356">
        <f>IFERROR(_xlfn.XLOOKUP(B356, HoldSummary!$A:$A, HoldSummary!B:B), 0)</f>
        <v>0</v>
      </c>
      <c r="AD356">
        <f>IFERROR(_xlfn.XLOOKUP(B356, HoldSummary!$A:$A, HoldSummary!C:C), 0)</f>
        <v>0</v>
      </c>
      <c r="AE356">
        <f>IFERROR(_xlfn.XLOOKUP(B356, HoldSummary!$A:$A, HoldSummary!D:D), 0)</f>
        <v>0</v>
      </c>
      <c r="AF356">
        <f>IFERROR(_xlfn.XLOOKUP(B356, HoldSummary!$A:$A, HoldSummary!E:E), 0)</f>
        <v>0</v>
      </c>
      <c r="AG356">
        <f>IFERROR(_xlfn.XLOOKUP(B356, HoldSummary!$A:$A, HoldSummary!F:F), 0)</f>
        <v>0</v>
      </c>
      <c r="AH356">
        <f>IFERROR(_xlfn.XLOOKUP(B356, HoldSummary!$A:$A, HoldSummary!G:G), 0)</f>
        <v>0</v>
      </c>
      <c r="AI356">
        <f>IFERROR(_xlfn.XLOOKUP(B356, HoldSummary!$A:$A, HoldSummary!H:H), 0)</f>
        <v>0</v>
      </c>
      <c r="AJ356">
        <f>IFERROR(_xlfn.XLOOKUP(B356, HoldSummary!$A:$A, HoldSummary!I:I), 0)</f>
        <v>0</v>
      </c>
      <c r="AK356">
        <f t="shared" si="55"/>
        <v>0</v>
      </c>
      <c r="AL356">
        <f t="shared" si="56"/>
        <v>534.12557870370074</v>
      </c>
      <c r="AM356">
        <f t="shared" si="57"/>
        <v>134.16724537037226</v>
      </c>
      <c r="AN356" s="12">
        <f t="shared" si="58"/>
        <v>392.79166666666424</v>
      </c>
      <c r="AO356">
        <f t="shared" si="59"/>
        <v>0</v>
      </c>
    </row>
    <row r="357" spans="1:41" x14ac:dyDescent="0.35">
      <c r="A357" t="s">
        <v>23</v>
      </c>
      <c r="B357" t="s">
        <v>861</v>
      </c>
      <c r="C357" t="s">
        <v>76</v>
      </c>
      <c r="D357" t="s">
        <v>44</v>
      </c>
      <c r="E357" t="s">
        <v>45</v>
      </c>
      <c r="F357" t="s">
        <v>28</v>
      </c>
      <c r="G357">
        <v>17</v>
      </c>
      <c r="H357" t="s">
        <v>862</v>
      </c>
      <c r="I357" t="s">
        <v>30</v>
      </c>
      <c r="J357" t="s">
        <v>70</v>
      </c>
      <c r="K357" t="s">
        <v>57</v>
      </c>
      <c r="L357" t="s">
        <v>39</v>
      </c>
      <c r="N357" s="2">
        <v>45362.534895833334</v>
      </c>
      <c r="O357" s="2">
        <v>45671.208333333336</v>
      </c>
      <c r="P357" s="2">
        <v>45671.208333333336</v>
      </c>
      <c r="Q357" s="2">
        <v>45665</v>
      </c>
      <c r="R357" s="2">
        <v>45665.66070010417</v>
      </c>
      <c r="S357" t="s">
        <v>595</v>
      </c>
      <c r="T357" s="2">
        <v>45372.166666666664</v>
      </c>
      <c r="U357" s="2">
        <v>45531.166666666664</v>
      </c>
      <c r="V357" s="2">
        <v>45531.166666666664</v>
      </c>
      <c r="W357" s="2">
        <v>45531.166666666664</v>
      </c>
      <c r="X357" s="3">
        <f t="shared" si="50"/>
        <v>159</v>
      </c>
      <c r="Y357">
        <f t="shared" si="51"/>
        <v>0</v>
      </c>
      <c r="Z357">
        <f t="shared" si="52"/>
        <v>159</v>
      </c>
      <c r="AA357">
        <f t="shared" si="53"/>
        <v>302.4651041666657</v>
      </c>
      <c r="AB357">
        <f t="shared" si="54"/>
        <v>143.4651041666657</v>
      </c>
      <c r="AC357">
        <f>IFERROR(_xlfn.XLOOKUP(B357, HoldSummary!$A:$A, HoldSummary!B:B), 0)</f>
        <v>0</v>
      </c>
      <c r="AD357">
        <f>IFERROR(_xlfn.XLOOKUP(B357, HoldSummary!$A:$A, HoldSummary!C:C), 0)</f>
        <v>0</v>
      </c>
      <c r="AE357">
        <f>IFERROR(_xlfn.XLOOKUP(B357, HoldSummary!$A:$A, HoldSummary!D:D), 0)</f>
        <v>0</v>
      </c>
      <c r="AF357">
        <f>IFERROR(_xlfn.XLOOKUP(B357, HoldSummary!$A:$A, HoldSummary!E:E), 0)</f>
        <v>0</v>
      </c>
      <c r="AG357">
        <f>IFERROR(_xlfn.XLOOKUP(B357, HoldSummary!$A:$A, HoldSummary!F:F), 0)</f>
        <v>0</v>
      </c>
      <c r="AH357">
        <f>IFERROR(_xlfn.XLOOKUP(B357, HoldSummary!$A:$A, HoldSummary!G:G), 0)</f>
        <v>80</v>
      </c>
      <c r="AI357">
        <f>IFERROR(_xlfn.XLOOKUP(B357, HoldSummary!$A:$A, HoldSummary!H:H), 0)</f>
        <v>0</v>
      </c>
      <c r="AJ357">
        <f>IFERROR(_xlfn.XLOOKUP(B357, HoldSummary!$A:$A, HoldSummary!I:I), 0)</f>
        <v>0</v>
      </c>
      <c r="AK357">
        <f t="shared" si="55"/>
        <v>80</v>
      </c>
      <c r="AL357">
        <f t="shared" si="56"/>
        <v>222.4651041666657</v>
      </c>
      <c r="AM357">
        <f t="shared" si="57"/>
        <v>63.465104166665697</v>
      </c>
      <c r="AN357" s="12">
        <f t="shared" si="58"/>
        <v>-6.2083333333357587</v>
      </c>
      <c r="AO357">
        <f t="shared" si="59"/>
        <v>1</v>
      </c>
    </row>
    <row r="358" spans="1:41" x14ac:dyDescent="0.35">
      <c r="A358" t="s">
        <v>23</v>
      </c>
      <c r="B358" t="s">
        <v>863</v>
      </c>
      <c r="C358" t="s">
        <v>76</v>
      </c>
      <c r="D358" t="s">
        <v>44</v>
      </c>
      <c r="E358" t="s">
        <v>45</v>
      </c>
      <c r="F358" t="s">
        <v>28</v>
      </c>
      <c r="G358">
        <v>17</v>
      </c>
      <c r="H358" t="s">
        <v>864</v>
      </c>
      <c r="I358" t="s">
        <v>30</v>
      </c>
      <c r="J358" t="s">
        <v>31</v>
      </c>
      <c r="K358" t="s">
        <v>48</v>
      </c>
      <c r="L358" t="s">
        <v>49</v>
      </c>
      <c r="M358" t="s">
        <v>81</v>
      </c>
      <c r="N358" s="2">
        <v>45441.645879629628</v>
      </c>
      <c r="O358" s="2">
        <v>45622.208333333336</v>
      </c>
      <c r="P358" s="2">
        <v>45622.208333333336</v>
      </c>
      <c r="Q358" s="2">
        <v>45611</v>
      </c>
      <c r="R358" s="2">
        <v>45611.72453457176</v>
      </c>
      <c r="S358" t="s">
        <v>751</v>
      </c>
      <c r="T358" s="2">
        <v>45533.166666666664</v>
      </c>
      <c r="U358" s="2">
        <v>45540.166666666664</v>
      </c>
      <c r="V358" s="2">
        <v>45540.166666666664</v>
      </c>
      <c r="W358" s="2">
        <v>45603.208333333336</v>
      </c>
      <c r="X358" s="3">
        <f t="shared" si="50"/>
        <v>7</v>
      </c>
      <c r="Y358">
        <f t="shared" si="51"/>
        <v>63.041666666671517</v>
      </c>
      <c r="Z358">
        <f t="shared" si="52"/>
        <v>70.041666666671517</v>
      </c>
      <c r="AA358">
        <f t="shared" si="53"/>
        <v>169.35412037037167</v>
      </c>
      <c r="AB358">
        <f t="shared" si="54"/>
        <v>99.312453703700157</v>
      </c>
      <c r="AC358">
        <f>IFERROR(_xlfn.XLOOKUP(B358, HoldSummary!$A:$A, HoldSummary!B:B), 0)</f>
        <v>20.791415381943807</v>
      </c>
      <c r="AD358">
        <f>IFERROR(_xlfn.XLOOKUP(B358, HoldSummary!$A:$A, HoldSummary!C:C), 0)</f>
        <v>23.158961122680921</v>
      </c>
      <c r="AE358">
        <f>IFERROR(_xlfn.XLOOKUP(B358, HoldSummary!$A:$A, HoldSummary!D:D), 0)</f>
        <v>0</v>
      </c>
      <c r="AF358">
        <f>IFERROR(_xlfn.XLOOKUP(B358, HoldSummary!$A:$A, HoldSummary!E:E), 0)</f>
        <v>0</v>
      </c>
      <c r="AG358">
        <f>IFERROR(_xlfn.XLOOKUP(B358, HoldSummary!$A:$A, HoldSummary!F:F), 0)</f>
        <v>0</v>
      </c>
      <c r="AH358">
        <f>IFERROR(_xlfn.XLOOKUP(B358, HoldSummary!$A:$A, HoldSummary!G:G), 0)</f>
        <v>0</v>
      </c>
      <c r="AI358">
        <f>IFERROR(_xlfn.XLOOKUP(B358, HoldSummary!$A:$A, HoldSummary!H:H), 0)</f>
        <v>0</v>
      </c>
      <c r="AJ358">
        <f>IFERROR(_xlfn.XLOOKUP(B358, HoldSummary!$A:$A, HoldSummary!I:I), 0)</f>
        <v>0</v>
      </c>
      <c r="AK358">
        <f t="shared" si="55"/>
        <v>43.950376504624728</v>
      </c>
      <c r="AL358">
        <f t="shared" si="56"/>
        <v>125.40374386574695</v>
      </c>
      <c r="AM358">
        <f t="shared" si="57"/>
        <v>55.362077199075429</v>
      </c>
      <c r="AN358" s="12">
        <f t="shared" si="58"/>
        <v>-11.208333333335759</v>
      </c>
      <c r="AO358">
        <f t="shared" si="59"/>
        <v>1</v>
      </c>
    </row>
    <row r="359" spans="1:41" x14ac:dyDescent="0.35">
      <c r="A359" t="s">
        <v>23</v>
      </c>
      <c r="B359" t="s">
        <v>865</v>
      </c>
      <c r="C359" t="s">
        <v>76</v>
      </c>
      <c r="D359" t="s">
        <v>44</v>
      </c>
      <c r="E359" t="s">
        <v>45</v>
      </c>
      <c r="F359" t="s">
        <v>28</v>
      </c>
      <c r="G359">
        <v>17</v>
      </c>
      <c r="H359" t="s">
        <v>866</v>
      </c>
      <c r="I359" t="s">
        <v>30</v>
      </c>
      <c r="J359" t="s">
        <v>31</v>
      </c>
      <c r="K359" t="s">
        <v>32</v>
      </c>
      <c r="L359" t="s">
        <v>39</v>
      </c>
      <c r="M359" t="s">
        <v>33</v>
      </c>
      <c r="N359" s="2">
        <v>45492.609560185185</v>
      </c>
      <c r="O359" s="2">
        <v>45617.208333333336</v>
      </c>
      <c r="P359" s="2">
        <v>45624.208333333336</v>
      </c>
      <c r="Q359" s="2">
        <v>45597</v>
      </c>
      <c r="R359" s="2">
        <v>45600.748377881944</v>
      </c>
      <c r="S359" t="s">
        <v>751</v>
      </c>
      <c r="T359" s="2">
        <v>45533.166666666664</v>
      </c>
      <c r="U359" s="2">
        <v>45581.166666666664</v>
      </c>
      <c r="V359" s="2">
        <v>45581.166666666664</v>
      </c>
      <c r="W359" s="2">
        <v>45595.166666666664</v>
      </c>
      <c r="X359" s="3">
        <f t="shared" si="50"/>
        <v>48</v>
      </c>
      <c r="Y359">
        <f t="shared" si="51"/>
        <v>14</v>
      </c>
      <c r="Z359">
        <f t="shared" si="52"/>
        <v>62</v>
      </c>
      <c r="AA359">
        <f t="shared" si="53"/>
        <v>104.39043981481518</v>
      </c>
      <c r="AB359">
        <f t="shared" si="54"/>
        <v>42.390439814815181</v>
      </c>
      <c r="AC359">
        <f>IFERROR(_xlfn.XLOOKUP(B359, HoldSummary!$A:$A, HoldSummary!B:B), 0)</f>
        <v>12</v>
      </c>
      <c r="AD359">
        <f>IFERROR(_xlfn.XLOOKUP(B359, HoldSummary!$A:$A, HoldSummary!C:C), 0)</f>
        <v>0</v>
      </c>
      <c r="AE359">
        <f>IFERROR(_xlfn.XLOOKUP(B359, HoldSummary!$A:$A, HoldSummary!D:D), 0)</f>
        <v>0</v>
      </c>
      <c r="AF359">
        <f>IFERROR(_xlfn.XLOOKUP(B359, HoldSummary!$A:$A, HoldSummary!E:E), 0)</f>
        <v>0</v>
      </c>
      <c r="AG359">
        <f>IFERROR(_xlfn.XLOOKUP(B359, HoldSummary!$A:$A, HoldSummary!F:F), 0)</f>
        <v>1</v>
      </c>
      <c r="AH359">
        <f>IFERROR(_xlfn.XLOOKUP(B359, HoldSummary!$A:$A, HoldSummary!G:G), 0)</f>
        <v>0</v>
      </c>
      <c r="AI359">
        <f>IFERROR(_xlfn.XLOOKUP(B359, HoldSummary!$A:$A, HoldSummary!H:H), 0)</f>
        <v>0</v>
      </c>
      <c r="AJ359">
        <f>IFERROR(_xlfn.XLOOKUP(B359, HoldSummary!$A:$A, HoldSummary!I:I), 0)</f>
        <v>0</v>
      </c>
      <c r="AK359">
        <f t="shared" si="55"/>
        <v>13</v>
      </c>
      <c r="AL359">
        <f t="shared" si="56"/>
        <v>91.390439814815181</v>
      </c>
      <c r="AM359">
        <f t="shared" si="57"/>
        <v>29.390439814815181</v>
      </c>
      <c r="AN359" s="12">
        <f t="shared" si="58"/>
        <v>-20.208333333335759</v>
      </c>
      <c r="AO359">
        <f t="shared" si="59"/>
        <v>1</v>
      </c>
    </row>
    <row r="360" spans="1:41" x14ac:dyDescent="0.35">
      <c r="A360" t="s">
        <v>23</v>
      </c>
      <c r="B360" t="s">
        <v>867</v>
      </c>
      <c r="C360" t="s">
        <v>461</v>
      </c>
      <c r="D360" t="s">
        <v>44</v>
      </c>
      <c r="E360" t="s">
        <v>45</v>
      </c>
      <c r="F360" t="s">
        <v>28</v>
      </c>
      <c r="G360">
        <v>17</v>
      </c>
      <c r="H360" t="s">
        <v>868</v>
      </c>
      <c r="I360" t="s">
        <v>30</v>
      </c>
      <c r="J360" t="s">
        <v>31</v>
      </c>
      <c r="K360" t="s">
        <v>48</v>
      </c>
      <c r="L360" t="s">
        <v>39</v>
      </c>
      <c r="N360" s="2">
        <v>45590.837592592594</v>
      </c>
      <c r="O360" s="2">
        <v>45596.166666666664</v>
      </c>
      <c r="P360" s="2">
        <v>45596.166666666664</v>
      </c>
      <c r="Q360" s="2">
        <v>45596</v>
      </c>
      <c r="R360" s="2">
        <v>45596.66572611111</v>
      </c>
      <c r="T360" s="2"/>
      <c r="U360" s="2"/>
      <c r="V360" s="2"/>
      <c r="W360" s="2"/>
      <c r="X360" s="3" t="str">
        <f t="shared" si="50"/>
        <v/>
      </c>
      <c r="Y360" t="str">
        <f t="shared" si="51"/>
        <v/>
      </c>
      <c r="Z360">
        <f t="shared" si="52"/>
        <v>0</v>
      </c>
      <c r="AA360">
        <f t="shared" si="53"/>
        <v>5.1624074074061355</v>
      </c>
      <c r="AB360">
        <f t="shared" si="54"/>
        <v>5.1624074074061355</v>
      </c>
      <c r="AC360">
        <f>IFERROR(_xlfn.XLOOKUP(B360, HoldSummary!$A:$A, HoldSummary!B:B), 0)</f>
        <v>0</v>
      </c>
      <c r="AD360">
        <f>IFERROR(_xlfn.XLOOKUP(B360, HoldSummary!$A:$A, HoldSummary!C:C), 0)</f>
        <v>0</v>
      </c>
      <c r="AE360">
        <f>IFERROR(_xlfn.XLOOKUP(B360, HoldSummary!$A:$A, HoldSummary!D:D), 0)</f>
        <v>0</v>
      </c>
      <c r="AF360">
        <f>IFERROR(_xlfn.XLOOKUP(B360, HoldSummary!$A:$A, HoldSummary!E:E), 0)</f>
        <v>0</v>
      </c>
      <c r="AG360">
        <f>IFERROR(_xlfn.XLOOKUP(B360, HoldSummary!$A:$A, HoldSummary!F:F), 0)</f>
        <v>0</v>
      </c>
      <c r="AH360">
        <f>IFERROR(_xlfn.XLOOKUP(B360, HoldSummary!$A:$A, HoldSummary!G:G), 0)</f>
        <v>0</v>
      </c>
      <c r="AI360">
        <f>IFERROR(_xlfn.XLOOKUP(B360, HoldSummary!$A:$A, HoldSummary!H:H), 0)</f>
        <v>0</v>
      </c>
      <c r="AJ360">
        <f>IFERROR(_xlfn.XLOOKUP(B360, HoldSummary!$A:$A, HoldSummary!I:I), 0)</f>
        <v>0</v>
      </c>
      <c r="AK360">
        <f t="shared" si="55"/>
        <v>0</v>
      </c>
      <c r="AL360">
        <f t="shared" si="56"/>
        <v>5.1624074074061355</v>
      </c>
      <c r="AM360">
        <f t="shared" si="57"/>
        <v>5.1624074074061355</v>
      </c>
      <c r="AN360" s="12">
        <f t="shared" si="58"/>
        <v>-0.16666666666424135</v>
      </c>
      <c r="AO360">
        <f t="shared" si="59"/>
        <v>1</v>
      </c>
    </row>
    <row r="361" spans="1:41" x14ac:dyDescent="0.35">
      <c r="A361" t="s">
        <v>23</v>
      </c>
      <c r="B361" t="s">
        <v>869</v>
      </c>
      <c r="C361" t="s">
        <v>36</v>
      </c>
      <c r="D361" t="s">
        <v>44</v>
      </c>
      <c r="E361" t="s">
        <v>45</v>
      </c>
      <c r="F361" t="s">
        <v>28</v>
      </c>
      <c r="G361">
        <v>17</v>
      </c>
      <c r="H361" t="s">
        <v>870</v>
      </c>
      <c r="I361" t="s">
        <v>30</v>
      </c>
      <c r="J361" t="s">
        <v>31</v>
      </c>
      <c r="K361" t="s">
        <v>48</v>
      </c>
      <c r="L361" t="s">
        <v>49</v>
      </c>
      <c r="N361" s="2">
        <v>45660.746724537035</v>
      </c>
      <c r="O361" s="2">
        <v>45695.208333333336</v>
      </c>
      <c r="P361" s="2">
        <v>45695.208333333336</v>
      </c>
      <c r="Q361" s="2">
        <v>45695</v>
      </c>
      <c r="R361" s="2">
        <v>45695.558636979164</v>
      </c>
      <c r="T361" s="2"/>
      <c r="U361" s="2"/>
      <c r="V361" s="2"/>
      <c r="W361" s="2"/>
      <c r="X361" s="3" t="str">
        <f t="shared" si="50"/>
        <v/>
      </c>
      <c r="Y361" t="str">
        <f t="shared" si="51"/>
        <v/>
      </c>
      <c r="Z361">
        <f t="shared" si="52"/>
        <v>0</v>
      </c>
      <c r="AA361">
        <f t="shared" si="53"/>
        <v>34.253275462964666</v>
      </c>
      <c r="AB361">
        <f t="shared" si="54"/>
        <v>34.253275462964666</v>
      </c>
      <c r="AC361">
        <f>IFERROR(_xlfn.XLOOKUP(B361, HoldSummary!$A:$A, HoldSummary!B:B), 0)</f>
        <v>0</v>
      </c>
      <c r="AD361">
        <f>IFERROR(_xlfn.XLOOKUP(B361, HoldSummary!$A:$A, HoldSummary!C:C), 0)</f>
        <v>0</v>
      </c>
      <c r="AE361">
        <f>IFERROR(_xlfn.XLOOKUP(B361, HoldSummary!$A:$A, HoldSummary!D:D), 0)</f>
        <v>0</v>
      </c>
      <c r="AF361">
        <f>IFERROR(_xlfn.XLOOKUP(B361, HoldSummary!$A:$A, HoldSummary!E:E), 0)</f>
        <v>0</v>
      </c>
      <c r="AG361">
        <f>IFERROR(_xlfn.XLOOKUP(B361, HoldSummary!$A:$A, HoldSummary!F:F), 0)</f>
        <v>0</v>
      </c>
      <c r="AH361">
        <f>IFERROR(_xlfn.XLOOKUP(B361, HoldSummary!$A:$A, HoldSummary!G:G), 0)</f>
        <v>0</v>
      </c>
      <c r="AI361">
        <f>IFERROR(_xlfn.XLOOKUP(B361, HoldSummary!$A:$A, HoldSummary!H:H), 0)</f>
        <v>0</v>
      </c>
      <c r="AJ361">
        <f>IFERROR(_xlfn.XLOOKUP(B361, HoldSummary!$A:$A, HoldSummary!I:I), 0)</f>
        <v>0</v>
      </c>
      <c r="AK361">
        <f t="shared" si="55"/>
        <v>0</v>
      </c>
      <c r="AL361">
        <f t="shared" si="56"/>
        <v>34.253275462964666</v>
      </c>
      <c r="AM361">
        <f t="shared" si="57"/>
        <v>34.253275462964666</v>
      </c>
      <c r="AN361" s="12">
        <f t="shared" si="58"/>
        <v>-0.20833333333575865</v>
      </c>
      <c r="AO361">
        <f t="shared" si="59"/>
        <v>1</v>
      </c>
    </row>
    <row r="362" spans="1:41" x14ac:dyDescent="0.35">
      <c r="A362" t="s">
        <v>23</v>
      </c>
      <c r="B362" t="s">
        <v>871</v>
      </c>
      <c r="C362" t="s">
        <v>36</v>
      </c>
      <c r="D362" t="s">
        <v>44</v>
      </c>
      <c r="E362" t="s">
        <v>45</v>
      </c>
      <c r="F362" t="s">
        <v>28</v>
      </c>
      <c r="G362">
        <v>17</v>
      </c>
      <c r="H362" t="s">
        <v>872</v>
      </c>
      <c r="I362" t="s">
        <v>30</v>
      </c>
      <c r="J362" t="s">
        <v>70</v>
      </c>
      <c r="K362" t="s">
        <v>48</v>
      </c>
      <c r="L362" t="s">
        <v>192</v>
      </c>
      <c r="M362" t="s">
        <v>33</v>
      </c>
      <c r="N362" s="2">
        <v>45687.966678240744</v>
      </c>
      <c r="O362" s="2">
        <v>45733.166666666664</v>
      </c>
      <c r="P362" s="2">
        <v>45716.208333333336</v>
      </c>
      <c r="Q362" s="2">
        <v>45714</v>
      </c>
      <c r="R362" s="2">
        <v>45715.620910729165</v>
      </c>
      <c r="T362" s="2"/>
      <c r="U362" s="2"/>
      <c r="V362" s="2"/>
      <c r="W362" s="2"/>
      <c r="X362" s="3" t="str">
        <f t="shared" si="50"/>
        <v/>
      </c>
      <c r="Y362" t="str">
        <f t="shared" si="51"/>
        <v/>
      </c>
      <c r="Z362">
        <f t="shared" si="52"/>
        <v>0</v>
      </c>
      <c r="AA362">
        <f t="shared" si="53"/>
        <v>26.033321759256069</v>
      </c>
      <c r="AB362">
        <f t="shared" si="54"/>
        <v>26.033321759256069</v>
      </c>
      <c r="AC362">
        <f>IFERROR(_xlfn.XLOOKUP(B362, HoldSummary!$A:$A, HoldSummary!B:B), 0)</f>
        <v>0</v>
      </c>
      <c r="AD362">
        <f>IFERROR(_xlfn.XLOOKUP(B362, HoldSummary!$A:$A, HoldSummary!C:C), 0)</f>
        <v>0</v>
      </c>
      <c r="AE362">
        <f>IFERROR(_xlfn.XLOOKUP(B362, HoldSummary!$A:$A, HoldSummary!D:D), 0)</f>
        <v>0</v>
      </c>
      <c r="AF362">
        <f>IFERROR(_xlfn.XLOOKUP(B362, HoldSummary!$A:$A, HoldSummary!E:E), 0)</f>
        <v>0</v>
      </c>
      <c r="AG362">
        <f>IFERROR(_xlfn.XLOOKUP(B362, HoldSummary!$A:$A, HoldSummary!F:F), 0)</f>
        <v>0</v>
      </c>
      <c r="AH362">
        <f>IFERROR(_xlfn.XLOOKUP(B362, HoldSummary!$A:$A, HoldSummary!G:G), 0)</f>
        <v>0</v>
      </c>
      <c r="AI362">
        <f>IFERROR(_xlfn.XLOOKUP(B362, HoldSummary!$A:$A, HoldSummary!H:H), 0)</f>
        <v>0</v>
      </c>
      <c r="AJ362">
        <f>IFERROR(_xlfn.XLOOKUP(B362, HoldSummary!$A:$A, HoldSummary!I:I), 0)</f>
        <v>0</v>
      </c>
      <c r="AK362">
        <f t="shared" si="55"/>
        <v>0</v>
      </c>
      <c r="AL362">
        <f t="shared" si="56"/>
        <v>26.033321759256069</v>
      </c>
      <c r="AM362">
        <f t="shared" si="57"/>
        <v>26.033321759256069</v>
      </c>
      <c r="AN362" s="12">
        <f t="shared" si="58"/>
        <v>-19.166666666664241</v>
      </c>
      <c r="AO362">
        <f t="shared" si="59"/>
        <v>1</v>
      </c>
    </row>
    <row r="363" spans="1:41" x14ac:dyDescent="0.35">
      <c r="A363" t="s">
        <v>23</v>
      </c>
      <c r="B363" t="s">
        <v>873</v>
      </c>
      <c r="C363" t="s">
        <v>36</v>
      </c>
      <c r="D363" t="s">
        <v>44</v>
      </c>
      <c r="E363" t="s">
        <v>45</v>
      </c>
      <c r="F363" t="s">
        <v>28</v>
      </c>
      <c r="G363">
        <v>17</v>
      </c>
      <c r="H363" t="s">
        <v>874</v>
      </c>
      <c r="I363" t="s">
        <v>30</v>
      </c>
      <c r="J363" t="s">
        <v>70</v>
      </c>
      <c r="K363" t="s">
        <v>48</v>
      </c>
      <c r="L363" t="s">
        <v>49</v>
      </c>
      <c r="M363" t="s">
        <v>33</v>
      </c>
      <c r="N363" s="2">
        <v>45705.824814814812</v>
      </c>
      <c r="O363" s="2">
        <v>45763.166666666664</v>
      </c>
      <c r="P363" s="2">
        <v>45784.166666666664</v>
      </c>
      <c r="Q363" s="2">
        <v>45778</v>
      </c>
      <c r="R363" s="2">
        <v>45778.832186666667</v>
      </c>
      <c r="S363" t="s">
        <v>875</v>
      </c>
      <c r="T363" s="2"/>
      <c r="U363" s="2"/>
      <c r="V363" s="2"/>
      <c r="W363" s="2"/>
      <c r="X363" s="3" t="str">
        <f t="shared" si="50"/>
        <v/>
      </c>
      <c r="Y363" t="str">
        <f t="shared" si="51"/>
        <v/>
      </c>
      <c r="Z363">
        <f t="shared" si="52"/>
        <v>0</v>
      </c>
      <c r="AA363">
        <f t="shared" si="53"/>
        <v>72.175185185187729</v>
      </c>
      <c r="AB363">
        <f t="shared" si="54"/>
        <v>72.175185185187729</v>
      </c>
      <c r="AC363">
        <f>IFERROR(_xlfn.XLOOKUP(B363, HoldSummary!$A:$A, HoldSummary!B:B), 0)</f>
        <v>0</v>
      </c>
      <c r="AD363">
        <f>IFERROR(_xlfn.XLOOKUP(B363, HoldSummary!$A:$A, HoldSummary!C:C), 0)</f>
        <v>0</v>
      </c>
      <c r="AE363">
        <f>IFERROR(_xlfn.XLOOKUP(B363, HoldSummary!$A:$A, HoldSummary!D:D), 0)</f>
        <v>0</v>
      </c>
      <c r="AF363">
        <f>IFERROR(_xlfn.XLOOKUP(B363, HoldSummary!$A:$A, HoldSummary!E:E), 0)</f>
        <v>0</v>
      </c>
      <c r="AG363">
        <f>IFERROR(_xlfn.XLOOKUP(B363, HoldSummary!$A:$A, HoldSummary!F:F), 0)</f>
        <v>0</v>
      </c>
      <c r="AH363">
        <f>IFERROR(_xlfn.XLOOKUP(B363, HoldSummary!$A:$A, HoldSummary!G:G), 0)</f>
        <v>0</v>
      </c>
      <c r="AI363">
        <f>IFERROR(_xlfn.XLOOKUP(B363, HoldSummary!$A:$A, HoldSummary!H:H), 0)</f>
        <v>0</v>
      </c>
      <c r="AJ363">
        <f>IFERROR(_xlfn.XLOOKUP(B363, HoldSummary!$A:$A, HoldSummary!I:I), 0)</f>
        <v>0</v>
      </c>
      <c r="AK363">
        <f t="shared" si="55"/>
        <v>0</v>
      </c>
      <c r="AL363">
        <f t="shared" si="56"/>
        <v>72.175185185187729</v>
      </c>
      <c r="AM363">
        <f t="shared" si="57"/>
        <v>72.175185185187729</v>
      </c>
      <c r="AN363" s="12">
        <f t="shared" si="58"/>
        <v>14.833333333335759</v>
      </c>
      <c r="AO363">
        <f t="shared" si="59"/>
        <v>0</v>
      </c>
    </row>
    <row r="364" spans="1:41" x14ac:dyDescent="0.35">
      <c r="A364" t="s">
        <v>23</v>
      </c>
      <c r="B364" t="s">
        <v>876</v>
      </c>
      <c r="C364" t="s">
        <v>135</v>
      </c>
      <c r="D364" t="s">
        <v>44</v>
      </c>
      <c r="E364" t="s">
        <v>45</v>
      </c>
      <c r="F364" t="s">
        <v>28</v>
      </c>
      <c r="G364">
        <v>18</v>
      </c>
      <c r="H364" t="s">
        <v>877</v>
      </c>
      <c r="I364" t="s">
        <v>30</v>
      </c>
      <c r="J364" t="s">
        <v>70</v>
      </c>
      <c r="K364" t="s">
        <v>32</v>
      </c>
      <c r="L364" t="s">
        <v>32</v>
      </c>
      <c r="N364" s="2">
        <v>44378.140081018515</v>
      </c>
      <c r="O364" s="2">
        <v>44540.208333333336</v>
      </c>
      <c r="P364" s="2">
        <v>45580.166666666664</v>
      </c>
      <c r="Q364" s="2">
        <v>45579</v>
      </c>
      <c r="R364" s="2">
        <v>45580.607528819448</v>
      </c>
      <c r="T364" s="2">
        <v>44845.166666666664</v>
      </c>
      <c r="U364" s="2">
        <v>44845.166666666664</v>
      </c>
      <c r="V364" s="2">
        <v>44845.166666666664</v>
      </c>
      <c r="W364" s="2">
        <v>44845.166666666664</v>
      </c>
      <c r="X364" s="3">
        <f t="shared" si="50"/>
        <v>0</v>
      </c>
      <c r="Y364">
        <f t="shared" si="51"/>
        <v>0</v>
      </c>
      <c r="Z364">
        <f t="shared" si="52"/>
        <v>0</v>
      </c>
      <c r="AA364">
        <f t="shared" si="53"/>
        <v>1200.859918981485</v>
      </c>
      <c r="AB364">
        <f t="shared" si="54"/>
        <v>1200.859918981485</v>
      </c>
      <c r="AC364">
        <f>IFERROR(_xlfn.XLOOKUP(B364, HoldSummary!$A:$A, HoldSummary!B:B), 0)</f>
        <v>0</v>
      </c>
      <c r="AD364">
        <f>IFERROR(_xlfn.XLOOKUP(B364, HoldSummary!$A:$A, HoldSummary!C:C), 0)</f>
        <v>0</v>
      </c>
      <c r="AE364">
        <f>IFERROR(_xlfn.XLOOKUP(B364, HoldSummary!$A:$A, HoldSummary!D:D), 0)</f>
        <v>0</v>
      </c>
      <c r="AF364">
        <f>IFERROR(_xlfn.XLOOKUP(B364, HoldSummary!$A:$A, HoldSummary!E:E), 0)</f>
        <v>0</v>
      </c>
      <c r="AG364">
        <f>IFERROR(_xlfn.XLOOKUP(B364, HoldSummary!$A:$A, HoldSummary!F:F), 0)</f>
        <v>0</v>
      </c>
      <c r="AH364">
        <f>IFERROR(_xlfn.XLOOKUP(B364, HoldSummary!$A:$A, HoldSummary!G:G), 0)</f>
        <v>0</v>
      </c>
      <c r="AI364">
        <f>IFERROR(_xlfn.XLOOKUP(B364, HoldSummary!$A:$A, HoldSummary!H:H), 0)</f>
        <v>0</v>
      </c>
      <c r="AJ364">
        <f>IFERROR(_xlfn.XLOOKUP(B364, HoldSummary!$A:$A, HoldSummary!I:I), 0)</f>
        <v>0</v>
      </c>
      <c r="AK364">
        <f t="shared" si="55"/>
        <v>0</v>
      </c>
      <c r="AL364">
        <f t="shared" si="56"/>
        <v>1200.859918981485</v>
      </c>
      <c r="AM364">
        <f t="shared" si="57"/>
        <v>1200.859918981485</v>
      </c>
      <c r="AN364" s="12">
        <f t="shared" si="58"/>
        <v>1038.7916666666642</v>
      </c>
      <c r="AO364">
        <f t="shared" si="59"/>
        <v>0</v>
      </c>
    </row>
    <row r="365" spans="1:41" x14ac:dyDescent="0.35">
      <c r="A365" t="s">
        <v>23</v>
      </c>
      <c r="B365" t="s">
        <v>878</v>
      </c>
      <c r="C365" t="s">
        <v>113</v>
      </c>
      <c r="D365" t="s">
        <v>44</v>
      </c>
      <c r="E365" t="s">
        <v>45</v>
      </c>
      <c r="F365" t="s">
        <v>28</v>
      </c>
      <c r="G365">
        <v>18</v>
      </c>
      <c r="H365" t="s">
        <v>879</v>
      </c>
      <c r="I365" t="s">
        <v>30</v>
      </c>
      <c r="J365" t="s">
        <v>31</v>
      </c>
      <c r="K365" t="s">
        <v>32</v>
      </c>
      <c r="L365" t="s">
        <v>39</v>
      </c>
      <c r="N365" s="2">
        <v>45141.626504629632</v>
      </c>
      <c r="O365" s="2">
        <v>45257.208333333336</v>
      </c>
      <c r="P365" s="2">
        <v>45646.208333333336</v>
      </c>
      <c r="Q365" s="2">
        <v>45643</v>
      </c>
      <c r="R365" s="2">
        <v>45643.810161435184</v>
      </c>
      <c r="S365" t="s">
        <v>754</v>
      </c>
      <c r="T365" s="2">
        <v>45230.166666666664</v>
      </c>
      <c r="U365" s="2">
        <v>45488.166666666664</v>
      </c>
      <c r="V365" s="2">
        <v>45488.166666666664</v>
      </c>
      <c r="W365" s="2">
        <v>45588.166666666664</v>
      </c>
      <c r="X365" s="3">
        <f t="shared" si="50"/>
        <v>258</v>
      </c>
      <c r="Y365">
        <f t="shared" si="51"/>
        <v>100</v>
      </c>
      <c r="Z365">
        <f t="shared" si="52"/>
        <v>358</v>
      </c>
      <c r="AA365">
        <f t="shared" si="53"/>
        <v>501.37349537036789</v>
      </c>
      <c r="AB365">
        <f t="shared" si="54"/>
        <v>143.37349537036789</v>
      </c>
      <c r="AC365">
        <f>IFERROR(_xlfn.XLOOKUP(B365, HoldSummary!$A:$A, HoldSummary!B:B), 0)</f>
        <v>0</v>
      </c>
      <c r="AD365">
        <f>IFERROR(_xlfn.XLOOKUP(B365, HoldSummary!$A:$A, HoldSummary!C:C), 0)</f>
        <v>0</v>
      </c>
      <c r="AE365">
        <f>IFERROR(_xlfn.XLOOKUP(B365, HoldSummary!$A:$A, HoldSummary!D:D), 0)</f>
        <v>0</v>
      </c>
      <c r="AF365">
        <f>IFERROR(_xlfn.XLOOKUP(B365, HoldSummary!$A:$A, HoldSummary!E:E), 0)</f>
        <v>0</v>
      </c>
      <c r="AG365">
        <f>IFERROR(_xlfn.XLOOKUP(B365, HoldSummary!$A:$A, HoldSummary!F:F), 0)</f>
        <v>0</v>
      </c>
      <c r="AH365">
        <f>IFERROR(_xlfn.XLOOKUP(B365, HoldSummary!$A:$A, HoldSummary!G:G), 0)</f>
        <v>135</v>
      </c>
      <c r="AI365">
        <f>IFERROR(_xlfn.XLOOKUP(B365, HoldSummary!$A:$A, HoldSummary!H:H), 0)</f>
        <v>0</v>
      </c>
      <c r="AJ365">
        <f>IFERROR(_xlfn.XLOOKUP(B365, HoldSummary!$A:$A, HoldSummary!I:I), 0)</f>
        <v>0</v>
      </c>
      <c r="AK365">
        <f t="shared" si="55"/>
        <v>135</v>
      </c>
      <c r="AL365">
        <f t="shared" si="56"/>
        <v>366.37349537036789</v>
      </c>
      <c r="AM365">
        <f t="shared" si="57"/>
        <v>8.3734953703678912</v>
      </c>
      <c r="AN365" s="12">
        <f t="shared" si="58"/>
        <v>385.79166666666424</v>
      </c>
      <c r="AO365">
        <f t="shared" si="59"/>
        <v>0</v>
      </c>
    </row>
    <row r="366" spans="1:41" x14ac:dyDescent="0.35">
      <c r="A366" t="s">
        <v>23</v>
      </c>
      <c r="B366">
        <v>105596</v>
      </c>
      <c r="C366" t="s">
        <v>76</v>
      </c>
      <c r="D366" t="s">
        <v>44</v>
      </c>
      <c r="E366" t="s">
        <v>55</v>
      </c>
      <c r="F366" t="s">
        <v>28</v>
      </c>
      <c r="G366">
        <v>18</v>
      </c>
      <c r="H366" t="s">
        <v>880</v>
      </c>
      <c r="I366" t="s">
        <v>30</v>
      </c>
      <c r="J366" t="s">
        <v>31</v>
      </c>
      <c r="K366" t="s">
        <v>57</v>
      </c>
      <c r="L366" t="s">
        <v>39</v>
      </c>
      <c r="M366" t="s">
        <v>33</v>
      </c>
      <c r="N366" s="2">
        <v>45411.166666666664</v>
      </c>
      <c r="O366" s="2">
        <v>45586.166666666664</v>
      </c>
      <c r="P366" s="2">
        <v>45586.166666666664</v>
      </c>
      <c r="Q366" s="2">
        <v>45574</v>
      </c>
      <c r="R366" s="2">
        <v>45574.829497916668</v>
      </c>
      <c r="S366" t="s">
        <v>834</v>
      </c>
      <c r="T366" s="2">
        <v>45456.166666666664</v>
      </c>
      <c r="U366" s="2">
        <v>45462.166666666664</v>
      </c>
      <c r="V366" s="2">
        <v>45462.166666666664</v>
      </c>
      <c r="W366" s="2">
        <v>45462.166666666664</v>
      </c>
      <c r="X366" s="3">
        <f t="shared" si="50"/>
        <v>6</v>
      </c>
      <c r="Y366">
        <f t="shared" si="51"/>
        <v>0</v>
      </c>
      <c r="Z366">
        <f t="shared" si="52"/>
        <v>6</v>
      </c>
      <c r="AA366">
        <f t="shared" si="53"/>
        <v>162.83333333333576</v>
      </c>
      <c r="AB366">
        <f t="shared" si="54"/>
        <v>156.83333333333576</v>
      </c>
      <c r="AC366">
        <f>IFERROR(_xlfn.XLOOKUP(B366, HoldSummary!$A:$A, HoldSummary!B:B), 0)</f>
        <v>0</v>
      </c>
      <c r="AD366">
        <f>IFERROR(_xlfn.XLOOKUP(B366, HoldSummary!$A:$A, HoldSummary!C:C), 0)</f>
        <v>0</v>
      </c>
      <c r="AE366">
        <f>IFERROR(_xlfn.XLOOKUP(B366, HoldSummary!$A:$A, HoldSummary!D:D), 0)</f>
        <v>0</v>
      </c>
      <c r="AF366">
        <f>IFERROR(_xlfn.XLOOKUP(B366, HoldSummary!$A:$A, HoldSummary!E:E), 0)</f>
        <v>0</v>
      </c>
      <c r="AG366">
        <f>IFERROR(_xlfn.XLOOKUP(B366, HoldSummary!$A:$A, HoldSummary!F:F), 0)</f>
        <v>0</v>
      </c>
      <c r="AH366">
        <f>IFERROR(_xlfn.XLOOKUP(B366, HoldSummary!$A:$A, HoldSummary!G:G), 0)</f>
        <v>0</v>
      </c>
      <c r="AI366">
        <f>IFERROR(_xlfn.XLOOKUP(B366, HoldSummary!$A:$A, HoldSummary!H:H), 0)</f>
        <v>0</v>
      </c>
      <c r="AJ366">
        <f>IFERROR(_xlfn.XLOOKUP(B366, HoldSummary!$A:$A, HoldSummary!I:I), 0)</f>
        <v>0</v>
      </c>
      <c r="AK366">
        <f t="shared" si="55"/>
        <v>0</v>
      </c>
      <c r="AL366">
        <f t="shared" si="56"/>
        <v>162.83333333333576</v>
      </c>
      <c r="AM366">
        <f t="shared" si="57"/>
        <v>156.83333333333576</v>
      </c>
      <c r="AN366" s="12">
        <f t="shared" si="58"/>
        <v>-12.166666666664241</v>
      </c>
      <c r="AO366">
        <f t="shared" si="59"/>
        <v>1</v>
      </c>
    </row>
    <row r="367" spans="1:41" x14ac:dyDescent="0.35">
      <c r="A367" t="s">
        <v>23</v>
      </c>
      <c r="B367" t="s">
        <v>881</v>
      </c>
      <c r="C367" t="s">
        <v>76</v>
      </c>
      <c r="D367" t="s">
        <v>44</v>
      </c>
      <c r="E367" t="s">
        <v>45</v>
      </c>
      <c r="F367" t="s">
        <v>28</v>
      </c>
      <c r="G367">
        <v>18</v>
      </c>
      <c r="H367" t="s">
        <v>882</v>
      </c>
      <c r="I367" t="s">
        <v>30</v>
      </c>
      <c r="J367" t="s">
        <v>31</v>
      </c>
      <c r="K367" t="s">
        <v>38</v>
      </c>
      <c r="L367" t="s">
        <v>39</v>
      </c>
      <c r="M367" t="s">
        <v>33</v>
      </c>
      <c r="N367" s="2">
        <v>45447.584537037037</v>
      </c>
      <c r="O367" s="2">
        <v>45623.208333333336</v>
      </c>
      <c r="P367" s="2">
        <v>45623.208333333336</v>
      </c>
      <c r="Q367" s="2">
        <v>45594</v>
      </c>
      <c r="R367" s="2">
        <v>45594.57039912037</v>
      </c>
      <c r="T367" s="2">
        <v>45484.166666666664</v>
      </c>
      <c r="U367" s="2">
        <v>45491.166666666664</v>
      </c>
      <c r="V367" s="2">
        <v>45491.166666666664</v>
      </c>
      <c r="W367" s="2">
        <v>45590.166666666664</v>
      </c>
      <c r="X367" s="3">
        <f t="shared" si="50"/>
        <v>7</v>
      </c>
      <c r="Y367">
        <f t="shared" si="51"/>
        <v>99</v>
      </c>
      <c r="Z367">
        <f t="shared" si="52"/>
        <v>106</v>
      </c>
      <c r="AA367">
        <f t="shared" si="53"/>
        <v>146.41546296296292</v>
      </c>
      <c r="AB367">
        <f t="shared" si="54"/>
        <v>40.41546296296292</v>
      </c>
      <c r="AC367">
        <f>IFERROR(_xlfn.XLOOKUP(B367, HoldSummary!$A:$A, HoldSummary!B:B), 0)</f>
        <v>9</v>
      </c>
      <c r="AD367">
        <f>IFERROR(_xlfn.XLOOKUP(B367, HoldSummary!$A:$A, HoldSummary!C:C), 0)</f>
        <v>21</v>
      </c>
      <c r="AE367">
        <f>IFERROR(_xlfn.XLOOKUP(B367, HoldSummary!$A:$A, HoldSummary!D:D), 0)</f>
        <v>0</v>
      </c>
      <c r="AF367">
        <f>IFERROR(_xlfn.XLOOKUP(B367, HoldSummary!$A:$A, HoldSummary!E:E), 0)</f>
        <v>0</v>
      </c>
      <c r="AG367">
        <f>IFERROR(_xlfn.XLOOKUP(B367, HoldSummary!$A:$A, HoldSummary!F:F), 0)</f>
        <v>1</v>
      </c>
      <c r="AH367">
        <f>IFERROR(_xlfn.XLOOKUP(B367, HoldSummary!$A:$A, HoldSummary!G:G), 0)</f>
        <v>0</v>
      </c>
      <c r="AI367">
        <f>IFERROR(_xlfn.XLOOKUP(B367, HoldSummary!$A:$A, HoldSummary!H:H), 0)</f>
        <v>50</v>
      </c>
      <c r="AJ367">
        <f>IFERROR(_xlfn.XLOOKUP(B367, HoldSummary!$A:$A, HoldSummary!I:I), 0)</f>
        <v>0</v>
      </c>
      <c r="AK367">
        <f t="shared" si="55"/>
        <v>81</v>
      </c>
      <c r="AL367">
        <f t="shared" si="56"/>
        <v>65.41546296296292</v>
      </c>
      <c r="AM367">
        <f t="shared" si="57"/>
        <v>-40.58453703703708</v>
      </c>
      <c r="AN367" s="12">
        <f t="shared" si="58"/>
        <v>-29.208333333335759</v>
      </c>
      <c r="AO367">
        <f t="shared" si="59"/>
        <v>1</v>
      </c>
    </row>
    <row r="368" spans="1:41" x14ac:dyDescent="0.35">
      <c r="A368" t="s">
        <v>23</v>
      </c>
      <c r="B368" t="s">
        <v>883</v>
      </c>
      <c r="C368" t="s">
        <v>130</v>
      </c>
      <c r="D368" t="s">
        <v>44</v>
      </c>
      <c r="E368" t="s">
        <v>45</v>
      </c>
      <c r="F368" t="s">
        <v>28</v>
      </c>
      <c r="G368">
        <v>18</v>
      </c>
      <c r="H368" t="s">
        <v>884</v>
      </c>
      <c r="I368" t="s">
        <v>30</v>
      </c>
      <c r="J368" t="s">
        <v>31</v>
      </c>
      <c r="K368" t="s">
        <v>38</v>
      </c>
      <c r="L368" t="s">
        <v>39</v>
      </c>
      <c r="M368" t="s">
        <v>33</v>
      </c>
      <c r="N368" s="2">
        <v>45441.783518518518</v>
      </c>
      <c r="O368" s="2">
        <v>45644.208333333336</v>
      </c>
      <c r="P368" s="2">
        <v>45646.208333333336</v>
      </c>
      <c r="Q368" s="2">
        <v>45639</v>
      </c>
      <c r="R368" s="2">
        <v>45642.62319766204</v>
      </c>
      <c r="S368" t="s">
        <v>145</v>
      </c>
      <c r="T368" s="2">
        <v>45567.166666666664</v>
      </c>
      <c r="U368" s="2">
        <v>45574.166666666664</v>
      </c>
      <c r="V368" s="2">
        <v>45574.166666666664</v>
      </c>
      <c r="W368" s="2">
        <v>45580.166666666664</v>
      </c>
      <c r="X368" s="3">
        <f t="shared" si="50"/>
        <v>7</v>
      </c>
      <c r="Y368">
        <f t="shared" si="51"/>
        <v>6</v>
      </c>
      <c r="Z368">
        <f t="shared" si="52"/>
        <v>13</v>
      </c>
      <c r="AA368">
        <f t="shared" si="53"/>
        <v>197.21648148148233</v>
      </c>
      <c r="AB368">
        <f t="shared" si="54"/>
        <v>184.21648148148233</v>
      </c>
      <c r="AC368">
        <f>IFERROR(_xlfn.XLOOKUP(B368, HoldSummary!$A:$A, HoldSummary!B:B), 0)</f>
        <v>22</v>
      </c>
      <c r="AD368">
        <f>IFERROR(_xlfn.XLOOKUP(B368, HoldSummary!$A:$A, HoldSummary!C:C), 0)</f>
        <v>0</v>
      </c>
      <c r="AE368">
        <f>IFERROR(_xlfn.XLOOKUP(B368, HoldSummary!$A:$A, HoldSummary!D:D), 0)</f>
        <v>0</v>
      </c>
      <c r="AF368">
        <f>IFERROR(_xlfn.XLOOKUP(B368, HoldSummary!$A:$A, HoldSummary!E:E), 0)</f>
        <v>0</v>
      </c>
      <c r="AG368">
        <f>IFERROR(_xlfn.XLOOKUP(B368, HoldSummary!$A:$A, HoldSummary!F:F), 0)</f>
        <v>0</v>
      </c>
      <c r="AH368">
        <f>IFERROR(_xlfn.XLOOKUP(B368, HoldSummary!$A:$A, HoldSummary!G:G), 0)</f>
        <v>0</v>
      </c>
      <c r="AI368">
        <f>IFERROR(_xlfn.XLOOKUP(B368, HoldSummary!$A:$A, HoldSummary!H:H), 0)</f>
        <v>0</v>
      </c>
      <c r="AJ368">
        <f>IFERROR(_xlfn.XLOOKUP(B368, HoldSummary!$A:$A, HoldSummary!I:I), 0)</f>
        <v>0</v>
      </c>
      <c r="AK368">
        <f t="shared" si="55"/>
        <v>22</v>
      </c>
      <c r="AL368">
        <f t="shared" si="56"/>
        <v>175.21648148148233</v>
      </c>
      <c r="AM368">
        <f t="shared" si="57"/>
        <v>162.21648148148233</v>
      </c>
      <c r="AN368" s="12">
        <f t="shared" si="58"/>
        <v>-5.2083333333357587</v>
      </c>
      <c r="AO368">
        <f t="shared" si="59"/>
        <v>1</v>
      </c>
    </row>
    <row r="369" spans="1:41" x14ac:dyDescent="0.35">
      <c r="A369" t="s">
        <v>23</v>
      </c>
      <c r="B369" t="s">
        <v>885</v>
      </c>
      <c r="C369" t="s">
        <v>409</v>
      </c>
      <c r="D369" t="s">
        <v>44</v>
      </c>
      <c r="E369" t="s">
        <v>45</v>
      </c>
      <c r="F369" t="s">
        <v>28</v>
      </c>
      <c r="G369">
        <v>18</v>
      </c>
      <c r="H369" t="s">
        <v>886</v>
      </c>
      <c r="I369" t="s">
        <v>30</v>
      </c>
      <c r="J369" t="s">
        <v>31</v>
      </c>
      <c r="K369" t="s">
        <v>48</v>
      </c>
      <c r="L369" t="s">
        <v>49</v>
      </c>
      <c r="M369" t="s">
        <v>81</v>
      </c>
      <c r="N369" s="2">
        <v>45503.747662037036</v>
      </c>
      <c r="O369" s="2">
        <v>45757.166666666664</v>
      </c>
      <c r="P369" s="2">
        <v>45776.166666666664</v>
      </c>
      <c r="Q369" s="2">
        <v>45758</v>
      </c>
      <c r="R369" s="2">
        <v>45758.600686192127</v>
      </c>
      <c r="S369" t="s">
        <v>708</v>
      </c>
      <c r="T369" s="2">
        <v>45607.208333333336</v>
      </c>
      <c r="U369" s="2">
        <v>45618.208333333336</v>
      </c>
      <c r="V369" s="2">
        <v>45618.208333333336</v>
      </c>
      <c r="W369" s="2">
        <v>45737.166666666664</v>
      </c>
      <c r="X369" s="3">
        <f t="shared" si="50"/>
        <v>11</v>
      </c>
      <c r="Y369">
        <f t="shared" si="51"/>
        <v>118.95833333332848</v>
      </c>
      <c r="Z369">
        <f t="shared" si="52"/>
        <v>129.95833333332848</v>
      </c>
      <c r="AA369">
        <f t="shared" si="53"/>
        <v>254.25233796296379</v>
      </c>
      <c r="AB369">
        <f t="shared" si="54"/>
        <v>124.29400462963531</v>
      </c>
      <c r="AC369">
        <f>IFERROR(_xlfn.XLOOKUP(B369, HoldSummary!$A:$A, HoldSummary!B:B), 0)</f>
        <v>9.9404780555560137</v>
      </c>
      <c r="AD369">
        <f>IFERROR(_xlfn.XLOOKUP(B369, HoldSummary!$A:$A, HoldSummary!C:C), 0)</f>
        <v>0</v>
      </c>
      <c r="AE369">
        <f>IFERROR(_xlfn.XLOOKUP(B369, HoldSummary!$A:$A, HoldSummary!D:D), 0)</f>
        <v>0</v>
      </c>
      <c r="AF369">
        <f>IFERROR(_xlfn.XLOOKUP(B369, HoldSummary!$A:$A, HoldSummary!E:E), 0)</f>
        <v>0</v>
      </c>
      <c r="AG369">
        <f>IFERROR(_xlfn.XLOOKUP(B369, HoldSummary!$A:$A, HoldSummary!F:F), 0)</f>
        <v>0</v>
      </c>
      <c r="AH369">
        <f>IFERROR(_xlfn.XLOOKUP(B369, HoldSummary!$A:$A, HoldSummary!G:G), 0)</f>
        <v>0</v>
      </c>
      <c r="AI369">
        <f>IFERROR(_xlfn.XLOOKUP(B369, HoldSummary!$A:$A, HoldSummary!H:H), 0)</f>
        <v>0</v>
      </c>
      <c r="AJ369">
        <f>IFERROR(_xlfn.XLOOKUP(B369, HoldSummary!$A:$A, HoldSummary!I:I), 0)</f>
        <v>0</v>
      </c>
      <c r="AK369">
        <f t="shared" si="55"/>
        <v>9.9404780555560137</v>
      </c>
      <c r="AL369">
        <f t="shared" si="56"/>
        <v>244.31185990740778</v>
      </c>
      <c r="AM369">
        <f t="shared" si="57"/>
        <v>114.3535265740793</v>
      </c>
      <c r="AN369" s="12">
        <f t="shared" si="58"/>
        <v>0.83333333333575865</v>
      </c>
      <c r="AO369">
        <f t="shared" si="59"/>
        <v>0</v>
      </c>
    </row>
    <row r="370" spans="1:41" x14ac:dyDescent="0.35">
      <c r="A370" t="s">
        <v>23</v>
      </c>
      <c r="B370" t="s">
        <v>887</v>
      </c>
      <c r="C370" t="s">
        <v>461</v>
      </c>
      <c r="D370" t="s">
        <v>44</v>
      </c>
      <c r="E370" t="s">
        <v>45</v>
      </c>
      <c r="F370" t="s">
        <v>28</v>
      </c>
      <c r="G370">
        <v>18</v>
      </c>
      <c r="H370" t="s">
        <v>888</v>
      </c>
      <c r="I370" t="s">
        <v>30</v>
      </c>
      <c r="J370" t="s">
        <v>31</v>
      </c>
      <c r="K370" t="s">
        <v>48</v>
      </c>
      <c r="L370" t="s">
        <v>695</v>
      </c>
      <c r="M370" t="s">
        <v>33</v>
      </c>
      <c r="N370" s="2">
        <v>45589.56</v>
      </c>
      <c r="O370" s="2">
        <v>45660.208333333336</v>
      </c>
      <c r="P370" s="2">
        <v>45660.208333333336</v>
      </c>
      <c r="Q370" s="2">
        <v>45622</v>
      </c>
      <c r="R370" s="2">
        <v>45622.867795405095</v>
      </c>
      <c r="S370" t="s">
        <v>399</v>
      </c>
      <c r="T370" s="2">
        <v>45596.166666666664</v>
      </c>
      <c r="U370" s="2">
        <v>45615.208333333336</v>
      </c>
      <c r="V370" s="2">
        <v>45615.208333333336</v>
      </c>
      <c r="W370" s="2">
        <v>45615.208333333336</v>
      </c>
      <c r="X370" s="3">
        <f t="shared" si="50"/>
        <v>19.041666666671517</v>
      </c>
      <c r="Y370">
        <f t="shared" si="51"/>
        <v>0</v>
      </c>
      <c r="Z370">
        <f t="shared" si="52"/>
        <v>19.041666666671517</v>
      </c>
      <c r="AA370">
        <f t="shared" si="53"/>
        <v>32.440000000002328</v>
      </c>
      <c r="AB370">
        <f t="shared" si="54"/>
        <v>13.398333333330811</v>
      </c>
      <c r="AC370">
        <f>IFERROR(_xlfn.XLOOKUP(B370, HoldSummary!$A:$A, HoldSummary!B:B), 0)</f>
        <v>0</v>
      </c>
      <c r="AD370">
        <f>IFERROR(_xlfn.XLOOKUP(B370, HoldSummary!$A:$A, HoldSummary!C:C), 0)</f>
        <v>0</v>
      </c>
      <c r="AE370">
        <f>IFERROR(_xlfn.XLOOKUP(B370, HoldSummary!$A:$A, HoldSummary!D:D), 0)</f>
        <v>0</v>
      </c>
      <c r="AF370">
        <f>IFERROR(_xlfn.XLOOKUP(B370, HoldSummary!$A:$A, HoldSummary!E:E), 0)</f>
        <v>0</v>
      </c>
      <c r="AG370">
        <f>IFERROR(_xlfn.XLOOKUP(B370, HoldSummary!$A:$A, HoldSummary!F:F), 0)</f>
        <v>0</v>
      </c>
      <c r="AH370">
        <f>IFERROR(_xlfn.XLOOKUP(B370, HoldSummary!$A:$A, HoldSummary!G:G), 0)</f>
        <v>0</v>
      </c>
      <c r="AI370">
        <f>IFERROR(_xlfn.XLOOKUP(B370, HoldSummary!$A:$A, HoldSummary!H:H), 0)</f>
        <v>0</v>
      </c>
      <c r="AJ370">
        <f>IFERROR(_xlfn.XLOOKUP(B370, HoldSummary!$A:$A, HoldSummary!I:I), 0)</f>
        <v>0</v>
      </c>
      <c r="AK370">
        <f t="shared" si="55"/>
        <v>0</v>
      </c>
      <c r="AL370">
        <f t="shared" si="56"/>
        <v>32.440000000002328</v>
      </c>
      <c r="AM370">
        <f t="shared" si="57"/>
        <v>13.398333333330811</v>
      </c>
      <c r="AN370" s="12">
        <f t="shared" si="58"/>
        <v>-38.208333333335759</v>
      </c>
      <c r="AO370">
        <f t="shared" si="59"/>
        <v>1</v>
      </c>
    </row>
    <row r="371" spans="1:41" x14ac:dyDescent="0.35">
      <c r="A371" t="s">
        <v>23</v>
      </c>
      <c r="B371" t="s">
        <v>889</v>
      </c>
      <c r="C371" t="s">
        <v>130</v>
      </c>
      <c r="D371" t="s">
        <v>44</v>
      </c>
      <c r="E371" t="s">
        <v>45</v>
      </c>
      <c r="F371" t="s">
        <v>28</v>
      </c>
      <c r="G371">
        <v>18</v>
      </c>
      <c r="H371" t="s">
        <v>890</v>
      </c>
      <c r="I371" t="s">
        <v>30</v>
      </c>
      <c r="J371" t="s">
        <v>31</v>
      </c>
      <c r="K371" t="s">
        <v>48</v>
      </c>
      <c r="L371" t="s">
        <v>192</v>
      </c>
      <c r="M371" t="s">
        <v>81</v>
      </c>
      <c r="N371" s="2">
        <v>45588.691331018519</v>
      </c>
      <c r="O371" s="2">
        <v>45700.208333333336</v>
      </c>
      <c r="P371" s="2">
        <v>45821.166666666664</v>
      </c>
      <c r="Q371" s="2">
        <v>45806</v>
      </c>
      <c r="R371" s="2">
        <v>45807.548437812497</v>
      </c>
      <c r="S371" t="s">
        <v>891</v>
      </c>
      <c r="T371" s="2">
        <v>45728.166666666664</v>
      </c>
      <c r="U371" s="2">
        <v>45728.166666666664</v>
      </c>
      <c r="V371" s="2">
        <v>45758.166666666664</v>
      </c>
      <c r="W371" s="2">
        <v>45797.166666666664</v>
      </c>
      <c r="X371" s="3">
        <f t="shared" si="50"/>
        <v>0</v>
      </c>
      <c r="Y371">
        <f t="shared" si="51"/>
        <v>39</v>
      </c>
      <c r="Z371">
        <f t="shared" si="52"/>
        <v>39</v>
      </c>
      <c r="AA371">
        <f t="shared" si="53"/>
        <v>217.30866898148088</v>
      </c>
      <c r="AB371">
        <f t="shared" si="54"/>
        <v>178.30866898148088</v>
      </c>
      <c r="AC371">
        <f>IFERROR(_xlfn.XLOOKUP(B371, HoldSummary!$A:$A, HoldSummary!B:B), 0)</f>
        <v>9.9171915393526433</v>
      </c>
      <c r="AD371">
        <f>IFERROR(_xlfn.XLOOKUP(B371, HoldSummary!$A:$A, HoldSummary!C:C), 0)</f>
        <v>0</v>
      </c>
      <c r="AE371">
        <f>IFERROR(_xlfn.XLOOKUP(B371, HoldSummary!$A:$A, HoldSummary!D:D), 0)</f>
        <v>0</v>
      </c>
      <c r="AF371">
        <f>IFERROR(_xlfn.XLOOKUP(B371, HoldSummary!$A:$A, HoldSummary!E:E), 0)</f>
        <v>0</v>
      </c>
      <c r="AG371">
        <f>IFERROR(_xlfn.XLOOKUP(B371, HoldSummary!$A:$A, HoldSummary!F:F), 0)</f>
        <v>0</v>
      </c>
      <c r="AH371">
        <f>IFERROR(_xlfn.XLOOKUP(B371, HoldSummary!$A:$A, HoldSummary!G:G), 0)</f>
        <v>0</v>
      </c>
      <c r="AI371">
        <f>IFERROR(_xlfn.XLOOKUP(B371, HoldSummary!$A:$A, HoldSummary!H:H), 0)</f>
        <v>0</v>
      </c>
      <c r="AJ371">
        <f>IFERROR(_xlfn.XLOOKUP(B371, HoldSummary!$A:$A, HoldSummary!I:I), 0)</f>
        <v>0</v>
      </c>
      <c r="AK371">
        <f t="shared" si="55"/>
        <v>9.9171915393526433</v>
      </c>
      <c r="AL371">
        <f t="shared" si="56"/>
        <v>207.39147744212823</v>
      </c>
      <c r="AM371">
        <f t="shared" si="57"/>
        <v>168.39147744212823</v>
      </c>
      <c r="AN371" s="12">
        <f t="shared" si="58"/>
        <v>105.79166666666424</v>
      </c>
      <c r="AO371">
        <f t="shared" si="59"/>
        <v>0</v>
      </c>
    </row>
    <row r="372" spans="1:41" x14ac:dyDescent="0.35">
      <c r="A372" t="s">
        <v>23</v>
      </c>
      <c r="B372" t="s">
        <v>892</v>
      </c>
      <c r="C372" t="s">
        <v>36</v>
      </c>
      <c r="D372" t="s">
        <v>44</v>
      </c>
      <c r="E372" t="s">
        <v>44</v>
      </c>
      <c r="F372" t="s">
        <v>28</v>
      </c>
      <c r="G372">
        <v>18</v>
      </c>
      <c r="H372" t="s">
        <v>893</v>
      </c>
      <c r="I372" t="s">
        <v>30</v>
      </c>
      <c r="J372" t="s">
        <v>31</v>
      </c>
      <c r="K372" t="s">
        <v>38</v>
      </c>
      <c r="L372" t="s">
        <v>39</v>
      </c>
      <c r="M372" t="s">
        <v>33</v>
      </c>
      <c r="N372" s="2">
        <v>45632.208333333336</v>
      </c>
      <c r="O372" s="2">
        <v>45635.208333333336</v>
      </c>
      <c r="P372" s="2">
        <v>45635.208333333336</v>
      </c>
      <c r="Q372" s="2">
        <v>45639</v>
      </c>
      <c r="R372" s="2">
        <v>45642.850184386574</v>
      </c>
      <c r="S372" t="s">
        <v>894</v>
      </c>
      <c r="T372" s="2"/>
      <c r="U372" s="2"/>
      <c r="V372" s="2"/>
      <c r="W372" s="2"/>
      <c r="X372" s="3" t="str">
        <f t="shared" si="50"/>
        <v/>
      </c>
      <c r="Y372" t="str">
        <f t="shared" si="51"/>
        <v/>
      </c>
      <c r="Z372">
        <f t="shared" si="52"/>
        <v>0</v>
      </c>
      <c r="AA372">
        <f t="shared" si="53"/>
        <v>6.7916666666642413</v>
      </c>
      <c r="AB372">
        <f t="shared" si="54"/>
        <v>6.7916666666642413</v>
      </c>
      <c r="AC372">
        <f>IFERROR(_xlfn.XLOOKUP(B372, HoldSummary!$A:$A, HoldSummary!B:B), 0)</f>
        <v>0</v>
      </c>
      <c r="AD372">
        <f>IFERROR(_xlfn.XLOOKUP(B372, HoldSummary!$A:$A, HoldSummary!C:C), 0)</f>
        <v>0</v>
      </c>
      <c r="AE372">
        <f>IFERROR(_xlfn.XLOOKUP(B372, HoldSummary!$A:$A, HoldSummary!D:D), 0)</f>
        <v>0</v>
      </c>
      <c r="AF372">
        <f>IFERROR(_xlfn.XLOOKUP(B372, HoldSummary!$A:$A, HoldSummary!E:E), 0)</f>
        <v>0</v>
      </c>
      <c r="AG372">
        <f>IFERROR(_xlfn.XLOOKUP(B372, HoldSummary!$A:$A, HoldSummary!F:F), 0)</f>
        <v>0</v>
      </c>
      <c r="AH372">
        <f>IFERROR(_xlfn.XLOOKUP(B372, HoldSummary!$A:$A, HoldSummary!G:G), 0)</f>
        <v>0</v>
      </c>
      <c r="AI372">
        <f>IFERROR(_xlfn.XLOOKUP(B372, HoldSummary!$A:$A, HoldSummary!H:H), 0)</f>
        <v>0</v>
      </c>
      <c r="AJ372">
        <f>IFERROR(_xlfn.XLOOKUP(B372, HoldSummary!$A:$A, HoldSummary!I:I), 0)</f>
        <v>0</v>
      </c>
      <c r="AK372">
        <f t="shared" si="55"/>
        <v>0</v>
      </c>
      <c r="AL372">
        <f t="shared" si="56"/>
        <v>6.7916666666642413</v>
      </c>
      <c r="AM372">
        <f t="shared" si="57"/>
        <v>6.7916666666642413</v>
      </c>
      <c r="AN372" s="12">
        <f t="shared" si="58"/>
        <v>3.7916666666642413</v>
      </c>
      <c r="AO372">
        <f t="shared" si="59"/>
        <v>0</v>
      </c>
    </row>
    <row r="373" spans="1:41" x14ac:dyDescent="0.35">
      <c r="A373" t="s">
        <v>23</v>
      </c>
      <c r="B373" t="s">
        <v>895</v>
      </c>
      <c r="C373" t="s">
        <v>36</v>
      </c>
      <c r="D373" t="s">
        <v>44</v>
      </c>
      <c r="E373" t="s">
        <v>45</v>
      </c>
      <c r="F373" t="s">
        <v>28</v>
      </c>
      <c r="G373">
        <v>18</v>
      </c>
      <c r="H373" t="s">
        <v>896</v>
      </c>
      <c r="I373" t="s">
        <v>30</v>
      </c>
      <c r="J373" t="s">
        <v>31</v>
      </c>
      <c r="K373" t="s">
        <v>48</v>
      </c>
      <c r="L373" t="s">
        <v>49</v>
      </c>
      <c r="N373" s="2">
        <v>45660.746770833335</v>
      </c>
      <c r="O373" s="2">
        <v>45695.208333333336</v>
      </c>
      <c r="P373" s="2">
        <v>45695.208333333336</v>
      </c>
      <c r="Q373" s="2">
        <v>45695</v>
      </c>
      <c r="R373" s="2">
        <v>45695.61433582176</v>
      </c>
      <c r="T373" s="2"/>
      <c r="U373" s="2"/>
      <c r="V373" s="2"/>
      <c r="W373" s="2"/>
      <c r="X373" s="3" t="str">
        <f t="shared" si="50"/>
        <v/>
      </c>
      <c r="Y373" t="str">
        <f t="shared" si="51"/>
        <v/>
      </c>
      <c r="Z373">
        <f t="shared" si="52"/>
        <v>0</v>
      </c>
      <c r="AA373">
        <f t="shared" si="53"/>
        <v>34.253229166664823</v>
      </c>
      <c r="AB373">
        <f t="shared" si="54"/>
        <v>34.253229166664823</v>
      </c>
      <c r="AC373">
        <f>IFERROR(_xlfn.XLOOKUP(B373, HoldSummary!$A:$A, HoldSummary!B:B), 0)</f>
        <v>0</v>
      </c>
      <c r="AD373">
        <f>IFERROR(_xlfn.XLOOKUP(B373, HoldSummary!$A:$A, HoldSummary!C:C), 0)</f>
        <v>0</v>
      </c>
      <c r="AE373">
        <f>IFERROR(_xlfn.XLOOKUP(B373, HoldSummary!$A:$A, HoldSummary!D:D), 0)</f>
        <v>0</v>
      </c>
      <c r="AF373">
        <f>IFERROR(_xlfn.XLOOKUP(B373, HoldSummary!$A:$A, HoldSummary!E:E), 0)</f>
        <v>0</v>
      </c>
      <c r="AG373">
        <f>IFERROR(_xlfn.XLOOKUP(B373, HoldSummary!$A:$A, HoldSummary!F:F), 0)</f>
        <v>0</v>
      </c>
      <c r="AH373">
        <f>IFERROR(_xlfn.XLOOKUP(B373, HoldSummary!$A:$A, HoldSummary!G:G), 0)</f>
        <v>0</v>
      </c>
      <c r="AI373">
        <f>IFERROR(_xlfn.XLOOKUP(B373, HoldSummary!$A:$A, HoldSummary!H:H), 0)</f>
        <v>0</v>
      </c>
      <c r="AJ373">
        <f>IFERROR(_xlfn.XLOOKUP(B373, HoldSummary!$A:$A, HoldSummary!I:I), 0)</f>
        <v>0</v>
      </c>
      <c r="AK373">
        <f t="shared" si="55"/>
        <v>0</v>
      </c>
      <c r="AL373">
        <f t="shared" si="56"/>
        <v>34.253229166664823</v>
      </c>
      <c r="AM373">
        <f t="shared" si="57"/>
        <v>34.253229166664823</v>
      </c>
      <c r="AN373" s="12">
        <f t="shared" si="58"/>
        <v>-0.20833333333575865</v>
      </c>
      <c r="AO373">
        <f t="shared" si="59"/>
        <v>1</v>
      </c>
    </row>
    <row r="374" spans="1:41" x14ac:dyDescent="0.35">
      <c r="A374" t="s">
        <v>23</v>
      </c>
      <c r="B374">
        <v>110423</v>
      </c>
      <c r="C374" t="s">
        <v>36</v>
      </c>
      <c r="D374" t="s">
        <v>44</v>
      </c>
      <c r="E374" t="s">
        <v>55</v>
      </c>
      <c r="F374" t="s">
        <v>28</v>
      </c>
      <c r="G374">
        <v>18</v>
      </c>
      <c r="H374" t="s">
        <v>897</v>
      </c>
      <c r="I374" t="s">
        <v>30</v>
      </c>
      <c r="J374" t="s">
        <v>31</v>
      </c>
      <c r="K374" t="s">
        <v>57</v>
      </c>
      <c r="L374" t="s">
        <v>39</v>
      </c>
      <c r="M374" t="s">
        <v>33</v>
      </c>
      <c r="N374" s="2">
        <v>45665.208333333336</v>
      </c>
      <c r="O374" s="2">
        <v>45685.208333333336</v>
      </c>
      <c r="P374" s="2">
        <v>45702.208333333336</v>
      </c>
      <c r="Q374" s="2">
        <v>45712</v>
      </c>
      <c r="R374" s="2">
        <v>45712.872245057872</v>
      </c>
      <c r="T374" s="2">
        <v>45684.208333333336</v>
      </c>
      <c r="U374" s="2">
        <v>45686.208333333336</v>
      </c>
      <c r="V374" s="2">
        <v>45686.208333333336</v>
      </c>
      <c r="W374" s="2">
        <v>45707.208333333336</v>
      </c>
      <c r="X374" s="3">
        <f t="shared" si="50"/>
        <v>2</v>
      </c>
      <c r="Y374">
        <f t="shared" si="51"/>
        <v>21</v>
      </c>
      <c r="Z374">
        <f t="shared" si="52"/>
        <v>23</v>
      </c>
      <c r="AA374">
        <f t="shared" si="53"/>
        <v>46.791666666664241</v>
      </c>
      <c r="AB374">
        <f t="shared" si="54"/>
        <v>23.791666666664241</v>
      </c>
      <c r="AC374">
        <f>IFERROR(_xlfn.XLOOKUP(B374, HoldSummary!$A:$A, HoldSummary!B:B), 0)</f>
        <v>0</v>
      </c>
      <c r="AD374">
        <f>IFERROR(_xlfn.XLOOKUP(B374, HoldSummary!$A:$A, HoldSummary!C:C), 0)</f>
        <v>0</v>
      </c>
      <c r="AE374">
        <f>IFERROR(_xlfn.XLOOKUP(B374, HoldSummary!$A:$A, HoldSummary!D:D), 0)</f>
        <v>0</v>
      </c>
      <c r="AF374">
        <f>IFERROR(_xlfn.XLOOKUP(B374, HoldSummary!$A:$A, HoldSummary!E:E), 0)</f>
        <v>0</v>
      </c>
      <c r="AG374">
        <f>IFERROR(_xlfn.XLOOKUP(B374, HoldSummary!$A:$A, HoldSummary!F:F), 0)</f>
        <v>0</v>
      </c>
      <c r="AH374">
        <f>IFERROR(_xlfn.XLOOKUP(B374, HoldSummary!$A:$A, HoldSummary!G:G), 0)</f>
        <v>0</v>
      </c>
      <c r="AI374">
        <f>IFERROR(_xlfn.XLOOKUP(B374, HoldSummary!$A:$A, HoldSummary!H:H), 0)</f>
        <v>0</v>
      </c>
      <c r="AJ374">
        <f>IFERROR(_xlfn.XLOOKUP(B374, HoldSummary!$A:$A, HoldSummary!I:I), 0)</f>
        <v>0</v>
      </c>
      <c r="AK374">
        <f t="shared" si="55"/>
        <v>0</v>
      </c>
      <c r="AL374">
        <f t="shared" si="56"/>
        <v>46.791666666664241</v>
      </c>
      <c r="AM374">
        <f t="shared" si="57"/>
        <v>23.791666666664241</v>
      </c>
      <c r="AN374" s="12">
        <f t="shared" si="58"/>
        <v>26.791666666664241</v>
      </c>
      <c r="AO374">
        <f t="shared" si="59"/>
        <v>0</v>
      </c>
    </row>
    <row r="375" spans="1:41" x14ac:dyDescent="0.35">
      <c r="A375" t="s">
        <v>23</v>
      </c>
      <c r="B375" t="s">
        <v>898</v>
      </c>
      <c r="C375" t="s">
        <v>135</v>
      </c>
      <c r="D375" t="s">
        <v>44</v>
      </c>
      <c r="E375" t="s">
        <v>45</v>
      </c>
      <c r="F375" t="s">
        <v>28</v>
      </c>
      <c r="G375">
        <v>18</v>
      </c>
      <c r="H375" t="s">
        <v>899</v>
      </c>
      <c r="I375" t="s">
        <v>30</v>
      </c>
      <c r="J375" t="s">
        <v>31</v>
      </c>
      <c r="K375" t="s">
        <v>32</v>
      </c>
      <c r="L375" t="s">
        <v>32</v>
      </c>
      <c r="M375" t="s">
        <v>33</v>
      </c>
      <c r="N375" s="2">
        <v>45653.327199074076</v>
      </c>
      <c r="O375" s="2">
        <v>45702.208333333336</v>
      </c>
      <c r="P375" s="2">
        <v>45749.166666666664</v>
      </c>
      <c r="Q375" s="2">
        <v>45716</v>
      </c>
      <c r="R375" s="2">
        <v>45720.636428645834</v>
      </c>
      <c r="T375" s="2">
        <v>45707.208333333336</v>
      </c>
      <c r="U375" s="2">
        <v>45707.208333333336</v>
      </c>
      <c r="V375" s="2">
        <v>45707.208333333336</v>
      </c>
      <c r="W375" s="2">
        <v>45707.208333333336</v>
      </c>
      <c r="X375" s="3">
        <f t="shared" si="50"/>
        <v>0</v>
      </c>
      <c r="Y375">
        <f t="shared" si="51"/>
        <v>0</v>
      </c>
      <c r="Z375">
        <f t="shared" si="52"/>
        <v>0</v>
      </c>
      <c r="AA375">
        <f t="shared" si="53"/>
        <v>62.672800925924093</v>
      </c>
      <c r="AB375">
        <f t="shared" si="54"/>
        <v>62.672800925924093</v>
      </c>
      <c r="AC375">
        <f>IFERROR(_xlfn.XLOOKUP(B375, HoldSummary!$A:$A, HoldSummary!B:B), 0)</f>
        <v>0</v>
      </c>
      <c r="AD375">
        <f>IFERROR(_xlfn.XLOOKUP(B375, HoldSummary!$A:$A, HoldSummary!C:C), 0)</f>
        <v>0</v>
      </c>
      <c r="AE375">
        <f>IFERROR(_xlfn.XLOOKUP(B375, HoldSummary!$A:$A, HoldSummary!D:D), 0)</f>
        <v>0</v>
      </c>
      <c r="AF375">
        <f>IFERROR(_xlfn.XLOOKUP(B375, HoldSummary!$A:$A, HoldSummary!E:E), 0)</f>
        <v>0</v>
      </c>
      <c r="AG375">
        <f>IFERROR(_xlfn.XLOOKUP(B375, HoldSummary!$A:$A, HoldSummary!F:F), 0)</f>
        <v>0</v>
      </c>
      <c r="AH375">
        <f>IFERROR(_xlfn.XLOOKUP(B375, HoldSummary!$A:$A, HoldSummary!G:G), 0)</f>
        <v>0</v>
      </c>
      <c r="AI375">
        <f>IFERROR(_xlfn.XLOOKUP(B375, HoldSummary!$A:$A, HoldSummary!H:H), 0)</f>
        <v>0</v>
      </c>
      <c r="AJ375">
        <f>IFERROR(_xlfn.XLOOKUP(B375, HoldSummary!$A:$A, HoldSummary!I:I), 0)</f>
        <v>0</v>
      </c>
      <c r="AK375">
        <f t="shared" si="55"/>
        <v>0</v>
      </c>
      <c r="AL375">
        <f t="shared" si="56"/>
        <v>62.672800925924093</v>
      </c>
      <c r="AM375">
        <f t="shared" si="57"/>
        <v>62.672800925924093</v>
      </c>
      <c r="AN375" s="12">
        <f t="shared" si="58"/>
        <v>13.791666666664241</v>
      </c>
      <c r="AO375">
        <f t="shared" si="59"/>
        <v>0</v>
      </c>
    </row>
    <row r="376" spans="1:41" x14ac:dyDescent="0.35">
      <c r="A376" t="s">
        <v>23</v>
      </c>
      <c r="B376" t="s">
        <v>900</v>
      </c>
      <c r="C376" t="s">
        <v>135</v>
      </c>
      <c r="D376" t="s">
        <v>44</v>
      </c>
      <c r="E376" t="s">
        <v>45</v>
      </c>
      <c r="F376" t="s">
        <v>28</v>
      </c>
      <c r="G376">
        <v>18</v>
      </c>
      <c r="H376" t="s">
        <v>901</v>
      </c>
      <c r="I376" t="s">
        <v>30</v>
      </c>
      <c r="J376" t="s">
        <v>31</v>
      </c>
      <c r="K376" t="s">
        <v>32</v>
      </c>
      <c r="L376" t="s">
        <v>32</v>
      </c>
      <c r="M376" t="s">
        <v>33</v>
      </c>
      <c r="N376" s="2">
        <v>45618.560185185182</v>
      </c>
      <c r="O376" s="2">
        <v>45772.166666666664</v>
      </c>
      <c r="P376" s="2">
        <v>45791.166666666664</v>
      </c>
      <c r="Q376" s="2">
        <v>45784</v>
      </c>
      <c r="R376" s="2">
        <v>45785.621645729167</v>
      </c>
      <c r="S376" t="s">
        <v>104</v>
      </c>
      <c r="T376" s="2">
        <v>45721.208333333336</v>
      </c>
      <c r="U376" s="2">
        <v>45721.208333333336</v>
      </c>
      <c r="V376" s="2">
        <v>45722.208333333336</v>
      </c>
      <c r="W376" s="2">
        <v>45722.208333333336</v>
      </c>
      <c r="X376" s="3">
        <f t="shared" si="50"/>
        <v>0</v>
      </c>
      <c r="Y376">
        <f t="shared" si="51"/>
        <v>0</v>
      </c>
      <c r="Z376">
        <f t="shared" si="52"/>
        <v>0</v>
      </c>
      <c r="AA376">
        <f t="shared" si="53"/>
        <v>165.43981481481751</v>
      </c>
      <c r="AB376">
        <f t="shared" si="54"/>
        <v>165.43981481481751</v>
      </c>
      <c r="AC376">
        <f>IFERROR(_xlfn.XLOOKUP(B376, HoldSummary!$A:$A, HoldSummary!B:B), 0)</f>
        <v>0</v>
      </c>
      <c r="AD376">
        <f>IFERROR(_xlfn.XLOOKUP(B376, HoldSummary!$A:$A, HoldSummary!C:C), 0)</f>
        <v>0</v>
      </c>
      <c r="AE376">
        <f>IFERROR(_xlfn.XLOOKUP(B376, HoldSummary!$A:$A, HoldSummary!D:D), 0)</f>
        <v>0</v>
      </c>
      <c r="AF376">
        <f>IFERROR(_xlfn.XLOOKUP(B376, HoldSummary!$A:$A, HoldSummary!E:E), 0)</f>
        <v>0</v>
      </c>
      <c r="AG376">
        <f>IFERROR(_xlfn.XLOOKUP(B376, HoldSummary!$A:$A, HoldSummary!F:F), 0)</f>
        <v>10</v>
      </c>
      <c r="AH376">
        <f>IFERROR(_xlfn.XLOOKUP(B376, HoldSummary!$A:$A, HoldSummary!G:G), 0)</f>
        <v>0</v>
      </c>
      <c r="AI376">
        <f>IFERROR(_xlfn.XLOOKUP(B376, HoldSummary!$A:$A, HoldSummary!H:H), 0)</f>
        <v>0</v>
      </c>
      <c r="AJ376">
        <f>IFERROR(_xlfn.XLOOKUP(B376, HoldSummary!$A:$A, HoldSummary!I:I), 0)</f>
        <v>0</v>
      </c>
      <c r="AK376">
        <f t="shared" si="55"/>
        <v>10</v>
      </c>
      <c r="AL376">
        <f t="shared" si="56"/>
        <v>155.43981481481751</v>
      </c>
      <c r="AM376">
        <f t="shared" si="57"/>
        <v>155.43981481481751</v>
      </c>
      <c r="AN376" s="12">
        <f t="shared" si="58"/>
        <v>11.833333333335759</v>
      </c>
      <c r="AO376">
        <f t="shared" si="59"/>
        <v>0</v>
      </c>
    </row>
    <row r="377" spans="1:41" x14ac:dyDescent="0.35">
      <c r="A377" t="s">
        <v>23</v>
      </c>
      <c r="B377" t="s">
        <v>902</v>
      </c>
      <c r="C377" t="s">
        <v>135</v>
      </c>
      <c r="D377" t="s">
        <v>44</v>
      </c>
      <c r="E377" t="s">
        <v>45</v>
      </c>
      <c r="F377" t="s">
        <v>28</v>
      </c>
      <c r="G377">
        <v>18</v>
      </c>
      <c r="H377" t="s">
        <v>903</v>
      </c>
      <c r="I377" t="s">
        <v>30</v>
      </c>
      <c r="J377" t="s">
        <v>31</v>
      </c>
      <c r="K377" t="s">
        <v>32</v>
      </c>
      <c r="L377" t="s">
        <v>32</v>
      </c>
      <c r="M377" t="s">
        <v>33</v>
      </c>
      <c r="N377" s="2">
        <v>45694.263726851852</v>
      </c>
      <c r="O377" s="2">
        <v>45772.166666666664</v>
      </c>
      <c r="P377" s="2">
        <v>45777.166666666664</v>
      </c>
      <c r="Q377" s="2">
        <v>45785</v>
      </c>
      <c r="R377" s="2">
        <v>45786.618136574078</v>
      </c>
      <c r="S377" t="s">
        <v>104</v>
      </c>
      <c r="T377" s="2">
        <v>45727.166666666664</v>
      </c>
      <c r="U377" s="2">
        <v>45727.166666666664</v>
      </c>
      <c r="V377" s="2">
        <v>45728.166666666664</v>
      </c>
      <c r="W377" s="2">
        <v>45728.166666666664</v>
      </c>
      <c r="X377" s="3">
        <f t="shared" si="50"/>
        <v>0</v>
      </c>
      <c r="Y377">
        <f t="shared" si="51"/>
        <v>0</v>
      </c>
      <c r="Z377">
        <f t="shared" si="52"/>
        <v>0</v>
      </c>
      <c r="AA377">
        <f t="shared" si="53"/>
        <v>90.73627314814803</v>
      </c>
      <c r="AB377">
        <f t="shared" si="54"/>
        <v>90.73627314814803</v>
      </c>
      <c r="AC377">
        <f>IFERROR(_xlfn.XLOOKUP(B377, HoldSummary!$A:$A, HoldSummary!B:B), 0)</f>
        <v>0</v>
      </c>
      <c r="AD377">
        <f>IFERROR(_xlfn.XLOOKUP(B377, HoldSummary!$A:$A, HoldSummary!C:C), 0)</f>
        <v>0</v>
      </c>
      <c r="AE377">
        <f>IFERROR(_xlfn.XLOOKUP(B377, HoldSummary!$A:$A, HoldSummary!D:D), 0)</f>
        <v>0</v>
      </c>
      <c r="AF377">
        <f>IFERROR(_xlfn.XLOOKUP(B377, HoldSummary!$A:$A, HoldSummary!E:E), 0)</f>
        <v>0</v>
      </c>
      <c r="AG377">
        <f>IFERROR(_xlfn.XLOOKUP(B377, HoldSummary!$A:$A, HoldSummary!F:F), 0)</f>
        <v>0</v>
      </c>
      <c r="AH377">
        <f>IFERROR(_xlfn.XLOOKUP(B377, HoldSummary!$A:$A, HoldSummary!G:G), 0)</f>
        <v>0</v>
      </c>
      <c r="AI377">
        <f>IFERROR(_xlfn.XLOOKUP(B377, HoldSummary!$A:$A, HoldSummary!H:H), 0)</f>
        <v>0</v>
      </c>
      <c r="AJ377">
        <f>IFERROR(_xlfn.XLOOKUP(B377, HoldSummary!$A:$A, HoldSummary!I:I), 0)</f>
        <v>0</v>
      </c>
      <c r="AK377">
        <f t="shared" si="55"/>
        <v>0</v>
      </c>
      <c r="AL377">
        <f t="shared" si="56"/>
        <v>90.73627314814803</v>
      </c>
      <c r="AM377">
        <f t="shared" si="57"/>
        <v>90.73627314814803</v>
      </c>
      <c r="AN377" s="12">
        <f t="shared" si="58"/>
        <v>12.833333333335759</v>
      </c>
      <c r="AO377">
        <f t="shared" si="59"/>
        <v>0</v>
      </c>
    </row>
    <row r="378" spans="1:41" x14ac:dyDescent="0.35">
      <c r="A378" t="s">
        <v>23</v>
      </c>
      <c r="B378" t="s">
        <v>904</v>
      </c>
      <c r="C378" t="s">
        <v>135</v>
      </c>
      <c r="D378" t="s">
        <v>44</v>
      </c>
      <c r="E378" t="s">
        <v>45</v>
      </c>
      <c r="F378" t="s">
        <v>28</v>
      </c>
      <c r="G378">
        <v>19</v>
      </c>
      <c r="H378" t="s">
        <v>905</v>
      </c>
      <c r="I378" t="s">
        <v>30</v>
      </c>
      <c r="J378" t="s">
        <v>70</v>
      </c>
      <c r="K378" t="s">
        <v>32</v>
      </c>
      <c r="L378" t="s">
        <v>32</v>
      </c>
      <c r="N378" s="2">
        <v>45001.695405092592</v>
      </c>
      <c r="O378" s="2">
        <v>45198.166666666664</v>
      </c>
      <c r="P378" s="2">
        <v>45588.166666666664</v>
      </c>
      <c r="Q378" s="2">
        <v>45584</v>
      </c>
      <c r="R378" s="2">
        <v>45586.776406817131</v>
      </c>
      <c r="S378" t="s">
        <v>834</v>
      </c>
      <c r="T378" s="2">
        <v>45106.166666666664</v>
      </c>
      <c r="U378" s="2">
        <v>45112.166666666664</v>
      </c>
      <c r="V378" s="2">
        <v>45112.166666666664</v>
      </c>
      <c r="W378" s="2">
        <v>45112.166666666664</v>
      </c>
      <c r="X378" s="3">
        <f t="shared" si="50"/>
        <v>6</v>
      </c>
      <c r="Y378">
        <f t="shared" si="51"/>
        <v>0</v>
      </c>
      <c r="Z378">
        <f t="shared" si="52"/>
        <v>6</v>
      </c>
      <c r="AA378">
        <f t="shared" si="53"/>
        <v>582.30459490740759</v>
      </c>
      <c r="AB378">
        <f t="shared" si="54"/>
        <v>576.30459490740759</v>
      </c>
      <c r="AC378">
        <f>IFERROR(_xlfn.XLOOKUP(B378, HoldSummary!$A:$A, HoldSummary!B:B), 0)</f>
        <v>0</v>
      </c>
      <c r="AD378">
        <f>IFERROR(_xlfn.XLOOKUP(B378, HoldSummary!$A:$A, HoldSummary!C:C), 0)</f>
        <v>0</v>
      </c>
      <c r="AE378">
        <f>IFERROR(_xlfn.XLOOKUP(B378, HoldSummary!$A:$A, HoldSummary!D:D), 0)</f>
        <v>0</v>
      </c>
      <c r="AF378">
        <f>IFERROR(_xlfn.XLOOKUP(B378, HoldSummary!$A:$A, HoldSummary!E:E), 0)</f>
        <v>0</v>
      </c>
      <c r="AG378">
        <f>IFERROR(_xlfn.XLOOKUP(B378, HoldSummary!$A:$A, HoldSummary!F:F), 0)</f>
        <v>0</v>
      </c>
      <c r="AH378">
        <f>IFERROR(_xlfn.XLOOKUP(B378, HoldSummary!$A:$A, HoldSummary!G:G), 0)</f>
        <v>0</v>
      </c>
      <c r="AI378">
        <f>IFERROR(_xlfn.XLOOKUP(B378, HoldSummary!$A:$A, HoldSummary!H:H), 0)</f>
        <v>0</v>
      </c>
      <c r="AJ378">
        <f>IFERROR(_xlfn.XLOOKUP(B378, HoldSummary!$A:$A, HoldSummary!I:I), 0)</f>
        <v>0</v>
      </c>
      <c r="AK378">
        <f t="shared" si="55"/>
        <v>0</v>
      </c>
      <c r="AL378">
        <f t="shared" si="56"/>
        <v>582.30459490740759</v>
      </c>
      <c r="AM378">
        <f t="shared" si="57"/>
        <v>576.30459490740759</v>
      </c>
      <c r="AN378" s="12">
        <f t="shared" si="58"/>
        <v>385.83333333333576</v>
      </c>
      <c r="AO378">
        <f t="shared" si="59"/>
        <v>0</v>
      </c>
    </row>
    <row r="379" spans="1:41" x14ac:dyDescent="0.35">
      <c r="A379" t="s">
        <v>23</v>
      </c>
      <c r="B379" t="s">
        <v>906</v>
      </c>
      <c r="C379" t="s">
        <v>76</v>
      </c>
      <c r="D379" t="s">
        <v>44</v>
      </c>
      <c r="E379" t="s">
        <v>45</v>
      </c>
      <c r="F379" t="s">
        <v>28</v>
      </c>
      <c r="G379">
        <v>19</v>
      </c>
      <c r="H379" t="s">
        <v>907</v>
      </c>
      <c r="I379" t="s">
        <v>30</v>
      </c>
      <c r="J379" t="s">
        <v>31</v>
      </c>
      <c r="K379" t="s">
        <v>38</v>
      </c>
      <c r="L379" t="s">
        <v>39</v>
      </c>
      <c r="N379" s="2">
        <v>45322.588946759257</v>
      </c>
      <c r="O379" s="2">
        <v>45623.208333333336</v>
      </c>
      <c r="P379" s="2">
        <v>45623.208333333336</v>
      </c>
      <c r="Q379" s="2">
        <v>45608</v>
      </c>
      <c r="R379" s="2">
        <v>45608.680353113428</v>
      </c>
      <c r="S379" t="s">
        <v>751</v>
      </c>
      <c r="T379" s="2">
        <v>45533.166666666664</v>
      </c>
      <c r="U379" s="2">
        <v>45534.166666666664</v>
      </c>
      <c r="V379" s="2">
        <v>45534.166666666664</v>
      </c>
      <c r="W379" s="2">
        <v>45596.166666666664</v>
      </c>
      <c r="X379" s="3">
        <f t="shared" si="50"/>
        <v>1</v>
      </c>
      <c r="Y379">
        <f t="shared" si="51"/>
        <v>62</v>
      </c>
      <c r="Z379">
        <f t="shared" si="52"/>
        <v>63</v>
      </c>
      <c r="AA379">
        <f t="shared" si="53"/>
        <v>285.41105324074306</v>
      </c>
      <c r="AB379">
        <f t="shared" si="54"/>
        <v>222.41105324074306</v>
      </c>
      <c r="AC379">
        <f>IFERROR(_xlfn.XLOOKUP(B379, HoldSummary!$A:$A, HoldSummary!B:B), 0)</f>
        <v>0</v>
      </c>
      <c r="AD379">
        <f>IFERROR(_xlfn.XLOOKUP(B379, HoldSummary!$A:$A, HoldSummary!C:C), 0)</f>
        <v>0</v>
      </c>
      <c r="AE379">
        <f>IFERROR(_xlfn.XLOOKUP(B379, HoldSummary!$A:$A, HoldSummary!D:D), 0)</f>
        <v>0</v>
      </c>
      <c r="AF379">
        <f>IFERROR(_xlfn.XLOOKUP(B379, HoldSummary!$A:$A, HoldSummary!E:E), 0)</f>
        <v>111</v>
      </c>
      <c r="AG379">
        <f>IFERROR(_xlfn.XLOOKUP(B379, HoldSummary!$A:$A, HoldSummary!F:F), 0)</f>
        <v>0</v>
      </c>
      <c r="AH379">
        <f>IFERROR(_xlfn.XLOOKUP(B379, HoldSummary!$A:$A, HoldSummary!G:G), 0)</f>
        <v>0</v>
      </c>
      <c r="AI379">
        <f>IFERROR(_xlfn.XLOOKUP(B379, HoldSummary!$A:$A, HoldSummary!H:H), 0)</f>
        <v>0</v>
      </c>
      <c r="AJ379">
        <f>IFERROR(_xlfn.XLOOKUP(B379, HoldSummary!$A:$A, HoldSummary!I:I), 0)</f>
        <v>0</v>
      </c>
      <c r="AK379">
        <f t="shared" si="55"/>
        <v>111</v>
      </c>
      <c r="AL379">
        <f t="shared" si="56"/>
        <v>174.41105324074306</v>
      </c>
      <c r="AM379">
        <f t="shared" si="57"/>
        <v>111.41105324074306</v>
      </c>
      <c r="AN379" s="12">
        <f t="shared" si="58"/>
        <v>-15.208333333335759</v>
      </c>
      <c r="AO379">
        <f t="shared" si="59"/>
        <v>1</v>
      </c>
    </row>
    <row r="380" spans="1:41" x14ac:dyDescent="0.35">
      <c r="A380" t="s">
        <v>23</v>
      </c>
      <c r="B380" t="s">
        <v>908</v>
      </c>
      <c r="C380" t="s">
        <v>76</v>
      </c>
      <c r="D380" t="s">
        <v>44</v>
      </c>
      <c r="E380" t="s">
        <v>45</v>
      </c>
      <c r="F380" t="s">
        <v>28</v>
      </c>
      <c r="G380">
        <v>19</v>
      </c>
      <c r="H380" t="s">
        <v>909</v>
      </c>
      <c r="I380" t="s">
        <v>30</v>
      </c>
      <c r="J380" t="s">
        <v>70</v>
      </c>
      <c r="K380" t="s">
        <v>57</v>
      </c>
      <c r="L380" t="s">
        <v>39</v>
      </c>
      <c r="N380" s="2">
        <v>45533.651597222219</v>
      </c>
      <c r="O380" s="2">
        <v>45642.208333333336</v>
      </c>
      <c r="P380" s="2">
        <v>45665.208333333336</v>
      </c>
      <c r="Q380" s="2">
        <v>45664</v>
      </c>
      <c r="R380" s="2">
        <v>45664.711772847222</v>
      </c>
      <c r="S380" t="s">
        <v>595</v>
      </c>
      <c r="T380" s="2"/>
      <c r="U380" s="2"/>
      <c r="V380" s="2"/>
      <c r="W380" s="2"/>
      <c r="X380" s="3" t="str">
        <f t="shared" si="50"/>
        <v/>
      </c>
      <c r="Y380" t="str">
        <f t="shared" si="51"/>
        <v/>
      </c>
      <c r="Z380">
        <f t="shared" si="52"/>
        <v>0</v>
      </c>
      <c r="AA380">
        <f t="shared" si="53"/>
        <v>130.3484027777813</v>
      </c>
      <c r="AB380">
        <f t="shared" si="54"/>
        <v>130.3484027777813</v>
      </c>
      <c r="AC380">
        <f>IFERROR(_xlfn.XLOOKUP(B380, HoldSummary!$A:$A, HoldSummary!B:B), 0)</f>
        <v>0</v>
      </c>
      <c r="AD380">
        <f>IFERROR(_xlfn.XLOOKUP(B380, HoldSummary!$A:$A, HoldSummary!C:C), 0)</f>
        <v>0</v>
      </c>
      <c r="AE380">
        <f>IFERROR(_xlfn.XLOOKUP(B380, HoldSummary!$A:$A, HoldSummary!D:D), 0)</f>
        <v>0</v>
      </c>
      <c r="AF380">
        <f>IFERROR(_xlfn.XLOOKUP(B380, HoldSummary!$A:$A, HoldSummary!E:E), 0)</f>
        <v>0</v>
      </c>
      <c r="AG380">
        <f>IFERROR(_xlfn.XLOOKUP(B380, HoldSummary!$A:$A, HoldSummary!F:F), 0)</f>
        <v>0</v>
      </c>
      <c r="AH380">
        <f>IFERROR(_xlfn.XLOOKUP(B380, HoldSummary!$A:$A, HoldSummary!G:G), 0)</f>
        <v>0</v>
      </c>
      <c r="AI380">
        <f>IFERROR(_xlfn.XLOOKUP(B380, HoldSummary!$A:$A, HoldSummary!H:H), 0)</f>
        <v>0</v>
      </c>
      <c r="AJ380">
        <f>IFERROR(_xlfn.XLOOKUP(B380, HoldSummary!$A:$A, HoldSummary!I:I), 0)</f>
        <v>0</v>
      </c>
      <c r="AK380">
        <f t="shared" si="55"/>
        <v>0</v>
      </c>
      <c r="AL380">
        <f t="shared" si="56"/>
        <v>130.3484027777813</v>
      </c>
      <c r="AM380">
        <f t="shared" si="57"/>
        <v>130.3484027777813</v>
      </c>
      <c r="AN380" s="12">
        <f t="shared" si="58"/>
        <v>21.791666666664241</v>
      </c>
      <c r="AO380">
        <f t="shared" si="59"/>
        <v>0</v>
      </c>
    </row>
    <row r="381" spans="1:41" x14ac:dyDescent="0.35">
      <c r="A381" t="s">
        <v>23</v>
      </c>
      <c r="B381" t="s">
        <v>910</v>
      </c>
      <c r="C381" t="s">
        <v>36</v>
      </c>
      <c r="D381" t="s">
        <v>44</v>
      </c>
      <c r="E381" t="s">
        <v>45</v>
      </c>
      <c r="F381" t="s">
        <v>28</v>
      </c>
      <c r="G381">
        <v>19</v>
      </c>
      <c r="H381" t="s">
        <v>911</v>
      </c>
      <c r="I381" t="s">
        <v>30</v>
      </c>
      <c r="J381" t="s">
        <v>31</v>
      </c>
      <c r="K381" t="s">
        <v>38</v>
      </c>
      <c r="L381" t="s">
        <v>39</v>
      </c>
      <c r="N381" s="2">
        <v>45617.59851851852</v>
      </c>
      <c r="O381" s="2">
        <v>45699.208333333336</v>
      </c>
      <c r="P381" s="2">
        <v>45699.208333333336</v>
      </c>
      <c r="Q381" s="2">
        <v>45691</v>
      </c>
      <c r="R381" s="2">
        <v>45691.913074178243</v>
      </c>
      <c r="T381" s="2"/>
      <c r="U381" s="2"/>
      <c r="V381" s="2"/>
      <c r="W381" s="2"/>
      <c r="X381" s="3" t="str">
        <f t="shared" si="50"/>
        <v/>
      </c>
      <c r="Y381" t="str">
        <f t="shared" si="51"/>
        <v/>
      </c>
      <c r="Z381">
        <f t="shared" si="52"/>
        <v>0</v>
      </c>
      <c r="AA381">
        <f t="shared" si="53"/>
        <v>73.401481481480005</v>
      </c>
      <c r="AB381">
        <f t="shared" si="54"/>
        <v>73.401481481480005</v>
      </c>
      <c r="AC381">
        <f>IFERROR(_xlfn.XLOOKUP(B381, HoldSummary!$A:$A, HoldSummary!B:B), 0)</f>
        <v>0</v>
      </c>
      <c r="AD381">
        <f>IFERROR(_xlfn.XLOOKUP(B381, HoldSummary!$A:$A, HoldSummary!C:C), 0)</f>
        <v>43</v>
      </c>
      <c r="AE381">
        <f>IFERROR(_xlfn.XLOOKUP(B381, HoldSummary!$A:$A, HoldSummary!D:D), 0)</f>
        <v>0</v>
      </c>
      <c r="AF381">
        <f>IFERROR(_xlfn.XLOOKUP(B381, HoldSummary!$A:$A, HoldSummary!E:E), 0)</f>
        <v>0</v>
      </c>
      <c r="AG381">
        <f>IFERROR(_xlfn.XLOOKUP(B381, HoldSummary!$A:$A, HoldSummary!F:F), 0)</f>
        <v>0</v>
      </c>
      <c r="AH381">
        <f>IFERROR(_xlfn.XLOOKUP(B381, HoldSummary!$A:$A, HoldSummary!G:G), 0)</f>
        <v>0</v>
      </c>
      <c r="AI381">
        <f>IFERROR(_xlfn.XLOOKUP(B381, HoldSummary!$A:$A, HoldSummary!H:H), 0)</f>
        <v>0</v>
      </c>
      <c r="AJ381">
        <f>IFERROR(_xlfn.XLOOKUP(B381, HoldSummary!$A:$A, HoldSummary!I:I), 0)</f>
        <v>0</v>
      </c>
      <c r="AK381">
        <f t="shared" si="55"/>
        <v>43</v>
      </c>
      <c r="AL381">
        <f t="shared" si="56"/>
        <v>30.401481481480005</v>
      </c>
      <c r="AM381">
        <f t="shared" si="57"/>
        <v>30.401481481480005</v>
      </c>
      <c r="AN381" s="12">
        <f t="shared" si="58"/>
        <v>-8.2083333333357587</v>
      </c>
      <c r="AO381">
        <f t="shared" si="59"/>
        <v>1</v>
      </c>
    </row>
    <row r="382" spans="1:41" x14ac:dyDescent="0.35">
      <c r="A382" t="s">
        <v>23</v>
      </c>
      <c r="B382" t="s">
        <v>912</v>
      </c>
      <c r="C382" t="s">
        <v>36</v>
      </c>
      <c r="D382" t="s">
        <v>44</v>
      </c>
      <c r="E382" t="s">
        <v>45</v>
      </c>
      <c r="F382" t="s">
        <v>28</v>
      </c>
      <c r="G382">
        <v>19</v>
      </c>
      <c r="H382" t="s">
        <v>913</v>
      </c>
      <c r="I382" t="s">
        <v>30</v>
      </c>
      <c r="J382" t="s">
        <v>31</v>
      </c>
      <c r="K382" t="s">
        <v>48</v>
      </c>
      <c r="L382" t="s">
        <v>192</v>
      </c>
      <c r="M382" t="s">
        <v>81</v>
      </c>
      <c r="N382" s="2">
        <v>45684.929432870369</v>
      </c>
      <c r="O382" s="2">
        <v>45714.208333333336</v>
      </c>
      <c r="P382" s="2">
        <v>45714.208333333336</v>
      </c>
      <c r="Q382" s="2">
        <v>45706</v>
      </c>
      <c r="R382" s="2">
        <v>45707.753457453706</v>
      </c>
      <c r="T382" s="2">
        <v>45685.208333333336</v>
      </c>
      <c r="U382" s="2">
        <v>45686.208333333336</v>
      </c>
      <c r="V382" s="2">
        <v>45686.208333333336</v>
      </c>
      <c r="W382" s="2">
        <v>45704.208333333336</v>
      </c>
      <c r="X382" s="3">
        <f t="shared" si="50"/>
        <v>1</v>
      </c>
      <c r="Y382">
        <f t="shared" si="51"/>
        <v>18</v>
      </c>
      <c r="Z382">
        <f t="shared" si="52"/>
        <v>19</v>
      </c>
      <c r="AA382">
        <f t="shared" si="53"/>
        <v>21.070567129630945</v>
      </c>
      <c r="AB382">
        <f t="shared" si="54"/>
        <v>2.0705671296309447</v>
      </c>
      <c r="AC382">
        <f>IFERROR(_xlfn.XLOOKUP(B382, HoldSummary!$A:$A, HoldSummary!B:B), 0)</f>
        <v>0</v>
      </c>
      <c r="AD382">
        <f>IFERROR(_xlfn.XLOOKUP(B382, HoldSummary!$A:$A, HoldSummary!C:C), 0)</f>
        <v>0</v>
      </c>
      <c r="AE382">
        <f>IFERROR(_xlfn.XLOOKUP(B382, HoldSummary!$A:$A, HoldSummary!D:D), 0)</f>
        <v>0</v>
      </c>
      <c r="AF382">
        <f>IFERROR(_xlfn.XLOOKUP(B382, HoldSummary!$A:$A, HoldSummary!E:E), 0)</f>
        <v>0</v>
      </c>
      <c r="AG382">
        <f>IFERROR(_xlfn.XLOOKUP(B382, HoldSummary!$A:$A, HoldSummary!F:F), 0)</f>
        <v>0</v>
      </c>
      <c r="AH382">
        <f>IFERROR(_xlfn.XLOOKUP(B382, HoldSummary!$A:$A, HoldSummary!G:G), 0)</f>
        <v>0</v>
      </c>
      <c r="AI382">
        <f>IFERROR(_xlfn.XLOOKUP(B382, HoldSummary!$A:$A, HoldSummary!H:H), 0)</f>
        <v>0</v>
      </c>
      <c r="AJ382">
        <f>IFERROR(_xlfn.XLOOKUP(B382, HoldSummary!$A:$A, HoldSummary!I:I), 0)</f>
        <v>0</v>
      </c>
      <c r="AK382">
        <f t="shared" si="55"/>
        <v>0</v>
      </c>
      <c r="AL382">
        <f t="shared" si="56"/>
        <v>21.070567129630945</v>
      </c>
      <c r="AM382">
        <f t="shared" si="57"/>
        <v>2.0705671296309447</v>
      </c>
      <c r="AN382" s="12">
        <f t="shared" si="58"/>
        <v>-8.2083333333357587</v>
      </c>
      <c r="AO382">
        <f t="shared" si="59"/>
        <v>1</v>
      </c>
    </row>
    <row r="383" spans="1:41" x14ac:dyDescent="0.35">
      <c r="A383" t="s">
        <v>23</v>
      </c>
      <c r="B383" t="s">
        <v>914</v>
      </c>
      <c r="C383" t="s">
        <v>76</v>
      </c>
      <c r="D383" t="s">
        <v>44</v>
      </c>
      <c r="E383" t="s">
        <v>45</v>
      </c>
      <c r="F383" t="s">
        <v>28</v>
      </c>
      <c r="G383">
        <v>19</v>
      </c>
      <c r="H383" t="s">
        <v>915</v>
      </c>
      <c r="I383" t="s">
        <v>30</v>
      </c>
      <c r="J383" t="s">
        <v>31</v>
      </c>
      <c r="K383" t="s">
        <v>38</v>
      </c>
      <c r="L383" t="s">
        <v>39</v>
      </c>
      <c r="M383" t="s">
        <v>33</v>
      </c>
      <c r="N383" s="2">
        <v>45693.841365740744</v>
      </c>
      <c r="O383" s="2">
        <v>45713.208333333336</v>
      </c>
      <c r="P383" s="2">
        <v>45713.208333333336</v>
      </c>
      <c r="Q383" s="2">
        <v>45708</v>
      </c>
      <c r="R383" s="2">
        <v>45708.857226504631</v>
      </c>
      <c r="T383" s="2">
        <v>45708.208333333336</v>
      </c>
      <c r="U383" s="2">
        <v>45708.208333333336</v>
      </c>
      <c r="V383" s="2">
        <v>45708.208333333336</v>
      </c>
      <c r="W383" s="2">
        <v>45708.208333333336</v>
      </c>
      <c r="X383" s="3">
        <f t="shared" si="50"/>
        <v>0</v>
      </c>
      <c r="Y383">
        <f t="shared" si="51"/>
        <v>0</v>
      </c>
      <c r="Z383">
        <f t="shared" si="52"/>
        <v>0</v>
      </c>
      <c r="AA383">
        <f t="shared" si="53"/>
        <v>14.15863425925636</v>
      </c>
      <c r="AB383">
        <f t="shared" si="54"/>
        <v>14.15863425925636</v>
      </c>
      <c r="AC383">
        <f>IFERROR(_xlfn.XLOOKUP(B383, HoldSummary!$A:$A, HoldSummary!B:B), 0)</f>
        <v>0</v>
      </c>
      <c r="AD383">
        <f>IFERROR(_xlfn.XLOOKUP(B383, HoldSummary!$A:$A, HoldSummary!C:C), 0)</f>
        <v>0</v>
      </c>
      <c r="AE383">
        <f>IFERROR(_xlfn.XLOOKUP(B383, HoldSummary!$A:$A, HoldSummary!D:D), 0)</f>
        <v>0</v>
      </c>
      <c r="AF383">
        <f>IFERROR(_xlfn.XLOOKUP(B383, HoldSummary!$A:$A, HoldSummary!E:E), 0)</f>
        <v>0</v>
      </c>
      <c r="AG383">
        <f>IFERROR(_xlfn.XLOOKUP(B383, HoldSummary!$A:$A, HoldSummary!F:F), 0)</f>
        <v>0</v>
      </c>
      <c r="AH383">
        <f>IFERROR(_xlfn.XLOOKUP(B383, HoldSummary!$A:$A, HoldSummary!G:G), 0)</f>
        <v>0</v>
      </c>
      <c r="AI383">
        <f>IFERROR(_xlfn.XLOOKUP(B383, HoldSummary!$A:$A, HoldSummary!H:H), 0)</f>
        <v>0</v>
      </c>
      <c r="AJ383">
        <f>IFERROR(_xlfn.XLOOKUP(B383, HoldSummary!$A:$A, HoldSummary!I:I), 0)</f>
        <v>0</v>
      </c>
      <c r="AK383">
        <f t="shared" si="55"/>
        <v>0</v>
      </c>
      <c r="AL383">
        <f t="shared" si="56"/>
        <v>14.15863425925636</v>
      </c>
      <c r="AM383">
        <f t="shared" si="57"/>
        <v>14.15863425925636</v>
      </c>
      <c r="AN383" s="12">
        <f t="shared" si="58"/>
        <v>-5.2083333333357587</v>
      </c>
      <c r="AO383">
        <f t="shared" si="59"/>
        <v>1</v>
      </c>
    </row>
    <row r="384" spans="1:41" x14ac:dyDescent="0.35">
      <c r="A384" t="s">
        <v>23</v>
      </c>
      <c r="B384" t="s">
        <v>916</v>
      </c>
      <c r="C384" t="s">
        <v>36</v>
      </c>
      <c r="D384" t="s">
        <v>44</v>
      </c>
      <c r="E384" t="s">
        <v>45</v>
      </c>
      <c r="F384" t="s">
        <v>28</v>
      </c>
      <c r="G384">
        <v>19</v>
      </c>
      <c r="H384" t="s">
        <v>917</v>
      </c>
      <c r="I384" t="s">
        <v>30</v>
      </c>
      <c r="J384" t="s">
        <v>31</v>
      </c>
      <c r="K384" t="s">
        <v>48</v>
      </c>
      <c r="L384" t="s">
        <v>695</v>
      </c>
      <c r="M384" t="s">
        <v>33</v>
      </c>
      <c r="N384" s="2">
        <v>45700.653495370374</v>
      </c>
      <c r="O384" s="2">
        <v>45730.166666666664</v>
      </c>
      <c r="P384" s="2">
        <v>45730.166666666664</v>
      </c>
      <c r="Q384" s="2">
        <v>45737</v>
      </c>
      <c r="R384" s="2">
        <v>45740.538932488424</v>
      </c>
      <c r="S384" t="s">
        <v>162</v>
      </c>
      <c r="T384" s="2">
        <v>45713.208333333336</v>
      </c>
      <c r="U384" s="2">
        <v>45715.208333333336</v>
      </c>
      <c r="V384" s="2">
        <v>45715.208333333336</v>
      </c>
      <c r="W384" s="2">
        <v>45715.208333333336</v>
      </c>
      <c r="X384" s="3">
        <f t="shared" si="50"/>
        <v>2</v>
      </c>
      <c r="Y384">
        <f t="shared" si="51"/>
        <v>0</v>
      </c>
      <c r="Z384">
        <f t="shared" si="52"/>
        <v>2</v>
      </c>
      <c r="AA384">
        <f t="shared" si="53"/>
        <v>36.346504629625997</v>
      </c>
      <c r="AB384">
        <f t="shared" si="54"/>
        <v>34.346504629625997</v>
      </c>
      <c r="AC384">
        <f>IFERROR(_xlfn.XLOOKUP(B384, HoldSummary!$A:$A, HoldSummary!B:B), 0)</f>
        <v>0</v>
      </c>
      <c r="AD384">
        <f>IFERROR(_xlfn.XLOOKUP(B384, HoldSummary!$A:$A, HoldSummary!C:C), 0)</f>
        <v>5.9057839467568556</v>
      </c>
      <c r="AE384">
        <f>IFERROR(_xlfn.XLOOKUP(B384, HoldSummary!$A:$A, HoldSummary!D:D), 0)</f>
        <v>0</v>
      </c>
      <c r="AF384">
        <f>IFERROR(_xlfn.XLOOKUP(B384, HoldSummary!$A:$A, HoldSummary!E:E), 0)</f>
        <v>0</v>
      </c>
      <c r="AG384">
        <f>IFERROR(_xlfn.XLOOKUP(B384, HoldSummary!$A:$A, HoldSummary!F:F), 0)</f>
        <v>0</v>
      </c>
      <c r="AH384">
        <f>IFERROR(_xlfn.XLOOKUP(B384, HoldSummary!$A:$A, HoldSummary!G:G), 0)</f>
        <v>0</v>
      </c>
      <c r="AI384">
        <f>IFERROR(_xlfn.XLOOKUP(B384, HoldSummary!$A:$A, HoldSummary!H:H), 0)</f>
        <v>0</v>
      </c>
      <c r="AJ384">
        <f>IFERROR(_xlfn.XLOOKUP(B384, HoldSummary!$A:$A, HoldSummary!I:I), 0)</f>
        <v>0</v>
      </c>
      <c r="AK384">
        <f t="shared" si="55"/>
        <v>5.9057839467568556</v>
      </c>
      <c r="AL384">
        <f t="shared" si="56"/>
        <v>30.440720682869141</v>
      </c>
      <c r="AM384">
        <f t="shared" si="57"/>
        <v>28.440720682869141</v>
      </c>
      <c r="AN384" s="12">
        <f t="shared" si="58"/>
        <v>6.8333333333357587</v>
      </c>
      <c r="AO384">
        <f t="shared" si="59"/>
        <v>0</v>
      </c>
    </row>
    <row r="385" spans="1:41" x14ac:dyDescent="0.35">
      <c r="A385" t="s">
        <v>23</v>
      </c>
      <c r="B385">
        <v>111336</v>
      </c>
      <c r="C385" t="s">
        <v>36</v>
      </c>
      <c r="D385" t="s">
        <v>44</v>
      </c>
      <c r="E385" t="s">
        <v>55</v>
      </c>
      <c r="F385" t="s">
        <v>28</v>
      </c>
      <c r="G385">
        <v>19</v>
      </c>
      <c r="H385" t="s">
        <v>918</v>
      </c>
      <c r="I385" t="s">
        <v>30</v>
      </c>
      <c r="J385" t="s">
        <v>31</v>
      </c>
      <c r="K385" t="s">
        <v>57</v>
      </c>
      <c r="L385" t="s">
        <v>39</v>
      </c>
      <c r="M385" t="s">
        <v>33</v>
      </c>
      <c r="N385" s="2">
        <v>45712.208333333336</v>
      </c>
      <c r="O385" s="2">
        <v>45765.166666666664</v>
      </c>
      <c r="P385" s="2">
        <v>45765.166666666664</v>
      </c>
      <c r="Q385" s="2">
        <v>45769</v>
      </c>
      <c r="R385" s="2">
        <v>45769.747007951388</v>
      </c>
      <c r="T385" s="2">
        <v>45744.166666666664</v>
      </c>
      <c r="U385" s="2">
        <v>45744.166666666664</v>
      </c>
      <c r="V385" s="2">
        <v>45748.166666666664</v>
      </c>
      <c r="W385" s="2">
        <v>45755.166666666664</v>
      </c>
      <c r="X385" s="3">
        <f t="shared" si="50"/>
        <v>0</v>
      </c>
      <c r="Y385">
        <f t="shared" si="51"/>
        <v>7</v>
      </c>
      <c r="Z385">
        <f t="shared" si="52"/>
        <v>7</v>
      </c>
      <c r="AA385">
        <f t="shared" si="53"/>
        <v>56.791666666664241</v>
      </c>
      <c r="AB385">
        <f t="shared" si="54"/>
        <v>49.791666666664241</v>
      </c>
      <c r="AC385">
        <f>IFERROR(_xlfn.XLOOKUP(B385, HoldSummary!$A:$A, HoldSummary!B:B), 0)</f>
        <v>0</v>
      </c>
      <c r="AD385">
        <f>IFERROR(_xlfn.XLOOKUP(B385, HoldSummary!$A:$A, HoldSummary!C:C), 0)</f>
        <v>5</v>
      </c>
      <c r="AE385">
        <f>IFERROR(_xlfn.XLOOKUP(B385, HoldSummary!$A:$A, HoldSummary!D:D), 0)</f>
        <v>0</v>
      </c>
      <c r="AF385">
        <f>IFERROR(_xlfn.XLOOKUP(B385, HoldSummary!$A:$A, HoldSummary!E:E), 0)</f>
        <v>0</v>
      </c>
      <c r="AG385">
        <f>IFERROR(_xlfn.XLOOKUP(B385, HoldSummary!$A:$A, HoldSummary!F:F), 0)</f>
        <v>0</v>
      </c>
      <c r="AH385">
        <f>IFERROR(_xlfn.XLOOKUP(B385, HoldSummary!$A:$A, HoldSummary!G:G), 0)</f>
        <v>0</v>
      </c>
      <c r="AI385">
        <f>IFERROR(_xlfn.XLOOKUP(B385, HoldSummary!$A:$A, HoldSummary!H:H), 0)</f>
        <v>0</v>
      </c>
      <c r="AJ385">
        <f>IFERROR(_xlfn.XLOOKUP(B385, HoldSummary!$A:$A, HoldSummary!I:I), 0)</f>
        <v>0</v>
      </c>
      <c r="AK385">
        <f t="shared" si="55"/>
        <v>5</v>
      </c>
      <c r="AL385">
        <f t="shared" si="56"/>
        <v>51.791666666664241</v>
      </c>
      <c r="AM385">
        <f t="shared" si="57"/>
        <v>44.791666666664241</v>
      </c>
      <c r="AN385" s="12">
        <f t="shared" si="58"/>
        <v>3.8333333333357587</v>
      </c>
      <c r="AO385">
        <f t="shared" si="59"/>
        <v>0</v>
      </c>
    </row>
    <row r="386" spans="1:41" x14ac:dyDescent="0.35">
      <c r="A386" t="s">
        <v>23</v>
      </c>
      <c r="B386" t="s">
        <v>919</v>
      </c>
      <c r="C386" t="s">
        <v>54</v>
      </c>
      <c r="D386" t="s">
        <v>44</v>
      </c>
      <c r="E386" t="s">
        <v>45</v>
      </c>
      <c r="F386" t="s">
        <v>28</v>
      </c>
      <c r="G386">
        <v>19</v>
      </c>
      <c r="H386" t="s">
        <v>920</v>
      </c>
      <c r="I386" t="s">
        <v>30</v>
      </c>
      <c r="J386" t="s">
        <v>31</v>
      </c>
      <c r="K386" t="s">
        <v>38</v>
      </c>
      <c r="L386" t="s">
        <v>39</v>
      </c>
      <c r="M386" t="s">
        <v>33</v>
      </c>
      <c r="N386" s="2">
        <v>45698.56585648148</v>
      </c>
      <c r="O386" s="2">
        <v>45856.166666666664</v>
      </c>
      <c r="P386" s="2">
        <v>45869.166666666664</v>
      </c>
      <c r="Q386" s="2">
        <v>45856</v>
      </c>
      <c r="R386" s="2">
        <v>45859.766411226854</v>
      </c>
      <c r="S386" t="s">
        <v>921</v>
      </c>
      <c r="T386" s="2">
        <v>45763.166666666664</v>
      </c>
      <c r="U386" s="2">
        <v>45763.166666666664</v>
      </c>
      <c r="V386" s="2">
        <v>45834.166666666664</v>
      </c>
      <c r="W386" s="2">
        <v>45838.166666666664</v>
      </c>
      <c r="X386" s="3">
        <f t="shared" si="50"/>
        <v>0</v>
      </c>
      <c r="Y386">
        <f t="shared" si="51"/>
        <v>4</v>
      </c>
      <c r="Z386">
        <f t="shared" si="52"/>
        <v>4</v>
      </c>
      <c r="AA386">
        <f t="shared" si="53"/>
        <v>157.4341435185197</v>
      </c>
      <c r="AB386">
        <f t="shared" si="54"/>
        <v>153.4341435185197</v>
      </c>
      <c r="AC386">
        <f>IFERROR(_xlfn.XLOOKUP(B386, HoldSummary!$A:$A, HoldSummary!B:B), 0)</f>
        <v>1</v>
      </c>
      <c r="AD386">
        <f>IFERROR(_xlfn.XLOOKUP(B386, HoldSummary!$A:$A, HoldSummary!C:C), 0)</f>
        <v>32</v>
      </c>
      <c r="AE386">
        <f>IFERROR(_xlfn.XLOOKUP(B386, HoldSummary!$A:$A, HoldSummary!D:D), 0)</f>
        <v>0</v>
      </c>
      <c r="AF386">
        <f>IFERROR(_xlfn.XLOOKUP(B386, HoldSummary!$A:$A, HoldSummary!E:E), 0)</f>
        <v>0</v>
      </c>
      <c r="AG386">
        <f>IFERROR(_xlfn.XLOOKUP(B386, HoldSummary!$A:$A, HoldSummary!F:F), 0)</f>
        <v>21</v>
      </c>
      <c r="AH386">
        <f>IFERROR(_xlfn.XLOOKUP(B386, HoldSummary!$A:$A, HoldSummary!G:G), 0)</f>
        <v>0</v>
      </c>
      <c r="AI386">
        <f>IFERROR(_xlfn.XLOOKUP(B386, HoldSummary!$A:$A, HoldSummary!H:H), 0)</f>
        <v>0</v>
      </c>
      <c r="AJ386">
        <f>IFERROR(_xlfn.XLOOKUP(B386, HoldSummary!$A:$A, HoldSummary!I:I), 0)</f>
        <v>0</v>
      </c>
      <c r="AK386">
        <f t="shared" si="55"/>
        <v>54</v>
      </c>
      <c r="AL386">
        <f t="shared" si="56"/>
        <v>103.4341435185197</v>
      </c>
      <c r="AM386">
        <f t="shared" si="57"/>
        <v>99.434143518519704</v>
      </c>
      <c r="AN386" s="12">
        <f t="shared" si="58"/>
        <v>-0.16666666666424135</v>
      </c>
      <c r="AO386">
        <f t="shared" si="59"/>
        <v>1</v>
      </c>
    </row>
    <row r="387" spans="1:41" x14ac:dyDescent="0.35">
      <c r="A387" t="s">
        <v>23</v>
      </c>
      <c r="B387" t="s">
        <v>922</v>
      </c>
      <c r="C387" t="s">
        <v>409</v>
      </c>
      <c r="D387" t="s">
        <v>44</v>
      </c>
      <c r="E387" t="s">
        <v>45</v>
      </c>
      <c r="F387" t="s">
        <v>28</v>
      </c>
      <c r="G387">
        <v>20</v>
      </c>
      <c r="H387" t="s">
        <v>923</v>
      </c>
      <c r="I387" t="s">
        <v>30</v>
      </c>
      <c r="J387" t="s">
        <v>70</v>
      </c>
      <c r="K387" t="s">
        <v>48</v>
      </c>
      <c r="L387" t="s">
        <v>49</v>
      </c>
      <c r="N387" s="2">
        <v>45236.862349537034</v>
      </c>
      <c r="O387" s="2">
        <v>45750.166666666664</v>
      </c>
      <c r="P387" s="2">
        <v>45856.166666666664</v>
      </c>
      <c r="Q387" s="2">
        <v>45840</v>
      </c>
      <c r="R387" s="2">
        <v>45847.636121909723</v>
      </c>
      <c r="S387" t="s">
        <v>924</v>
      </c>
      <c r="T387" s="2">
        <v>45471.166666666664</v>
      </c>
      <c r="U387" s="2">
        <v>45502.166666666664</v>
      </c>
      <c r="V387" s="2">
        <v>45502.166666666664</v>
      </c>
      <c r="W387" s="2">
        <v>45503.166666666664</v>
      </c>
      <c r="X387" s="3">
        <f t="shared" ref="X387:X450" si="60">IF(OR(ISBLANK(T387), ISBLANK(U387)), "", U387 - T387)</f>
        <v>31</v>
      </c>
      <c r="Y387">
        <f t="shared" ref="Y387:Y450" si="61">IF(OR(ISBLANK(V387), ISBLANK(W387)), "", W387 - V387)</f>
        <v>1</v>
      </c>
      <c r="Z387">
        <f t="shared" ref="Z387:Z450" si="62">N(X387) + N(Y387)</f>
        <v>32</v>
      </c>
      <c r="AA387">
        <f t="shared" ref="AA387:AA450" si="63">IF(OR(ISBLANK(N387), ISBLANK(Q387)), "", Q387 - N387)</f>
        <v>603.13765046296612</v>
      </c>
      <c r="AB387">
        <f t="shared" ref="AB387:AB450" si="64">IF(AA387="", "", AA387 - Z387)</f>
        <v>571.13765046296612</v>
      </c>
      <c r="AC387">
        <f>IFERROR(_xlfn.XLOOKUP(B387, HoldSummary!$A:$A, HoldSummary!B:B), 0)</f>
        <v>0</v>
      </c>
      <c r="AD387">
        <f>IFERROR(_xlfn.XLOOKUP(B387, HoldSummary!$A:$A, HoldSummary!C:C), 0)</f>
        <v>0</v>
      </c>
      <c r="AE387">
        <f>IFERROR(_xlfn.XLOOKUP(B387, HoldSummary!$A:$A, HoldSummary!D:D), 0)</f>
        <v>0</v>
      </c>
      <c r="AF387">
        <f>IFERROR(_xlfn.XLOOKUP(B387, HoldSummary!$A:$A, HoldSummary!E:E), 0)</f>
        <v>0</v>
      </c>
      <c r="AG387">
        <f>IFERROR(_xlfn.XLOOKUP(B387, HoldSummary!$A:$A, HoldSummary!F:F), 0)</f>
        <v>0</v>
      </c>
      <c r="AH387">
        <f>IFERROR(_xlfn.XLOOKUP(B387, HoldSummary!$A:$A, HoldSummary!G:G), 0)</f>
        <v>0.75999459491140442</v>
      </c>
      <c r="AI387">
        <f>IFERROR(_xlfn.XLOOKUP(B387, HoldSummary!$A:$A, HoldSummary!H:H), 0)</f>
        <v>0</v>
      </c>
      <c r="AJ387">
        <f>IFERROR(_xlfn.XLOOKUP(B387, HoldSummary!$A:$A, HoldSummary!I:I), 0)</f>
        <v>0</v>
      </c>
      <c r="AK387">
        <f t="shared" ref="AK387:AK450" si="65">SUM(AC387:AJ387)</f>
        <v>0.75999459491140442</v>
      </c>
      <c r="AL387">
        <f t="shared" ref="AL387:AL450" si="66">IF(AA387="", "", AA387 - AK387)</f>
        <v>602.37765586805472</v>
      </c>
      <c r="AM387">
        <f t="shared" ref="AM387:AM450" si="67">IF(OR(AK387="", AB387=""), "", AB387 - AK387)</f>
        <v>570.37765586805472</v>
      </c>
      <c r="AN387" s="12">
        <f t="shared" ref="AN387:AN450" si="68">Q387-O387</f>
        <v>89.833333333335759</v>
      </c>
      <c r="AO387">
        <f t="shared" ref="AO387:AO450" si="69">IF(OR(ISBLANK(O387), ISBLANK(Q387)), 1, IF(AN387&lt;=0,1,0))</f>
        <v>0</v>
      </c>
    </row>
    <row r="388" spans="1:41" x14ac:dyDescent="0.35">
      <c r="A388" t="s">
        <v>23</v>
      </c>
      <c r="B388" t="s">
        <v>925</v>
      </c>
      <c r="C388" t="s">
        <v>130</v>
      </c>
      <c r="D388" t="s">
        <v>44</v>
      </c>
      <c r="E388" t="s">
        <v>45</v>
      </c>
      <c r="F388" t="s">
        <v>28</v>
      </c>
      <c r="G388">
        <v>20</v>
      </c>
      <c r="H388" t="s">
        <v>926</v>
      </c>
      <c r="I388" t="s">
        <v>30</v>
      </c>
      <c r="J388" t="s">
        <v>31</v>
      </c>
      <c r="K388" t="s">
        <v>48</v>
      </c>
      <c r="L388" t="s">
        <v>49</v>
      </c>
      <c r="M388" t="s">
        <v>33</v>
      </c>
      <c r="N388" s="2">
        <v>45457.575277777774</v>
      </c>
      <c r="O388" s="2">
        <v>45722.208333333336</v>
      </c>
      <c r="P388" s="2">
        <v>45790.166666666664</v>
      </c>
      <c r="Q388" s="2">
        <v>45772</v>
      </c>
      <c r="R388" s="2">
        <v>45775.53598148148</v>
      </c>
      <c r="S388" t="s">
        <v>927</v>
      </c>
      <c r="T388" s="2">
        <v>45498.166666666664</v>
      </c>
      <c r="U388" s="2">
        <v>45504.166666666664</v>
      </c>
      <c r="V388" s="2">
        <v>45504.166666666664</v>
      </c>
      <c r="W388" s="2">
        <v>45649.208333333336</v>
      </c>
      <c r="X388" s="3">
        <f t="shared" si="60"/>
        <v>6</v>
      </c>
      <c r="Y388">
        <f t="shared" si="61"/>
        <v>145.04166666667152</v>
      </c>
      <c r="Z388">
        <f t="shared" si="62"/>
        <v>151.04166666667152</v>
      </c>
      <c r="AA388">
        <f t="shared" si="63"/>
        <v>314.42472222222568</v>
      </c>
      <c r="AB388">
        <f t="shared" si="64"/>
        <v>163.38305555555417</v>
      </c>
      <c r="AC388">
        <f>IFERROR(_xlfn.XLOOKUP(B388, HoldSummary!$A:$A, HoldSummary!B:B), 0)</f>
        <v>2.758059756939474</v>
      </c>
      <c r="AD388">
        <f>IFERROR(_xlfn.XLOOKUP(B388, HoldSummary!$A:$A, HoldSummary!C:C), 0)</f>
        <v>0</v>
      </c>
      <c r="AE388">
        <f>IFERROR(_xlfn.XLOOKUP(B388, HoldSummary!$A:$A, HoldSummary!D:D), 0)</f>
        <v>0</v>
      </c>
      <c r="AF388">
        <f>IFERROR(_xlfn.XLOOKUP(B388, HoldSummary!$A:$A, HoldSummary!E:E), 0)</f>
        <v>0</v>
      </c>
      <c r="AG388">
        <f>IFERROR(_xlfn.XLOOKUP(B388, HoldSummary!$A:$A, HoldSummary!F:F), 0)</f>
        <v>0</v>
      </c>
      <c r="AH388">
        <f>IFERROR(_xlfn.XLOOKUP(B388, HoldSummary!$A:$A, HoldSummary!G:G), 0)</f>
        <v>0</v>
      </c>
      <c r="AI388">
        <f>IFERROR(_xlfn.XLOOKUP(B388, HoldSummary!$A:$A, HoldSummary!H:H), 0)</f>
        <v>0</v>
      </c>
      <c r="AJ388">
        <f>IFERROR(_xlfn.XLOOKUP(B388, HoldSummary!$A:$A, HoldSummary!I:I), 0)</f>
        <v>0</v>
      </c>
      <c r="AK388">
        <f t="shared" si="65"/>
        <v>2.758059756939474</v>
      </c>
      <c r="AL388">
        <f t="shared" si="66"/>
        <v>311.66666246528621</v>
      </c>
      <c r="AM388">
        <f t="shared" si="67"/>
        <v>160.62499579861469</v>
      </c>
      <c r="AN388" s="12">
        <f t="shared" si="68"/>
        <v>49.791666666664241</v>
      </c>
      <c r="AO388">
        <f t="shared" si="69"/>
        <v>0</v>
      </c>
    </row>
    <row r="389" spans="1:41" x14ac:dyDescent="0.35">
      <c r="A389" t="s">
        <v>23</v>
      </c>
      <c r="B389" t="s">
        <v>928</v>
      </c>
      <c r="C389" t="s">
        <v>244</v>
      </c>
      <c r="D389" t="s">
        <v>44</v>
      </c>
      <c r="E389" t="s">
        <v>45</v>
      </c>
      <c r="F389" t="s">
        <v>28</v>
      </c>
      <c r="G389">
        <v>20</v>
      </c>
      <c r="H389" t="s">
        <v>929</v>
      </c>
      <c r="I389" t="s">
        <v>30</v>
      </c>
      <c r="J389" t="s">
        <v>31</v>
      </c>
      <c r="K389" t="s">
        <v>38</v>
      </c>
      <c r="L389" t="s">
        <v>39</v>
      </c>
      <c r="M389" t="s">
        <v>81</v>
      </c>
      <c r="N389" s="2">
        <v>45482.76761574074</v>
      </c>
      <c r="O389" s="2">
        <v>45712.208333333336</v>
      </c>
      <c r="P389" s="2">
        <v>45740.166666666664</v>
      </c>
      <c r="Q389" s="2">
        <v>45674</v>
      </c>
      <c r="R389" s="2">
        <v>45674.90472849537</v>
      </c>
      <c r="T389" s="2">
        <v>45567.166666666664</v>
      </c>
      <c r="U389" s="2">
        <v>45617.208333333336</v>
      </c>
      <c r="V389" s="2">
        <v>45617.208333333336</v>
      </c>
      <c r="W389" s="2">
        <v>45643.208333333336</v>
      </c>
      <c r="X389" s="3">
        <f t="shared" si="60"/>
        <v>50.041666666671517</v>
      </c>
      <c r="Y389">
        <f t="shared" si="61"/>
        <v>26</v>
      </c>
      <c r="Z389">
        <f t="shared" si="62"/>
        <v>76.041666666671517</v>
      </c>
      <c r="AA389">
        <f t="shared" si="63"/>
        <v>191.23238425925956</v>
      </c>
      <c r="AB389">
        <f t="shared" si="64"/>
        <v>115.19071759258804</v>
      </c>
      <c r="AC389">
        <f>IFERROR(_xlfn.XLOOKUP(B389, HoldSummary!$A:$A, HoldSummary!B:B), 0)</f>
        <v>0</v>
      </c>
      <c r="AD389">
        <f>IFERROR(_xlfn.XLOOKUP(B389, HoldSummary!$A:$A, HoldSummary!C:C), 0)</f>
        <v>5</v>
      </c>
      <c r="AE389">
        <f>IFERROR(_xlfn.XLOOKUP(B389, HoldSummary!$A:$A, HoldSummary!D:D), 0)</f>
        <v>0</v>
      </c>
      <c r="AF389">
        <f>IFERROR(_xlfn.XLOOKUP(B389, HoldSummary!$A:$A, HoldSummary!E:E), 0)</f>
        <v>73</v>
      </c>
      <c r="AG389">
        <f>IFERROR(_xlfn.XLOOKUP(B389, HoldSummary!$A:$A, HoldSummary!F:F), 0)</f>
        <v>0</v>
      </c>
      <c r="AH389">
        <f>IFERROR(_xlfn.XLOOKUP(B389, HoldSummary!$A:$A, HoldSummary!G:G), 0)</f>
        <v>33</v>
      </c>
      <c r="AI389">
        <f>IFERROR(_xlfn.XLOOKUP(B389, HoldSummary!$A:$A, HoldSummary!H:H), 0)</f>
        <v>0</v>
      </c>
      <c r="AJ389">
        <f>IFERROR(_xlfn.XLOOKUP(B389, HoldSummary!$A:$A, HoldSummary!I:I), 0)</f>
        <v>0</v>
      </c>
      <c r="AK389">
        <f t="shared" si="65"/>
        <v>111</v>
      </c>
      <c r="AL389">
        <f t="shared" si="66"/>
        <v>80.232384259259561</v>
      </c>
      <c r="AM389">
        <f t="shared" si="67"/>
        <v>4.1907175925880438</v>
      </c>
      <c r="AN389" s="12">
        <f t="shared" si="68"/>
        <v>-38.208333333335759</v>
      </c>
      <c r="AO389">
        <f t="shared" si="69"/>
        <v>1</v>
      </c>
    </row>
    <row r="390" spans="1:41" x14ac:dyDescent="0.35">
      <c r="A390" t="s">
        <v>23</v>
      </c>
      <c r="B390">
        <v>108089</v>
      </c>
      <c r="C390" t="s">
        <v>76</v>
      </c>
      <c r="D390" t="s">
        <v>44</v>
      </c>
      <c r="E390" t="s">
        <v>55</v>
      </c>
      <c r="F390" t="s">
        <v>28</v>
      </c>
      <c r="G390">
        <v>20</v>
      </c>
      <c r="H390" t="s">
        <v>930</v>
      </c>
      <c r="I390" t="s">
        <v>30</v>
      </c>
      <c r="J390" t="s">
        <v>31</v>
      </c>
      <c r="K390" t="s">
        <v>57</v>
      </c>
      <c r="L390" t="s">
        <v>39</v>
      </c>
      <c r="M390" t="s">
        <v>33</v>
      </c>
      <c r="N390" s="2">
        <v>45538.166666666664</v>
      </c>
      <c r="O390" s="2">
        <v>45608.208333333336</v>
      </c>
      <c r="P390" s="2">
        <v>45608.208333333336</v>
      </c>
      <c r="Q390" s="2">
        <v>45601</v>
      </c>
      <c r="R390" s="2">
        <v>45602.643363541669</v>
      </c>
      <c r="S390" t="s">
        <v>751</v>
      </c>
      <c r="T390" s="2">
        <v>45569.166666666664</v>
      </c>
      <c r="U390" s="2">
        <v>45574.166666666664</v>
      </c>
      <c r="V390" s="2">
        <v>45574.166666666664</v>
      </c>
      <c r="W390" s="2">
        <v>45580.166666666664</v>
      </c>
      <c r="X390" s="3">
        <f t="shared" si="60"/>
        <v>5</v>
      </c>
      <c r="Y390">
        <f t="shared" si="61"/>
        <v>6</v>
      </c>
      <c r="Z390">
        <f t="shared" si="62"/>
        <v>11</v>
      </c>
      <c r="AA390">
        <f t="shared" si="63"/>
        <v>62.833333333335759</v>
      </c>
      <c r="AB390">
        <f t="shared" si="64"/>
        <v>51.833333333335759</v>
      </c>
      <c r="AC390">
        <f>IFERROR(_xlfn.XLOOKUP(B390, HoldSummary!$A:$A, HoldSummary!B:B), 0)</f>
        <v>4</v>
      </c>
      <c r="AD390">
        <f>IFERROR(_xlfn.XLOOKUP(B390, HoldSummary!$A:$A, HoldSummary!C:C), 0)</f>
        <v>0</v>
      </c>
      <c r="AE390">
        <f>IFERROR(_xlfn.XLOOKUP(B390, HoldSummary!$A:$A, HoldSummary!D:D), 0)</f>
        <v>0</v>
      </c>
      <c r="AF390">
        <f>IFERROR(_xlfn.XLOOKUP(B390, HoldSummary!$A:$A, HoldSummary!E:E), 0)</f>
        <v>0</v>
      </c>
      <c r="AG390">
        <f>IFERROR(_xlfn.XLOOKUP(B390, HoldSummary!$A:$A, HoldSummary!F:F), 0)</f>
        <v>0</v>
      </c>
      <c r="AH390">
        <f>IFERROR(_xlfn.XLOOKUP(B390, HoldSummary!$A:$A, HoldSummary!G:G), 0)</f>
        <v>0</v>
      </c>
      <c r="AI390">
        <f>IFERROR(_xlfn.XLOOKUP(B390, HoldSummary!$A:$A, HoldSummary!H:H), 0)</f>
        <v>0</v>
      </c>
      <c r="AJ390">
        <f>IFERROR(_xlfn.XLOOKUP(B390, HoldSummary!$A:$A, HoldSummary!I:I), 0)</f>
        <v>0</v>
      </c>
      <c r="AK390">
        <f t="shared" si="65"/>
        <v>4</v>
      </c>
      <c r="AL390">
        <f t="shared" si="66"/>
        <v>58.833333333335759</v>
      </c>
      <c r="AM390">
        <f t="shared" si="67"/>
        <v>47.833333333335759</v>
      </c>
      <c r="AN390" s="12">
        <f t="shared" si="68"/>
        <v>-7.2083333333357587</v>
      </c>
      <c r="AO390">
        <f t="shared" si="69"/>
        <v>1</v>
      </c>
    </row>
    <row r="391" spans="1:41" x14ac:dyDescent="0.35">
      <c r="A391" t="s">
        <v>23</v>
      </c>
      <c r="B391" t="s">
        <v>931</v>
      </c>
      <c r="C391" t="s">
        <v>461</v>
      </c>
      <c r="D391" t="s">
        <v>44</v>
      </c>
      <c r="E391" t="s">
        <v>45</v>
      </c>
      <c r="F391" t="s">
        <v>28</v>
      </c>
      <c r="G391">
        <v>20</v>
      </c>
      <c r="H391" t="s">
        <v>932</v>
      </c>
      <c r="I391" t="s">
        <v>30</v>
      </c>
      <c r="J391" t="s">
        <v>70</v>
      </c>
      <c r="K391" t="s">
        <v>38</v>
      </c>
      <c r="L391" t="s">
        <v>39</v>
      </c>
      <c r="M391" t="s">
        <v>33</v>
      </c>
      <c r="N391" s="2">
        <v>45587.483831018515</v>
      </c>
      <c r="O391" s="2">
        <v>45637.208333333336</v>
      </c>
      <c r="P391" s="2">
        <v>45637.208333333336</v>
      </c>
      <c r="Q391" s="2">
        <v>45616</v>
      </c>
      <c r="R391" s="2">
        <v>45616.75885820602</v>
      </c>
      <c r="T391" s="2"/>
      <c r="U391" s="2"/>
      <c r="V391" s="2"/>
      <c r="W391" s="2"/>
      <c r="X391" s="3" t="str">
        <f t="shared" si="60"/>
        <v/>
      </c>
      <c r="Y391" t="str">
        <f t="shared" si="61"/>
        <v/>
      </c>
      <c r="Z391">
        <f t="shared" si="62"/>
        <v>0</v>
      </c>
      <c r="AA391">
        <f t="shared" si="63"/>
        <v>28.516168981484952</v>
      </c>
      <c r="AB391">
        <f t="shared" si="64"/>
        <v>28.516168981484952</v>
      </c>
      <c r="AC391">
        <f>IFERROR(_xlfn.XLOOKUP(B391, HoldSummary!$A:$A, HoldSummary!B:B), 0)</f>
        <v>0</v>
      </c>
      <c r="AD391">
        <f>IFERROR(_xlfn.XLOOKUP(B391, HoldSummary!$A:$A, HoldSummary!C:C), 0)</f>
        <v>0</v>
      </c>
      <c r="AE391">
        <f>IFERROR(_xlfn.XLOOKUP(B391, HoldSummary!$A:$A, HoldSummary!D:D), 0)</f>
        <v>0</v>
      </c>
      <c r="AF391">
        <f>IFERROR(_xlfn.XLOOKUP(B391, HoldSummary!$A:$A, HoldSummary!E:E), 0)</f>
        <v>0</v>
      </c>
      <c r="AG391">
        <f>IFERROR(_xlfn.XLOOKUP(B391, HoldSummary!$A:$A, HoldSummary!F:F), 0)</f>
        <v>0</v>
      </c>
      <c r="AH391">
        <f>IFERROR(_xlfn.XLOOKUP(B391, HoldSummary!$A:$A, HoldSummary!G:G), 0)</f>
        <v>0</v>
      </c>
      <c r="AI391">
        <f>IFERROR(_xlfn.XLOOKUP(B391, HoldSummary!$A:$A, HoldSummary!H:H), 0)</f>
        <v>0</v>
      </c>
      <c r="AJ391">
        <f>IFERROR(_xlfn.XLOOKUP(B391, HoldSummary!$A:$A, HoldSummary!I:I), 0)</f>
        <v>0</v>
      </c>
      <c r="AK391">
        <f t="shared" si="65"/>
        <v>0</v>
      </c>
      <c r="AL391">
        <f t="shared" si="66"/>
        <v>28.516168981484952</v>
      </c>
      <c r="AM391">
        <f t="shared" si="67"/>
        <v>28.516168981484952</v>
      </c>
      <c r="AN391" s="12">
        <f t="shared" si="68"/>
        <v>-21.208333333335759</v>
      </c>
      <c r="AO391">
        <f t="shared" si="69"/>
        <v>1</v>
      </c>
    </row>
    <row r="392" spans="1:41" x14ac:dyDescent="0.35">
      <c r="A392" t="s">
        <v>23</v>
      </c>
      <c r="B392" t="s">
        <v>933</v>
      </c>
      <c r="C392" t="s">
        <v>36</v>
      </c>
      <c r="D392" t="s">
        <v>44</v>
      </c>
      <c r="E392" t="s">
        <v>45</v>
      </c>
      <c r="F392" t="s">
        <v>28</v>
      </c>
      <c r="G392">
        <v>20</v>
      </c>
      <c r="H392" t="s">
        <v>934</v>
      </c>
      <c r="I392" t="s">
        <v>30</v>
      </c>
      <c r="J392" t="s">
        <v>70</v>
      </c>
      <c r="K392" t="s">
        <v>38</v>
      </c>
      <c r="L392" t="s">
        <v>39</v>
      </c>
      <c r="M392" t="s">
        <v>81</v>
      </c>
      <c r="N392" s="2">
        <v>45621.837453703702</v>
      </c>
      <c r="O392" s="2">
        <v>45686.208333333336</v>
      </c>
      <c r="P392" s="2">
        <v>45723.208333333336</v>
      </c>
      <c r="Q392" s="2">
        <v>45726</v>
      </c>
      <c r="R392" s="2">
        <v>45726.630394756947</v>
      </c>
      <c r="S392" t="s">
        <v>935</v>
      </c>
      <c r="T392" s="2"/>
      <c r="U392" s="2"/>
      <c r="V392" s="2"/>
      <c r="W392" s="2"/>
      <c r="X392" s="3" t="str">
        <f t="shared" si="60"/>
        <v/>
      </c>
      <c r="Y392" t="str">
        <f t="shared" si="61"/>
        <v/>
      </c>
      <c r="Z392">
        <f t="shared" si="62"/>
        <v>0</v>
      </c>
      <c r="AA392">
        <f t="shared" si="63"/>
        <v>104.16254629629839</v>
      </c>
      <c r="AB392">
        <f t="shared" si="64"/>
        <v>104.16254629629839</v>
      </c>
      <c r="AC392">
        <f>IFERROR(_xlfn.XLOOKUP(B392, HoldSummary!$A:$A, HoldSummary!B:B), 0)</f>
        <v>0</v>
      </c>
      <c r="AD392">
        <f>IFERROR(_xlfn.XLOOKUP(B392, HoldSummary!$A:$A, HoldSummary!C:C), 0)</f>
        <v>0</v>
      </c>
      <c r="AE392">
        <f>IFERROR(_xlfn.XLOOKUP(B392, HoldSummary!$A:$A, HoldSummary!D:D), 0)</f>
        <v>0</v>
      </c>
      <c r="AF392">
        <f>IFERROR(_xlfn.XLOOKUP(B392, HoldSummary!$A:$A, HoldSummary!E:E), 0)</f>
        <v>0</v>
      </c>
      <c r="AG392">
        <f>IFERROR(_xlfn.XLOOKUP(B392, HoldSummary!$A:$A, HoldSummary!F:F), 0)</f>
        <v>0</v>
      </c>
      <c r="AH392">
        <f>IFERROR(_xlfn.XLOOKUP(B392, HoldSummary!$A:$A, HoldSummary!G:G), 0)</f>
        <v>0</v>
      </c>
      <c r="AI392">
        <f>IFERROR(_xlfn.XLOOKUP(B392, HoldSummary!$A:$A, HoldSummary!H:H), 0)</f>
        <v>0</v>
      </c>
      <c r="AJ392">
        <f>IFERROR(_xlfn.XLOOKUP(B392, HoldSummary!$A:$A, HoldSummary!I:I), 0)</f>
        <v>0</v>
      </c>
      <c r="AK392">
        <f t="shared" si="65"/>
        <v>0</v>
      </c>
      <c r="AL392">
        <f t="shared" si="66"/>
        <v>104.16254629629839</v>
      </c>
      <c r="AM392">
        <f t="shared" si="67"/>
        <v>104.16254629629839</v>
      </c>
      <c r="AN392" s="12">
        <f t="shared" si="68"/>
        <v>39.791666666664241</v>
      </c>
      <c r="AO392">
        <f t="shared" si="69"/>
        <v>0</v>
      </c>
    </row>
    <row r="393" spans="1:41" x14ac:dyDescent="0.35">
      <c r="A393" t="s">
        <v>23</v>
      </c>
      <c r="B393" t="s">
        <v>936</v>
      </c>
      <c r="C393" t="s">
        <v>54</v>
      </c>
      <c r="D393" t="s">
        <v>44</v>
      </c>
      <c r="E393" t="s">
        <v>45</v>
      </c>
      <c r="F393" t="s">
        <v>28</v>
      </c>
      <c r="G393">
        <v>20</v>
      </c>
      <c r="H393" t="s">
        <v>937</v>
      </c>
      <c r="I393" t="s">
        <v>30</v>
      </c>
      <c r="J393" t="s">
        <v>31</v>
      </c>
      <c r="K393" t="s">
        <v>38</v>
      </c>
      <c r="L393" t="s">
        <v>39</v>
      </c>
      <c r="M393" t="s">
        <v>81</v>
      </c>
      <c r="N393" s="2">
        <v>45601.440243055556</v>
      </c>
      <c r="O393" s="2">
        <v>45721.208333333336</v>
      </c>
      <c r="P393" s="2">
        <v>45807.166666666664</v>
      </c>
      <c r="Q393" s="2">
        <v>45806</v>
      </c>
      <c r="R393" s="2">
        <v>45810.105127870367</v>
      </c>
      <c r="S393" t="s">
        <v>104</v>
      </c>
      <c r="T393" s="2">
        <v>45681.208333333336</v>
      </c>
      <c r="U393" s="2">
        <v>45681.208333333336</v>
      </c>
      <c r="V393" s="2">
        <v>45681.208333333336</v>
      </c>
      <c r="W393" s="2">
        <v>45721.208333333336</v>
      </c>
      <c r="X393" s="3">
        <f t="shared" si="60"/>
        <v>0</v>
      </c>
      <c r="Y393">
        <f t="shared" si="61"/>
        <v>40</v>
      </c>
      <c r="Z393">
        <f t="shared" si="62"/>
        <v>40</v>
      </c>
      <c r="AA393">
        <f t="shared" si="63"/>
        <v>204.55975694444351</v>
      </c>
      <c r="AB393">
        <f t="shared" si="64"/>
        <v>164.55975694444351</v>
      </c>
      <c r="AC393">
        <f>IFERROR(_xlfn.XLOOKUP(B393, HoldSummary!$A:$A, HoldSummary!B:B), 0)</f>
        <v>0</v>
      </c>
      <c r="AD393">
        <f>IFERROR(_xlfn.XLOOKUP(B393, HoldSummary!$A:$A, HoldSummary!C:C), 0)</f>
        <v>26</v>
      </c>
      <c r="AE393">
        <f>IFERROR(_xlfn.XLOOKUP(B393, HoldSummary!$A:$A, HoldSummary!D:D), 0)</f>
        <v>0</v>
      </c>
      <c r="AF393">
        <f>IFERROR(_xlfn.XLOOKUP(B393, HoldSummary!$A:$A, HoldSummary!E:E), 0)</f>
        <v>0</v>
      </c>
      <c r="AG393">
        <f>IFERROR(_xlfn.XLOOKUP(B393, HoldSummary!$A:$A, HoldSummary!F:F), 0)</f>
        <v>0</v>
      </c>
      <c r="AH393">
        <f>IFERROR(_xlfn.XLOOKUP(B393, HoldSummary!$A:$A, HoldSummary!G:G), 0)</f>
        <v>0</v>
      </c>
      <c r="AI393">
        <f>IFERROR(_xlfn.XLOOKUP(B393, HoldSummary!$A:$A, HoldSummary!H:H), 0)</f>
        <v>0</v>
      </c>
      <c r="AJ393">
        <f>IFERROR(_xlfn.XLOOKUP(B393, HoldSummary!$A:$A, HoldSummary!I:I), 0)</f>
        <v>0</v>
      </c>
      <c r="AK393">
        <f t="shared" si="65"/>
        <v>26</v>
      </c>
      <c r="AL393">
        <f t="shared" si="66"/>
        <v>178.55975694444351</v>
      </c>
      <c r="AM393">
        <f t="shared" si="67"/>
        <v>138.55975694444351</v>
      </c>
      <c r="AN393" s="12">
        <f t="shared" si="68"/>
        <v>84.791666666664241</v>
      </c>
      <c r="AO393">
        <f t="shared" si="69"/>
        <v>0</v>
      </c>
    </row>
    <row r="394" spans="1:41" x14ac:dyDescent="0.35">
      <c r="A394" t="s">
        <v>23</v>
      </c>
      <c r="B394" t="s">
        <v>938</v>
      </c>
      <c r="C394" t="s">
        <v>36</v>
      </c>
      <c r="D394" t="s">
        <v>44</v>
      </c>
      <c r="E394" t="s">
        <v>45</v>
      </c>
      <c r="F394" t="s">
        <v>28</v>
      </c>
      <c r="G394">
        <v>20</v>
      </c>
      <c r="H394" t="s">
        <v>939</v>
      </c>
      <c r="I394" t="s">
        <v>30</v>
      </c>
      <c r="J394" t="s">
        <v>31</v>
      </c>
      <c r="K394" t="s">
        <v>48</v>
      </c>
      <c r="L394" t="s">
        <v>49</v>
      </c>
      <c r="M394" t="s">
        <v>33</v>
      </c>
      <c r="N394" s="2">
        <v>45660.788784722223</v>
      </c>
      <c r="O394" s="2">
        <v>45695.208333333336</v>
      </c>
      <c r="P394" s="2">
        <v>45695.208333333336</v>
      </c>
      <c r="Q394" s="2">
        <v>45695</v>
      </c>
      <c r="R394" s="2">
        <v>45698.604615821758</v>
      </c>
      <c r="T394" s="2"/>
      <c r="U394" s="2"/>
      <c r="V394" s="2"/>
      <c r="W394" s="2"/>
      <c r="X394" s="3" t="str">
        <f t="shared" si="60"/>
        <v/>
      </c>
      <c r="Y394" t="str">
        <f t="shared" si="61"/>
        <v/>
      </c>
      <c r="Z394">
        <f t="shared" si="62"/>
        <v>0</v>
      </c>
      <c r="AA394">
        <f t="shared" si="63"/>
        <v>34.211215277777228</v>
      </c>
      <c r="AB394">
        <f t="shared" si="64"/>
        <v>34.211215277777228</v>
      </c>
      <c r="AC394">
        <f>IFERROR(_xlfn.XLOOKUP(B394, HoldSummary!$A:$A, HoldSummary!B:B), 0)</f>
        <v>0</v>
      </c>
      <c r="AD394">
        <f>IFERROR(_xlfn.XLOOKUP(B394, HoldSummary!$A:$A, HoldSummary!C:C), 0)</f>
        <v>0</v>
      </c>
      <c r="AE394">
        <f>IFERROR(_xlfn.XLOOKUP(B394, HoldSummary!$A:$A, HoldSummary!D:D), 0)</f>
        <v>0</v>
      </c>
      <c r="AF394">
        <f>IFERROR(_xlfn.XLOOKUP(B394, HoldSummary!$A:$A, HoldSummary!E:E), 0)</f>
        <v>0</v>
      </c>
      <c r="AG394">
        <f>IFERROR(_xlfn.XLOOKUP(B394, HoldSummary!$A:$A, HoldSummary!F:F), 0)</f>
        <v>0</v>
      </c>
      <c r="AH394">
        <f>IFERROR(_xlfn.XLOOKUP(B394, HoldSummary!$A:$A, HoldSummary!G:G), 0)</f>
        <v>0</v>
      </c>
      <c r="AI394">
        <f>IFERROR(_xlfn.XLOOKUP(B394, HoldSummary!$A:$A, HoldSummary!H:H), 0)</f>
        <v>0</v>
      </c>
      <c r="AJ394">
        <f>IFERROR(_xlfn.XLOOKUP(B394, HoldSummary!$A:$A, HoldSummary!I:I), 0)</f>
        <v>0</v>
      </c>
      <c r="AK394">
        <f t="shared" si="65"/>
        <v>0</v>
      </c>
      <c r="AL394">
        <f t="shared" si="66"/>
        <v>34.211215277777228</v>
      </c>
      <c r="AM394">
        <f t="shared" si="67"/>
        <v>34.211215277777228</v>
      </c>
      <c r="AN394" s="12">
        <f t="shared" si="68"/>
        <v>-0.20833333333575865</v>
      </c>
      <c r="AO394">
        <f t="shared" si="69"/>
        <v>1</v>
      </c>
    </row>
    <row r="395" spans="1:41" x14ac:dyDescent="0.35">
      <c r="A395" t="s">
        <v>23</v>
      </c>
      <c r="B395" t="s">
        <v>940</v>
      </c>
      <c r="C395" t="s">
        <v>130</v>
      </c>
      <c r="D395" t="s">
        <v>44</v>
      </c>
      <c r="E395" t="s">
        <v>27</v>
      </c>
      <c r="F395" t="s">
        <v>28</v>
      </c>
      <c r="G395">
        <v>20</v>
      </c>
      <c r="H395" t="s">
        <v>941</v>
      </c>
      <c r="I395" t="s">
        <v>30</v>
      </c>
      <c r="J395" t="s">
        <v>31</v>
      </c>
      <c r="K395" t="s">
        <v>38</v>
      </c>
      <c r="L395" t="s">
        <v>39</v>
      </c>
      <c r="M395" t="s">
        <v>81</v>
      </c>
      <c r="N395" s="2">
        <v>45638.585428240738</v>
      </c>
      <c r="O395" s="2">
        <v>45775.166666666664</v>
      </c>
      <c r="P395" s="2">
        <v>45789.166666666664</v>
      </c>
      <c r="Q395" s="2">
        <v>45754</v>
      </c>
      <c r="R395" s="2">
        <v>45754.684765347221</v>
      </c>
      <c r="S395" t="s">
        <v>93</v>
      </c>
      <c r="T395" s="2">
        <v>45730.166666666664</v>
      </c>
      <c r="U395" s="2">
        <v>45730.166666666664</v>
      </c>
      <c r="V395" s="2">
        <v>45730.166666666664</v>
      </c>
      <c r="W395" s="2">
        <v>45747.166666666664</v>
      </c>
      <c r="X395" s="3">
        <f t="shared" si="60"/>
        <v>0</v>
      </c>
      <c r="Y395">
        <f t="shared" si="61"/>
        <v>17</v>
      </c>
      <c r="Z395">
        <f t="shared" si="62"/>
        <v>17</v>
      </c>
      <c r="AA395">
        <f t="shared" si="63"/>
        <v>115.41457175926189</v>
      </c>
      <c r="AB395">
        <f t="shared" si="64"/>
        <v>98.414571759261889</v>
      </c>
      <c r="AC395">
        <f>IFERROR(_xlfn.XLOOKUP(B395, HoldSummary!$A:$A, HoldSummary!B:B), 0)</f>
        <v>14</v>
      </c>
      <c r="AD395">
        <f>IFERROR(_xlfn.XLOOKUP(B395, HoldSummary!$A:$A, HoldSummary!C:C), 0)</f>
        <v>0</v>
      </c>
      <c r="AE395">
        <f>IFERROR(_xlfn.XLOOKUP(B395, HoldSummary!$A:$A, HoldSummary!D:D), 0)</f>
        <v>0</v>
      </c>
      <c r="AF395">
        <f>IFERROR(_xlfn.XLOOKUP(B395, HoldSummary!$A:$A, HoldSummary!E:E), 0)</f>
        <v>0</v>
      </c>
      <c r="AG395">
        <f>IFERROR(_xlfn.XLOOKUP(B395, HoldSummary!$A:$A, HoldSummary!F:F), 0)</f>
        <v>0</v>
      </c>
      <c r="AH395">
        <f>IFERROR(_xlfn.XLOOKUP(B395, HoldSummary!$A:$A, HoldSummary!G:G), 0)</f>
        <v>0</v>
      </c>
      <c r="AI395">
        <f>IFERROR(_xlfn.XLOOKUP(B395, HoldSummary!$A:$A, HoldSummary!H:H), 0)</f>
        <v>0</v>
      </c>
      <c r="AJ395">
        <f>IFERROR(_xlfn.XLOOKUP(B395, HoldSummary!$A:$A, HoldSummary!I:I), 0)</f>
        <v>0</v>
      </c>
      <c r="AK395">
        <f t="shared" si="65"/>
        <v>14</v>
      </c>
      <c r="AL395">
        <f t="shared" si="66"/>
        <v>101.41457175926189</v>
      </c>
      <c r="AM395">
        <f t="shared" si="67"/>
        <v>84.414571759261889</v>
      </c>
      <c r="AN395" s="12">
        <f t="shared" si="68"/>
        <v>-21.166666666664241</v>
      </c>
      <c r="AO395">
        <f t="shared" si="69"/>
        <v>1</v>
      </c>
    </row>
    <row r="396" spans="1:41" x14ac:dyDescent="0.35">
      <c r="A396" t="s">
        <v>23</v>
      </c>
      <c r="B396" t="s">
        <v>942</v>
      </c>
      <c r="C396" t="s">
        <v>36</v>
      </c>
      <c r="D396" t="s">
        <v>44</v>
      </c>
      <c r="E396" t="s">
        <v>45</v>
      </c>
      <c r="F396" t="s">
        <v>28</v>
      </c>
      <c r="G396">
        <v>20</v>
      </c>
      <c r="H396" t="s">
        <v>943</v>
      </c>
      <c r="I396" t="s">
        <v>30</v>
      </c>
      <c r="J396" t="s">
        <v>70</v>
      </c>
      <c r="K396" t="s">
        <v>48</v>
      </c>
      <c r="L396" t="s">
        <v>192</v>
      </c>
      <c r="M396" t="s">
        <v>33</v>
      </c>
      <c r="N396" s="2">
        <v>45681.841273148151</v>
      </c>
      <c r="O396" s="2">
        <v>45702.208333333336</v>
      </c>
      <c r="P396" s="2">
        <v>45702.208333333336</v>
      </c>
      <c r="Q396" s="2">
        <v>45707</v>
      </c>
      <c r="R396" s="2">
        <v>45708.634726342592</v>
      </c>
      <c r="T396" s="2"/>
      <c r="U396" s="2"/>
      <c r="V396" s="2"/>
      <c r="W396" s="2"/>
      <c r="X396" s="3" t="str">
        <f t="shared" si="60"/>
        <v/>
      </c>
      <c r="Y396" t="str">
        <f t="shared" si="61"/>
        <v/>
      </c>
      <c r="Z396">
        <f t="shared" si="62"/>
        <v>0</v>
      </c>
      <c r="AA396">
        <f t="shared" si="63"/>
        <v>25.158726851848769</v>
      </c>
      <c r="AB396">
        <f t="shared" si="64"/>
        <v>25.158726851848769</v>
      </c>
      <c r="AC396">
        <f>IFERROR(_xlfn.XLOOKUP(B396, HoldSummary!$A:$A, HoldSummary!B:B), 0)</f>
        <v>0</v>
      </c>
      <c r="AD396">
        <f>IFERROR(_xlfn.XLOOKUP(B396, HoldSummary!$A:$A, HoldSummary!C:C), 0)</f>
        <v>0</v>
      </c>
      <c r="AE396">
        <f>IFERROR(_xlfn.XLOOKUP(B396, HoldSummary!$A:$A, HoldSummary!D:D), 0)</f>
        <v>0</v>
      </c>
      <c r="AF396">
        <f>IFERROR(_xlfn.XLOOKUP(B396, HoldSummary!$A:$A, HoldSummary!E:E), 0)</f>
        <v>0</v>
      </c>
      <c r="AG396">
        <f>IFERROR(_xlfn.XLOOKUP(B396, HoldSummary!$A:$A, HoldSummary!F:F), 0)</f>
        <v>0</v>
      </c>
      <c r="AH396">
        <f>IFERROR(_xlfn.XLOOKUP(B396, HoldSummary!$A:$A, HoldSummary!G:G), 0)</f>
        <v>0</v>
      </c>
      <c r="AI396">
        <f>IFERROR(_xlfn.XLOOKUP(B396, HoldSummary!$A:$A, HoldSummary!H:H), 0)</f>
        <v>0</v>
      </c>
      <c r="AJ396">
        <f>IFERROR(_xlfn.XLOOKUP(B396, HoldSummary!$A:$A, HoldSummary!I:I), 0)</f>
        <v>0</v>
      </c>
      <c r="AK396">
        <f t="shared" si="65"/>
        <v>0</v>
      </c>
      <c r="AL396">
        <f t="shared" si="66"/>
        <v>25.158726851848769</v>
      </c>
      <c r="AM396">
        <f t="shared" si="67"/>
        <v>25.158726851848769</v>
      </c>
      <c r="AN396" s="12">
        <f t="shared" si="68"/>
        <v>4.7916666666642413</v>
      </c>
      <c r="AO396">
        <f t="shared" si="69"/>
        <v>0</v>
      </c>
    </row>
    <row r="397" spans="1:41" x14ac:dyDescent="0.35">
      <c r="A397" t="s">
        <v>23</v>
      </c>
      <c r="B397" t="s">
        <v>944</v>
      </c>
      <c r="C397" t="s">
        <v>409</v>
      </c>
      <c r="D397" t="s">
        <v>44</v>
      </c>
      <c r="E397" t="s">
        <v>45</v>
      </c>
      <c r="F397" t="s">
        <v>28</v>
      </c>
      <c r="G397">
        <v>20</v>
      </c>
      <c r="H397" t="s">
        <v>945</v>
      </c>
      <c r="I397" t="s">
        <v>30</v>
      </c>
      <c r="J397" t="s">
        <v>31</v>
      </c>
      <c r="K397" t="s">
        <v>38</v>
      </c>
      <c r="L397" t="s">
        <v>39</v>
      </c>
      <c r="M397" t="s">
        <v>33</v>
      </c>
      <c r="N397" s="2">
        <v>45638.626793981479</v>
      </c>
      <c r="O397" s="2">
        <v>45800.166666666664</v>
      </c>
      <c r="P397" s="2">
        <v>45821.166666666664</v>
      </c>
      <c r="Q397" s="2">
        <v>45812</v>
      </c>
      <c r="R397" s="2">
        <v>45812.779158159719</v>
      </c>
      <c r="S397" t="s">
        <v>97</v>
      </c>
      <c r="T397" s="2">
        <v>45743.166666666664</v>
      </c>
      <c r="U397" s="2">
        <v>45743.166666666664</v>
      </c>
      <c r="V397" s="2">
        <v>45744.166666666664</v>
      </c>
      <c r="W397" s="2">
        <v>45769.166666666664</v>
      </c>
      <c r="X397" s="3">
        <f t="shared" si="60"/>
        <v>0</v>
      </c>
      <c r="Y397">
        <f t="shared" si="61"/>
        <v>25</v>
      </c>
      <c r="Z397">
        <f t="shared" si="62"/>
        <v>25</v>
      </c>
      <c r="AA397">
        <f t="shared" si="63"/>
        <v>173.37320601852116</v>
      </c>
      <c r="AB397">
        <f t="shared" si="64"/>
        <v>148.37320601852116</v>
      </c>
      <c r="AC397">
        <f>IFERROR(_xlfn.XLOOKUP(B397, HoldSummary!$A:$A, HoldSummary!B:B), 0)</f>
        <v>0</v>
      </c>
      <c r="AD397">
        <f>IFERROR(_xlfn.XLOOKUP(B397, HoldSummary!$A:$A, HoldSummary!C:C), 0)</f>
        <v>0</v>
      </c>
      <c r="AE397">
        <f>IFERROR(_xlfn.XLOOKUP(B397, HoldSummary!$A:$A, HoldSummary!D:D), 0)</f>
        <v>0</v>
      </c>
      <c r="AF397">
        <f>IFERROR(_xlfn.XLOOKUP(B397, HoldSummary!$A:$A, HoldSummary!E:E), 0)</f>
        <v>0</v>
      </c>
      <c r="AG397">
        <f>IFERROR(_xlfn.XLOOKUP(B397, HoldSummary!$A:$A, HoldSummary!F:F), 0)</f>
        <v>0</v>
      </c>
      <c r="AH397">
        <f>IFERROR(_xlfn.XLOOKUP(B397, HoldSummary!$A:$A, HoldSummary!G:G), 0)</f>
        <v>0</v>
      </c>
      <c r="AI397">
        <f>IFERROR(_xlfn.XLOOKUP(B397, HoldSummary!$A:$A, HoldSummary!H:H), 0)</f>
        <v>0</v>
      </c>
      <c r="AJ397">
        <f>IFERROR(_xlfn.XLOOKUP(B397, HoldSummary!$A:$A, HoldSummary!I:I), 0)</f>
        <v>0</v>
      </c>
      <c r="AK397">
        <f t="shared" si="65"/>
        <v>0</v>
      </c>
      <c r="AL397">
        <f t="shared" si="66"/>
        <v>173.37320601852116</v>
      </c>
      <c r="AM397">
        <f t="shared" si="67"/>
        <v>148.37320601852116</v>
      </c>
      <c r="AN397" s="12">
        <f t="shared" si="68"/>
        <v>11.833333333335759</v>
      </c>
      <c r="AO397">
        <f t="shared" si="69"/>
        <v>0</v>
      </c>
    </row>
    <row r="398" spans="1:41" x14ac:dyDescent="0.35">
      <c r="A398" t="s">
        <v>23</v>
      </c>
      <c r="B398" t="s">
        <v>946</v>
      </c>
      <c r="C398" t="s">
        <v>76</v>
      </c>
      <c r="D398" t="s">
        <v>44</v>
      </c>
      <c r="E398" t="s">
        <v>45</v>
      </c>
      <c r="F398" t="s">
        <v>28</v>
      </c>
      <c r="G398">
        <v>21</v>
      </c>
      <c r="H398" t="s">
        <v>947</v>
      </c>
      <c r="I398" t="s">
        <v>30</v>
      </c>
      <c r="J398" t="s">
        <v>31</v>
      </c>
      <c r="K398" t="s">
        <v>38</v>
      </c>
      <c r="L398" t="s">
        <v>39</v>
      </c>
      <c r="M398" t="s">
        <v>33</v>
      </c>
      <c r="N398" s="2">
        <v>45461.805821759262</v>
      </c>
      <c r="O398" s="2">
        <v>45594.166666666664</v>
      </c>
      <c r="P398" s="2">
        <v>45603.208333333336</v>
      </c>
      <c r="Q398" s="2">
        <v>45600</v>
      </c>
      <c r="R398" s="2">
        <v>45600.776314537034</v>
      </c>
      <c r="S398" t="s">
        <v>751</v>
      </c>
      <c r="T398" s="2">
        <v>45498.166666666664</v>
      </c>
      <c r="U398" s="2">
        <v>45518.166666666664</v>
      </c>
      <c r="V398" s="2">
        <v>45518.166666666664</v>
      </c>
      <c r="W398" s="2">
        <v>45518.166666666664</v>
      </c>
      <c r="X398" s="3">
        <f t="shared" si="60"/>
        <v>20</v>
      </c>
      <c r="Y398">
        <f t="shared" si="61"/>
        <v>0</v>
      </c>
      <c r="Z398">
        <f t="shared" si="62"/>
        <v>20</v>
      </c>
      <c r="AA398">
        <f t="shared" si="63"/>
        <v>138.19417824073753</v>
      </c>
      <c r="AB398">
        <f t="shared" si="64"/>
        <v>118.19417824073753</v>
      </c>
      <c r="AC398">
        <f>IFERROR(_xlfn.XLOOKUP(B398, HoldSummary!$A:$A, HoldSummary!B:B), 0)</f>
        <v>7</v>
      </c>
      <c r="AD398">
        <f>IFERROR(_xlfn.XLOOKUP(B398, HoldSummary!$A:$A, HoldSummary!C:C), 0)</f>
        <v>0</v>
      </c>
      <c r="AE398">
        <f>IFERROR(_xlfn.XLOOKUP(B398, HoldSummary!$A:$A, HoldSummary!D:D), 0)</f>
        <v>0</v>
      </c>
      <c r="AF398">
        <f>IFERROR(_xlfn.XLOOKUP(B398, HoldSummary!$A:$A, HoldSummary!E:E), 0)</f>
        <v>0</v>
      </c>
      <c r="AG398">
        <f>IFERROR(_xlfn.XLOOKUP(B398, HoldSummary!$A:$A, HoldSummary!F:F), 0)</f>
        <v>0</v>
      </c>
      <c r="AH398">
        <f>IFERROR(_xlfn.XLOOKUP(B398, HoldSummary!$A:$A, HoldSummary!G:G), 0)</f>
        <v>0</v>
      </c>
      <c r="AI398">
        <f>IFERROR(_xlfn.XLOOKUP(B398, HoldSummary!$A:$A, HoldSummary!H:H), 0)</f>
        <v>0</v>
      </c>
      <c r="AJ398">
        <f>IFERROR(_xlfn.XLOOKUP(B398, HoldSummary!$A:$A, HoldSummary!I:I), 0)</f>
        <v>0</v>
      </c>
      <c r="AK398">
        <f t="shared" si="65"/>
        <v>7</v>
      </c>
      <c r="AL398">
        <f t="shared" si="66"/>
        <v>131.19417824073753</v>
      </c>
      <c r="AM398">
        <f t="shared" si="67"/>
        <v>111.19417824073753</v>
      </c>
      <c r="AN398" s="12">
        <f t="shared" si="68"/>
        <v>5.8333333333357587</v>
      </c>
      <c r="AO398">
        <f t="shared" si="69"/>
        <v>0</v>
      </c>
    </row>
    <row r="399" spans="1:41" x14ac:dyDescent="0.35">
      <c r="A399" t="s">
        <v>23</v>
      </c>
      <c r="B399" t="s">
        <v>948</v>
      </c>
      <c r="C399" t="s">
        <v>76</v>
      </c>
      <c r="D399" t="s">
        <v>44</v>
      </c>
      <c r="E399" t="s">
        <v>45</v>
      </c>
      <c r="F399" t="s">
        <v>28</v>
      </c>
      <c r="G399">
        <v>21</v>
      </c>
      <c r="H399" t="s">
        <v>949</v>
      </c>
      <c r="I399" t="s">
        <v>30</v>
      </c>
      <c r="J399" t="s">
        <v>31</v>
      </c>
      <c r="K399" t="s">
        <v>38</v>
      </c>
      <c r="L399" t="s">
        <v>39</v>
      </c>
      <c r="M399" t="s">
        <v>33</v>
      </c>
      <c r="N399" s="2">
        <v>45453.660416666666</v>
      </c>
      <c r="O399" s="2">
        <v>45575.166666666664</v>
      </c>
      <c r="P399" s="2">
        <v>45582.166666666664</v>
      </c>
      <c r="Q399" s="2">
        <v>45580</v>
      </c>
      <c r="R399" s="2">
        <v>45580.707015185188</v>
      </c>
      <c r="S399" t="s">
        <v>834</v>
      </c>
      <c r="T399" s="2">
        <v>45544.166666666664</v>
      </c>
      <c r="U399" s="2">
        <v>45547.166666666664</v>
      </c>
      <c r="V399" s="2">
        <v>45547.166666666664</v>
      </c>
      <c r="W399" s="2">
        <v>45558.166666666664</v>
      </c>
      <c r="X399" s="3">
        <f t="shared" si="60"/>
        <v>3</v>
      </c>
      <c r="Y399">
        <f t="shared" si="61"/>
        <v>11</v>
      </c>
      <c r="Z399">
        <f t="shared" si="62"/>
        <v>14</v>
      </c>
      <c r="AA399">
        <f t="shared" si="63"/>
        <v>126.3395833333343</v>
      </c>
      <c r="AB399">
        <f t="shared" si="64"/>
        <v>112.3395833333343</v>
      </c>
      <c r="AC399">
        <f>IFERROR(_xlfn.XLOOKUP(B399, HoldSummary!$A:$A, HoldSummary!B:B), 0)</f>
        <v>39</v>
      </c>
      <c r="AD399">
        <f>IFERROR(_xlfn.XLOOKUP(B399, HoldSummary!$A:$A, HoldSummary!C:C), 0)</f>
        <v>0</v>
      </c>
      <c r="AE399">
        <f>IFERROR(_xlfn.XLOOKUP(B399, HoldSummary!$A:$A, HoldSummary!D:D), 0)</f>
        <v>0</v>
      </c>
      <c r="AF399">
        <f>IFERROR(_xlfn.XLOOKUP(B399, HoldSummary!$A:$A, HoldSummary!E:E), 0)</f>
        <v>0</v>
      </c>
      <c r="AG399">
        <f>IFERROR(_xlfn.XLOOKUP(B399, HoldSummary!$A:$A, HoldSummary!F:F), 0)</f>
        <v>0</v>
      </c>
      <c r="AH399">
        <f>IFERROR(_xlfn.XLOOKUP(B399, HoldSummary!$A:$A, HoldSummary!G:G), 0)</f>
        <v>0</v>
      </c>
      <c r="AI399">
        <f>IFERROR(_xlfn.XLOOKUP(B399, HoldSummary!$A:$A, HoldSummary!H:H), 0)</f>
        <v>0</v>
      </c>
      <c r="AJ399">
        <f>IFERROR(_xlfn.XLOOKUP(B399, HoldSummary!$A:$A, HoldSummary!I:I), 0)</f>
        <v>0</v>
      </c>
      <c r="AK399">
        <f t="shared" si="65"/>
        <v>39</v>
      </c>
      <c r="AL399">
        <f t="shared" si="66"/>
        <v>87.339583333334303</v>
      </c>
      <c r="AM399">
        <f t="shared" si="67"/>
        <v>73.339583333334303</v>
      </c>
      <c r="AN399" s="12">
        <f t="shared" si="68"/>
        <v>4.8333333333357587</v>
      </c>
      <c r="AO399">
        <f t="shared" si="69"/>
        <v>0</v>
      </c>
    </row>
    <row r="400" spans="1:41" x14ac:dyDescent="0.35">
      <c r="A400" t="s">
        <v>23</v>
      </c>
      <c r="B400">
        <v>108235</v>
      </c>
      <c r="C400" t="s">
        <v>43</v>
      </c>
      <c r="D400" t="s">
        <v>44</v>
      </c>
      <c r="E400" t="s">
        <v>55</v>
      </c>
      <c r="F400" t="s">
        <v>28</v>
      </c>
      <c r="G400">
        <v>21</v>
      </c>
      <c r="H400" t="s">
        <v>950</v>
      </c>
      <c r="I400" t="s">
        <v>30</v>
      </c>
      <c r="J400" t="s">
        <v>31</v>
      </c>
      <c r="K400" t="s">
        <v>57</v>
      </c>
      <c r="L400" t="s">
        <v>39</v>
      </c>
      <c r="N400" s="2">
        <v>45545.166666666664</v>
      </c>
      <c r="O400" s="2">
        <v>45601.208333333336</v>
      </c>
      <c r="P400" s="2">
        <v>45601.208333333336</v>
      </c>
      <c r="Q400" s="2">
        <v>45607</v>
      </c>
      <c r="R400" s="2">
        <v>45608.585753368054</v>
      </c>
      <c r="T400" s="2"/>
      <c r="U400" s="2"/>
      <c r="V400" s="2"/>
      <c r="W400" s="2"/>
      <c r="X400" s="3" t="str">
        <f t="shared" si="60"/>
        <v/>
      </c>
      <c r="Y400" t="str">
        <f t="shared" si="61"/>
        <v/>
      </c>
      <c r="Z400">
        <f t="shared" si="62"/>
        <v>0</v>
      </c>
      <c r="AA400">
        <f t="shared" si="63"/>
        <v>61.833333333335759</v>
      </c>
      <c r="AB400">
        <f t="shared" si="64"/>
        <v>61.833333333335759</v>
      </c>
      <c r="AC400">
        <f>IFERROR(_xlfn.XLOOKUP(B400, HoldSummary!$A:$A, HoldSummary!B:B), 0)</f>
        <v>0</v>
      </c>
      <c r="AD400">
        <f>IFERROR(_xlfn.XLOOKUP(B400, HoldSummary!$A:$A, HoldSummary!C:C), 0)</f>
        <v>0</v>
      </c>
      <c r="AE400">
        <f>IFERROR(_xlfn.XLOOKUP(B400, HoldSummary!$A:$A, HoldSummary!D:D), 0)</f>
        <v>0</v>
      </c>
      <c r="AF400">
        <f>IFERROR(_xlfn.XLOOKUP(B400, HoldSummary!$A:$A, HoldSummary!E:E), 0)</f>
        <v>0</v>
      </c>
      <c r="AG400">
        <f>IFERROR(_xlfn.XLOOKUP(B400, HoldSummary!$A:$A, HoldSummary!F:F), 0)</f>
        <v>0</v>
      </c>
      <c r="AH400">
        <f>IFERROR(_xlfn.XLOOKUP(B400, HoldSummary!$A:$A, HoldSummary!G:G), 0)</f>
        <v>0</v>
      </c>
      <c r="AI400">
        <f>IFERROR(_xlfn.XLOOKUP(B400, HoldSummary!$A:$A, HoldSummary!H:H), 0)</f>
        <v>0</v>
      </c>
      <c r="AJ400">
        <f>IFERROR(_xlfn.XLOOKUP(B400, HoldSummary!$A:$A, HoldSummary!I:I), 0)</f>
        <v>0</v>
      </c>
      <c r="AK400">
        <f t="shared" si="65"/>
        <v>0</v>
      </c>
      <c r="AL400">
        <f t="shared" si="66"/>
        <v>61.833333333335759</v>
      </c>
      <c r="AM400">
        <f t="shared" si="67"/>
        <v>61.833333333335759</v>
      </c>
      <c r="AN400" s="12">
        <f t="shared" si="68"/>
        <v>5.7916666666642413</v>
      </c>
      <c r="AO400">
        <f t="shared" si="69"/>
        <v>0</v>
      </c>
    </row>
    <row r="401" spans="1:41" x14ac:dyDescent="0.35">
      <c r="A401" t="s">
        <v>23</v>
      </c>
      <c r="B401" t="s">
        <v>951</v>
      </c>
      <c r="C401" t="s">
        <v>36</v>
      </c>
      <c r="D401" t="s">
        <v>44</v>
      </c>
      <c r="E401" t="s">
        <v>45</v>
      </c>
      <c r="F401" t="s">
        <v>28</v>
      </c>
      <c r="G401">
        <v>21</v>
      </c>
      <c r="H401" t="s">
        <v>952</v>
      </c>
      <c r="I401" t="s">
        <v>30</v>
      </c>
      <c r="J401" t="s">
        <v>70</v>
      </c>
      <c r="K401" t="s">
        <v>38</v>
      </c>
      <c r="L401" t="s">
        <v>39</v>
      </c>
      <c r="M401" t="s">
        <v>81</v>
      </c>
      <c r="N401" s="2">
        <v>45693.499097222222</v>
      </c>
      <c r="O401" s="2">
        <v>45744.166666666664</v>
      </c>
      <c r="P401" s="2">
        <v>45828.166666666664</v>
      </c>
      <c r="Q401" s="2">
        <v>45827</v>
      </c>
      <c r="R401" s="2">
        <v>45827.616393784723</v>
      </c>
      <c r="S401" t="s">
        <v>97</v>
      </c>
      <c r="T401" s="2"/>
      <c r="U401" s="2"/>
      <c r="V401" s="2"/>
      <c r="W401" s="2"/>
      <c r="X401" s="3" t="str">
        <f t="shared" si="60"/>
        <v/>
      </c>
      <c r="Y401" t="str">
        <f t="shared" si="61"/>
        <v/>
      </c>
      <c r="Z401">
        <f t="shared" si="62"/>
        <v>0</v>
      </c>
      <c r="AA401">
        <f t="shared" si="63"/>
        <v>133.50090277777781</v>
      </c>
      <c r="AB401">
        <f t="shared" si="64"/>
        <v>133.50090277777781</v>
      </c>
      <c r="AC401">
        <f>IFERROR(_xlfn.XLOOKUP(B401, HoldSummary!$A:$A, HoldSummary!B:B), 0)</f>
        <v>0</v>
      </c>
      <c r="AD401">
        <f>IFERROR(_xlfn.XLOOKUP(B401, HoldSummary!$A:$A, HoldSummary!C:C), 0)</f>
        <v>0</v>
      </c>
      <c r="AE401">
        <f>IFERROR(_xlfn.XLOOKUP(B401, HoldSummary!$A:$A, HoldSummary!D:D), 0)</f>
        <v>0</v>
      </c>
      <c r="AF401">
        <f>IFERROR(_xlfn.XLOOKUP(B401, HoldSummary!$A:$A, HoldSummary!E:E), 0)</f>
        <v>0</v>
      </c>
      <c r="AG401">
        <f>IFERROR(_xlfn.XLOOKUP(B401, HoldSummary!$A:$A, HoldSummary!F:F), 0)</f>
        <v>0</v>
      </c>
      <c r="AH401">
        <f>IFERROR(_xlfn.XLOOKUP(B401, HoldSummary!$A:$A, HoldSummary!G:G), 0)</f>
        <v>0</v>
      </c>
      <c r="AI401">
        <f>IFERROR(_xlfn.XLOOKUP(B401, HoldSummary!$A:$A, HoldSummary!H:H), 0)</f>
        <v>0</v>
      </c>
      <c r="AJ401">
        <f>IFERROR(_xlfn.XLOOKUP(B401, HoldSummary!$A:$A, HoldSummary!I:I), 0)</f>
        <v>0</v>
      </c>
      <c r="AK401">
        <f t="shared" si="65"/>
        <v>0</v>
      </c>
      <c r="AL401">
        <f t="shared" si="66"/>
        <v>133.50090277777781</v>
      </c>
      <c r="AM401">
        <f t="shared" si="67"/>
        <v>133.50090277777781</v>
      </c>
      <c r="AN401" s="12">
        <f t="shared" si="68"/>
        <v>82.833333333335759</v>
      </c>
      <c r="AO401">
        <f t="shared" si="69"/>
        <v>0</v>
      </c>
    </row>
    <row r="402" spans="1:41" x14ac:dyDescent="0.35">
      <c r="A402" t="s">
        <v>23</v>
      </c>
      <c r="B402" t="s">
        <v>953</v>
      </c>
      <c r="C402" t="s">
        <v>130</v>
      </c>
      <c r="D402" t="s">
        <v>44</v>
      </c>
      <c r="E402" t="s">
        <v>45</v>
      </c>
      <c r="F402" t="s">
        <v>28</v>
      </c>
      <c r="G402">
        <v>21</v>
      </c>
      <c r="H402" t="s">
        <v>954</v>
      </c>
      <c r="I402" t="s">
        <v>30</v>
      </c>
      <c r="J402" t="s">
        <v>208</v>
      </c>
      <c r="K402" t="s">
        <v>48</v>
      </c>
      <c r="L402" t="s">
        <v>49</v>
      </c>
      <c r="M402" t="s">
        <v>33</v>
      </c>
      <c r="N402" s="2">
        <v>45691.568298611113</v>
      </c>
      <c r="O402" s="2">
        <v>45735.166666666664</v>
      </c>
      <c r="P402" s="2">
        <v>45811.166666666664</v>
      </c>
      <c r="Q402" s="2">
        <v>45800</v>
      </c>
      <c r="R402" s="2">
        <v>45804.569725682872</v>
      </c>
      <c r="T402" s="2">
        <v>45715.208333333336</v>
      </c>
      <c r="U402" s="2">
        <v>45715.208333333336</v>
      </c>
      <c r="V402" s="2">
        <v>45715.208333333336</v>
      </c>
      <c r="W402" s="2">
        <v>45719.208333333336</v>
      </c>
      <c r="X402" s="3">
        <f t="shared" si="60"/>
        <v>0</v>
      </c>
      <c r="Y402">
        <f t="shared" si="61"/>
        <v>4</v>
      </c>
      <c r="Z402">
        <f t="shared" si="62"/>
        <v>4</v>
      </c>
      <c r="AA402">
        <f t="shared" si="63"/>
        <v>108.43170138888672</v>
      </c>
      <c r="AB402">
        <f t="shared" si="64"/>
        <v>104.43170138888672</v>
      </c>
      <c r="AC402">
        <f>IFERROR(_xlfn.XLOOKUP(B402, HoldSummary!$A:$A, HoldSummary!B:B), 0)</f>
        <v>0</v>
      </c>
      <c r="AD402">
        <f>IFERROR(_xlfn.XLOOKUP(B402, HoldSummary!$A:$A, HoldSummary!C:C), 0)</f>
        <v>0</v>
      </c>
      <c r="AE402">
        <f>IFERROR(_xlfn.XLOOKUP(B402, HoldSummary!$A:$A, HoldSummary!D:D), 0)</f>
        <v>0</v>
      </c>
      <c r="AF402">
        <f>IFERROR(_xlfn.XLOOKUP(B402, HoldSummary!$A:$A, HoldSummary!E:E), 0)</f>
        <v>0</v>
      </c>
      <c r="AG402">
        <f>IFERROR(_xlfn.XLOOKUP(B402, HoldSummary!$A:$A, HoldSummary!F:F), 0)</f>
        <v>0</v>
      </c>
      <c r="AH402">
        <f>IFERROR(_xlfn.XLOOKUP(B402, HoldSummary!$A:$A, HoldSummary!G:G), 0)</f>
        <v>0</v>
      </c>
      <c r="AI402">
        <f>IFERROR(_xlfn.XLOOKUP(B402, HoldSummary!$A:$A, HoldSummary!H:H), 0)</f>
        <v>0</v>
      </c>
      <c r="AJ402">
        <f>IFERROR(_xlfn.XLOOKUP(B402, HoldSummary!$A:$A, HoldSummary!I:I), 0)</f>
        <v>0</v>
      </c>
      <c r="AK402">
        <f t="shared" si="65"/>
        <v>0</v>
      </c>
      <c r="AL402">
        <f t="shared" si="66"/>
        <v>108.43170138888672</v>
      </c>
      <c r="AM402">
        <f t="shared" si="67"/>
        <v>104.43170138888672</v>
      </c>
      <c r="AN402" s="12">
        <f t="shared" si="68"/>
        <v>64.833333333335759</v>
      </c>
      <c r="AO402">
        <f t="shared" si="69"/>
        <v>0</v>
      </c>
    </row>
    <row r="403" spans="1:41" x14ac:dyDescent="0.35">
      <c r="A403" t="s">
        <v>23</v>
      </c>
      <c r="B403" t="s">
        <v>955</v>
      </c>
      <c r="C403" t="s">
        <v>130</v>
      </c>
      <c r="D403" t="s">
        <v>44</v>
      </c>
      <c r="E403" t="s">
        <v>45</v>
      </c>
      <c r="F403" t="s">
        <v>28</v>
      </c>
      <c r="G403">
        <v>21</v>
      </c>
      <c r="H403" t="s">
        <v>956</v>
      </c>
      <c r="I403" t="s">
        <v>30</v>
      </c>
      <c r="J403" t="s">
        <v>31</v>
      </c>
      <c r="K403" t="s">
        <v>48</v>
      </c>
      <c r="L403" t="s">
        <v>192</v>
      </c>
      <c r="M403" t="s">
        <v>33</v>
      </c>
      <c r="N403" s="2">
        <v>45709.653981481482</v>
      </c>
      <c r="O403" s="2">
        <v>45819.166666666664</v>
      </c>
      <c r="P403" s="2">
        <v>45849.166666666664</v>
      </c>
      <c r="Q403" s="2">
        <v>45827</v>
      </c>
      <c r="R403" s="2">
        <v>45827.779446018518</v>
      </c>
      <c r="S403" t="s">
        <v>957</v>
      </c>
      <c r="T403" s="2">
        <v>45799.166666666664</v>
      </c>
      <c r="U403" s="2">
        <v>45800.166666666664</v>
      </c>
      <c r="V403" s="2">
        <v>45804.166666666664</v>
      </c>
      <c r="W403" s="2">
        <v>45818.166666666664</v>
      </c>
      <c r="X403" s="3">
        <f t="shared" si="60"/>
        <v>1</v>
      </c>
      <c r="Y403">
        <f t="shared" si="61"/>
        <v>14</v>
      </c>
      <c r="Z403">
        <f t="shared" si="62"/>
        <v>15</v>
      </c>
      <c r="AA403">
        <f t="shared" si="63"/>
        <v>117.34601851851767</v>
      </c>
      <c r="AB403">
        <f t="shared" si="64"/>
        <v>102.34601851851767</v>
      </c>
      <c r="AC403">
        <f>IFERROR(_xlfn.XLOOKUP(B403, HoldSummary!$A:$A, HoldSummary!B:B), 0)</f>
        <v>29.132429606477672</v>
      </c>
      <c r="AD403">
        <f>IFERROR(_xlfn.XLOOKUP(B403, HoldSummary!$A:$A, HoldSummary!C:C), 0)</f>
        <v>0</v>
      </c>
      <c r="AE403">
        <f>IFERROR(_xlfn.XLOOKUP(B403, HoldSummary!$A:$A, HoldSummary!D:D), 0)</f>
        <v>0</v>
      </c>
      <c r="AF403">
        <f>IFERROR(_xlfn.XLOOKUP(B403, HoldSummary!$A:$A, HoldSummary!E:E), 0)</f>
        <v>0</v>
      </c>
      <c r="AG403">
        <f>IFERROR(_xlfn.XLOOKUP(B403, HoldSummary!$A:$A, HoldSummary!F:F), 0)</f>
        <v>0</v>
      </c>
      <c r="AH403">
        <f>IFERROR(_xlfn.XLOOKUP(B403, HoldSummary!$A:$A, HoldSummary!G:G), 0)</f>
        <v>0</v>
      </c>
      <c r="AI403">
        <f>IFERROR(_xlfn.XLOOKUP(B403, HoldSummary!$A:$A, HoldSummary!H:H), 0)</f>
        <v>0</v>
      </c>
      <c r="AJ403">
        <f>IFERROR(_xlfn.XLOOKUP(B403, HoldSummary!$A:$A, HoldSummary!I:I), 0)</f>
        <v>0</v>
      </c>
      <c r="AK403">
        <f t="shared" si="65"/>
        <v>29.132429606477672</v>
      </c>
      <c r="AL403">
        <f t="shared" si="66"/>
        <v>88.213588912039995</v>
      </c>
      <c r="AM403">
        <f t="shared" si="67"/>
        <v>73.213588912039995</v>
      </c>
      <c r="AN403" s="12">
        <f t="shared" si="68"/>
        <v>7.8333333333357587</v>
      </c>
      <c r="AO403">
        <f t="shared" si="69"/>
        <v>0</v>
      </c>
    </row>
    <row r="404" spans="1:41" x14ac:dyDescent="0.35">
      <c r="A404" t="s">
        <v>23</v>
      </c>
      <c r="B404" t="s">
        <v>2270</v>
      </c>
      <c r="C404" t="s">
        <v>36</v>
      </c>
      <c r="D404" t="s">
        <v>44</v>
      </c>
      <c r="E404" t="s">
        <v>45</v>
      </c>
      <c r="F404" t="s">
        <v>28</v>
      </c>
      <c r="G404">
        <v>21</v>
      </c>
      <c r="H404" t="s">
        <v>2281</v>
      </c>
      <c r="I404" t="s">
        <v>30</v>
      </c>
      <c r="J404" t="s">
        <v>31</v>
      </c>
      <c r="K404" t="s">
        <v>48</v>
      </c>
      <c r="L404" t="s">
        <v>192</v>
      </c>
      <c r="M404" t="s">
        <v>33</v>
      </c>
      <c r="N404" s="2">
        <v>45776.726168981484</v>
      </c>
      <c r="O404" s="2">
        <v>45870.166666666664</v>
      </c>
      <c r="P404" s="2">
        <v>45869.166666666664</v>
      </c>
      <c r="Q404" s="2">
        <v>45868</v>
      </c>
      <c r="R404" s="2">
        <v>45869.507740706016</v>
      </c>
      <c r="S404" t="s">
        <v>84</v>
      </c>
      <c r="T404" s="2">
        <v>45826.166666666664</v>
      </c>
      <c r="U404" s="2">
        <v>45828.166666666664</v>
      </c>
      <c r="V404" s="2"/>
      <c r="W404" s="2">
        <v>45828.166666666664</v>
      </c>
      <c r="X404" s="3">
        <f t="shared" si="60"/>
        <v>2</v>
      </c>
      <c r="Y404" t="str">
        <f t="shared" si="61"/>
        <v/>
      </c>
      <c r="Z404">
        <f t="shared" si="62"/>
        <v>2</v>
      </c>
      <c r="AA404">
        <f t="shared" si="63"/>
        <v>91.273831018515921</v>
      </c>
      <c r="AB404">
        <f t="shared" si="64"/>
        <v>89.273831018515921</v>
      </c>
      <c r="AC404">
        <f>IFERROR(_xlfn.XLOOKUP(B404, HoldSummary!$A:$A, HoldSummary!B:B), 0)</f>
        <v>0</v>
      </c>
      <c r="AD404">
        <f>IFERROR(_xlfn.XLOOKUP(B404, HoldSummary!$A:$A, HoldSummary!C:C), 0)</f>
        <v>6.7693425231482252</v>
      </c>
      <c r="AE404">
        <f>IFERROR(_xlfn.XLOOKUP(B404, HoldSummary!$A:$A, HoldSummary!D:D), 0)</f>
        <v>0</v>
      </c>
      <c r="AF404">
        <f>IFERROR(_xlfn.XLOOKUP(B404, HoldSummary!$A:$A, HoldSummary!E:E), 0)</f>
        <v>0</v>
      </c>
      <c r="AG404">
        <f>IFERROR(_xlfn.XLOOKUP(B404, HoldSummary!$A:$A, HoldSummary!F:F), 0)</f>
        <v>0</v>
      </c>
      <c r="AH404">
        <f>IFERROR(_xlfn.XLOOKUP(B404, HoldSummary!$A:$A, HoldSummary!G:G), 0)</f>
        <v>0</v>
      </c>
      <c r="AI404">
        <f>IFERROR(_xlfn.XLOOKUP(B404, HoldSummary!$A:$A, HoldSummary!H:H), 0)</f>
        <v>0</v>
      </c>
      <c r="AJ404">
        <f>IFERROR(_xlfn.XLOOKUP(B404, HoldSummary!$A:$A, HoldSummary!I:I), 0)</f>
        <v>0</v>
      </c>
      <c r="AK404">
        <f t="shared" si="65"/>
        <v>6.7693425231482252</v>
      </c>
      <c r="AL404">
        <f t="shared" si="66"/>
        <v>84.504488495367696</v>
      </c>
      <c r="AM404">
        <f t="shared" si="67"/>
        <v>82.504488495367696</v>
      </c>
      <c r="AN404" s="12">
        <f t="shared" si="68"/>
        <v>-2.1666666666642413</v>
      </c>
      <c r="AO404">
        <f t="shared" si="69"/>
        <v>1</v>
      </c>
    </row>
    <row r="405" spans="1:41" x14ac:dyDescent="0.35">
      <c r="A405" t="s">
        <v>23</v>
      </c>
      <c r="B405" t="s">
        <v>958</v>
      </c>
      <c r="C405" t="s">
        <v>36</v>
      </c>
      <c r="D405" t="s">
        <v>44</v>
      </c>
      <c r="E405" t="s">
        <v>45</v>
      </c>
      <c r="F405" t="s">
        <v>28</v>
      </c>
      <c r="G405">
        <v>22</v>
      </c>
      <c r="H405" t="s">
        <v>959</v>
      </c>
      <c r="I405" t="s">
        <v>30</v>
      </c>
      <c r="J405" t="s">
        <v>300</v>
      </c>
      <c r="K405" t="s">
        <v>38</v>
      </c>
      <c r="L405" t="s">
        <v>39</v>
      </c>
      <c r="N405" s="2">
        <v>45391.625127314815</v>
      </c>
      <c r="O405" s="2">
        <v>45485.166666666664</v>
      </c>
      <c r="P405" s="2">
        <v>45737.166666666664</v>
      </c>
      <c r="Q405" s="2">
        <v>45729</v>
      </c>
      <c r="R405" s="2">
        <v>45733.56295702546</v>
      </c>
      <c r="S405" t="s">
        <v>162</v>
      </c>
      <c r="T405" s="2">
        <v>45582.166666666664</v>
      </c>
      <c r="U405" s="2">
        <v>45714.208333333336</v>
      </c>
      <c r="V405" s="2">
        <v>45714.208333333336</v>
      </c>
      <c r="W405" s="2">
        <v>45716.208333333336</v>
      </c>
      <c r="X405" s="3">
        <f t="shared" si="60"/>
        <v>132.04166666667152</v>
      </c>
      <c r="Y405">
        <f t="shared" si="61"/>
        <v>2</v>
      </c>
      <c r="Z405">
        <f t="shared" si="62"/>
        <v>134.04166666667152</v>
      </c>
      <c r="AA405">
        <f t="shared" si="63"/>
        <v>337.37487268518453</v>
      </c>
      <c r="AB405">
        <f t="shared" si="64"/>
        <v>203.33320601851301</v>
      </c>
      <c r="AC405">
        <f>IFERROR(_xlfn.XLOOKUP(B405, HoldSummary!$A:$A, HoldSummary!B:B), 0)</f>
        <v>0</v>
      </c>
      <c r="AD405">
        <f>IFERROR(_xlfn.XLOOKUP(B405, HoldSummary!$A:$A, HoldSummary!C:C), 0)</f>
        <v>0</v>
      </c>
      <c r="AE405">
        <f>IFERROR(_xlfn.XLOOKUP(B405, HoldSummary!$A:$A, HoldSummary!D:D), 0)</f>
        <v>0</v>
      </c>
      <c r="AF405">
        <f>IFERROR(_xlfn.XLOOKUP(B405, HoldSummary!$A:$A, HoldSummary!E:E), 0)</f>
        <v>0</v>
      </c>
      <c r="AG405">
        <f>IFERROR(_xlfn.XLOOKUP(B405, HoldSummary!$A:$A, HoldSummary!F:F), 0)</f>
        <v>0</v>
      </c>
      <c r="AH405">
        <f>IFERROR(_xlfn.XLOOKUP(B405, HoldSummary!$A:$A, HoldSummary!G:G), 0)</f>
        <v>70</v>
      </c>
      <c r="AI405">
        <f>IFERROR(_xlfn.XLOOKUP(B405, HoldSummary!$A:$A, HoldSummary!H:H), 0)</f>
        <v>0</v>
      </c>
      <c r="AJ405">
        <f>IFERROR(_xlfn.XLOOKUP(B405, HoldSummary!$A:$A, HoldSummary!I:I), 0)</f>
        <v>154</v>
      </c>
      <c r="AK405">
        <f t="shared" si="65"/>
        <v>224</v>
      </c>
      <c r="AL405">
        <f t="shared" si="66"/>
        <v>113.37487268518453</v>
      </c>
      <c r="AM405">
        <f t="shared" si="67"/>
        <v>-20.66679398148699</v>
      </c>
      <c r="AN405" s="12">
        <f t="shared" si="68"/>
        <v>243.83333333333576</v>
      </c>
      <c r="AO405">
        <f t="shared" si="69"/>
        <v>0</v>
      </c>
    </row>
    <row r="406" spans="1:41" x14ac:dyDescent="0.35">
      <c r="A406" t="s">
        <v>23</v>
      </c>
      <c r="B406" t="s">
        <v>960</v>
      </c>
      <c r="C406" t="s">
        <v>461</v>
      </c>
      <c r="D406" t="s">
        <v>44</v>
      </c>
      <c r="E406" t="s">
        <v>45</v>
      </c>
      <c r="F406" t="s">
        <v>28</v>
      </c>
      <c r="G406">
        <v>22</v>
      </c>
      <c r="H406" t="s">
        <v>961</v>
      </c>
      <c r="I406" t="s">
        <v>30</v>
      </c>
      <c r="J406" t="s">
        <v>31</v>
      </c>
      <c r="K406" t="s">
        <v>38</v>
      </c>
      <c r="L406" t="s">
        <v>39</v>
      </c>
      <c r="N406" s="2">
        <v>45511.826435185183</v>
      </c>
      <c r="O406" s="2">
        <v>45604.208333333336</v>
      </c>
      <c r="P406" s="2">
        <v>45604.208333333336</v>
      </c>
      <c r="Q406" s="2">
        <v>45604</v>
      </c>
      <c r="R406" s="2">
        <v>45608.614876516207</v>
      </c>
      <c r="T406" s="2"/>
      <c r="U406" s="2"/>
      <c r="V406" s="2"/>
      <c r="W406" s="2"/>
      <c r="X406" s="3" t="str">
        <f t="shared" si="60"/>
        <v/>
      </c>
      <c r="Y406" t="str">
        <f t="shared" si="61"/>
        <v/>
      </c>
      <c r="Z406">
        <f t="shared" si="62"/>
        <v>0</v>
      </c>
      <c r="AA406">
        <f t="shared" si="63"/>
        <v>92.173564814816928</v>
      </c>
      <c r="AB406">
        <f t="shared" si="64"/>
        <v>92.173564814816928</v>
      </c>
      <c r="AC406">
        <f>IFERROR(_xlfn.XLOOKUP(B406, HoldSummary!$A:$A, HoldSummary!B:B), 0)</f>
        <v>0</v>
      </c>
      <c r="AD406">
        <f>IFERROR(_xlfn.XLOOKUP(B406, HoldSummary!$A:$A, HoldSummary!C:C), 0)</f>
        <v>0</v>
      </c>
      <c r="AE406">
        <f>IFERROR(_xlfn.XLOOKUP(B406, HoldSummary!$A:$A, HoldSummary!D:D), 0)</f>
        <v>0</v>
      </c>
      <c r="AF406">
        <f>IFERROR(_xlfn.XLOOKUP(B406, HoldSummary!$A:$A, HoldSummary!E:E), 0)</f>
        <v>0</v>
      </c>
      <c r="AG406">
        <f>IFERROR(_xlfn.XLOOKUP(B406, HoldSummary!$A:$A, HoldSummary!F:F), 0)</f>
        <v>0</v>
      </c>
      <c r="AH406">
        <f>IFERROR(_xlfn.XLOOKUP(B406, HoldSummary!$A:$A, HoldSummary!G:G), 0)</f>
        <v>0</v>
      </c>
      <c r="AI406">
        <f>IFERROR(_xlfn.XLOOKUP(B406, HoldSummary!$A:$A, HoldSummary!H:H), 0)</f>
        <v>0</v>
      </c>
      <c r="AJ406">
        <f>IFERROR(_xlfn.XLOOKUP(B406, HoldSummary!$A:$A, HoldSummary!I:I), 0)</f>
        <v>0</v>
      </c>
      <c r="AK406">
        <f t="shared" si="65"/>
        <v>0</v>
      </c>
      <c r="AL406">
        <f t="shared" si="66"/>
        <v>92.173564814816928</v>
      </c>
      <c r="AM406">
        <f t="shared" si="67"/>
        <v>92.173564814816928</v>
      </c>
      <c r="AN406" s="12">
        <f t="shared" si="68"/>
        <v>-0.20833333333575865</v>
      </c>
      <c r="AO406">
        <f t="shared" si="69"/>
        <v>1</v>
      </c>
    </row>
    <row r="407" spans="1:41" x14ac:dyDescent="0.35">
      <c r="A407" t="s">
        <v>23</v>
      </c>
      <c r="B407">
        <v>107426</v>
      </c>
      <c r="C407" t="s">
        <v>76</v>
      </c>
      <c r="D407" t="s">
        <v>44</v>
      </c>
      <c r="E407" t="s">
        <v>55</v>
      </c>
      <c r="F407" t="s">
        <v>28</v>
      </c>
      <c r="G407">
        <v>22</v>
      </c>
      <c r="H407" t="s">
        <v>962</v>
      </c>
      <c r="I407" t="s">
        <v>30</v>
      </c>
      <c r="J407" t="s">
        <v>31</v>
      </c>
      <c r="K407" t="s">
        <v>57</v>
      </c>
      <c r="L407" t="s">
        <v>39</v>
      </c>
      <c r="M407" t="s">
        <v>33</v>
      </c>
      <c r="N407" s="2">
        <v>45509.166666666664</v>
      </c>
      <c r="O407" s="2">
        <v>45714.208333333336</v>
      </c>
      <c r="P407" s="2">
        <v>45714.208333333336</v>
      </c>
      <c r="Q407" s="2">
        <v>45672</v>
      </c>
      <c r="R407" s="2">
        <v>45672.880501250002</v>
      </c>
      <c r="S407" t="s">
        <v>595</v>
      </c>
      <c r="T407" s="2">
        <v>45637.208333333336</v>
      </c>
      <c r="U407" s="2">
        <v>45642.208333333336</v>
      </c>
      <c r="V407" s="2">
        <v>45642.208333333336</v>
      </c>
      <c r="W407" s="2">
        <v>45660.208333333336</v>
      </c>
      <c r="X407" s="3">
        <f t="shared" si="60"/>
        <v>5</v>
      </c>
      <c r="Y407">
        <f t="shared" si="61"/>
        <v>18</v>
      </c>
      <c r="Z407">
        <f t="shared" si="62"/>
        <v>23</v>
      </c>
      <c r="AA407">
        <f t="shared" si="63"/>
        <v>162.83333333333576</v>
      </c>
      <c r="AB407">
        <f t="shared" si="64"/>
        <v>139.83333333333576</v>
      </c>
      <c r="AC407">
        <f>IFERROR(_xlfn.XLOOKUP(B407, HoldSummary!$A:$A, HoldSummary!B:B), 0)</f>
        <v>9</v>
      </c>
      <c r="AD407">
        <f>IFERROR(_xlfn.XLOOKUP(B407, HoldSummary!$A:$A, HoldSummary!C:C), 0)</f>
        <v>0</v>
      </c>
      <c r="AE407">
        <f>IFERROR(_xlfn.XLOOKUP(B407, HoldSummary!$A:$A, HoldSummary!D:D), 0)</f>
        <v>0</v>
      </c>
      <c r="AF407">
        <f>IFERROR(_xlfn.XLOOKUP(B407, HoldSummary!$A:$A, HoldSummary!E:E), 0)</f>
        <v>0</v>
      </c>
      <c r="AG407">
        <f>IFERROR(_xlfn.XLOOKUP(B407, HoldSummary!$A:$A, HoldSummary!F:F), 0)</f>
        <v>0</v>
      </c>
      <c r="AH407">
        <f>IFERROR(_xlfn.XLOOKUP(B407, HoldSummary!$A:$A, HoldSummary!G:G), 0)</f>
        <v>0</v>
      </c>
      <c r="AI407">
        <f>IFERROR(_xlfn.XLOOKUP(B407, HoldSummary!$A:$A, HoldSummary!H:H), 0)</f>
        <v>0</v>
      </c>
      <c r="AJ407">
        <f>IFERROR(_xlfn.XLOOKUP(B407, HoldSummary!$A:$A, HoldSummary!I:I), 0)</f>
        <v>0</v>
      </c>
      <c r="AK407">
        <f t="shared" si="65"/>
        <v>9</v>
      </c>
      <c r="AL407">
        <f t="shared" si="66"/>
        <v>153.83333333333576</v>
      </c>
      <c r="AM407">
        <f t="shared" si="67"/>
        <v>130.83333333333576</v>
      </c>
      <c r="AN407" s="12">
        <f t="shared" si="68"/>
        <v>-42.208333333335759</v>
      </c>
      <c r="AO407">
        <f t="shared" si="69"/>
        <v>1</v>
      </c>
    </row>
    <row r="408" spans="1:41" x14ac:dyDescent="0.35">
      <c r="A408" t="s">
        <v>23</v>
      </c>
      <c r="B408" t="s">
        <v>963</v>
      </c>
      <c r="C408" t="s">
        <v>409</v>
      </c>
      <c r="D408" t="s">
        <v>44</v>
      </c>
      <c r="E408" t="s">
        <v>45</v>
      </c>
      <c r="F408" t="s">
        <v>28</v>
      </c>
      <c r="G408">
        <v>22</v>
      </c>
      <c r="H408" t="s">
        <v>964</v>
      </c>
      <c r="I408" t="s">
        <v>30</v>
      </c>
      <c r="J408" t="s">
        <v>31</v>
      </c>
      <c r="K408" t="s">
        <v>38</v>
      </c>
      <c r="L408" t="s">
        <v>39</v>
      </c>
      <c r="M408" t="s">
        <v>33</v>
      </c>
      <c r="N408" s="2">
        <v>45636.803935185184</v>
      </c>
      <c r="O408" s="2">
        <v>45799.166666666664</v>
      </c>
      <c r="P408" s="2">
        <v>45777.166666666664</v>
      </c>
      <c r="Q408" s="2">
        <v>45754</v>
      </c>
      <c r="R408" s="2">
        <v>45755.541161446759</v>
      </c>
      <c r="S408" t="s">
        <v>965</v>
      </c>
      <c r="T408" s="2">
        <v>45723.208333333336</v>
      </c>
      <c r="U408" s="2">
        <v>45723.208333333336</v>
      </c>
      <c r="V408" s="2">
        <v>45723.208333333336</v>
      </c>
      <c r="W408" s="2">
        <v>45743.166666666664</v>
      </c>
      <c r="X408" s="3">
        <f t="shared" si="60"/>
        <v>0</v>
      </c>
      <c r="Y408">
        <f t="shared" si="61"/>
        <v>19.958333333328483</v>
      </c>
      <c r="Z408">
        <f t="shared" si="62"/>
        <v>19.958333333328483</v>
      </c>
      <c r="AA408">
        <f t="shared" si="63"/>
        <v>117.19606481481605</v>
      </c>
      <c r="AB408">
        <f t="shared" si="64"/>
        <v>97.237731481487572</v>
      </c>
      <c r="AC408">
        <f>IFERROR(_xlfn.XLOOKUP(B408, HoldSummary!$A:$A, HoldSummary!B:B), 0)</f>
        <v>12</v>
      </c>
      <c r="AD408">
        <f>IFERROR(_xlfn.XLOOKUP(B408, HoldSummary!$A:$A, HoldSummary!C:C), 0)</f>
        <v>0</v>
      </c>
      <c r="AE408">
        <f>IFERROR(_xlfn.XLOOKUP(B408, HoldSummary!$A:$A, HoldSummary!D:D), 0)</f>
        <v>0</v>
      </c>
      <c r="AF408">
        <f>IFERROR(_xlfn.XLOOKUP(B408, HoldSummary!$A:$A, HoldSummary!E:E), 0)</f>
        <v>0</v>
      </c>
      <c r="AG408">
        <f>IFERROR(_xlfn.XLOOKUP(B408, HoldSummary!$A:$A, HoldSummary!F:F), 0)</f>
        <v>0</v>
      </c>
      <c r="AH408">
        <f>IFERROR(_xlfn.XLOOKUP(B408, HoldSummary!$A:$A, HoldSummary!G:G), 0)</f>
        <v>0</v>
      </c>
      <c r="AI408">
        <f>IFERROR(_xlfn.XLOOKUP(B408, HoldSummary!$A:$A, HoldSummary!H:H), 0)</f>
        <v>0</v>
      </c>
      <c r="AJ408">
        <f>IFERROR(_xlfn.XLOOKUP(B408, HoldSummary!$A:$A, HoldSummary!I:I), 0)</f>
        <v>0</v>
      </c>
      <c r="AK408">
        <f t="shared" si="65"/>
        <v>12</v>
      </c>
      <c r="AL408">
        <f t="shared" si="66"/>
        <v>105.19606481481605</v>
      </c>
      <c r="AM408">
        <f t="shared" si="67"/>
        <v>85.237731481487572</v>
      </c>
      <c r="AN408" s="12">
        <f t="shared" si="68"/>
        <v>-45.166666666664241</v>
      </c>
      <c r="AO408">
        <f t="shared" si="69"/>
        <v>1</v>
      </c>
    </row>
    <row r="409" spans="1:41" x14ac:dyDescent="0.35">
      <c r="A409" t="s">
        <v>23</v>
      </c>
      <c r="B409" t="s">
        <v>966</v>
      </c>
      <c r="C409" t="s">
        <v>409</v>
      </c>
      <c r="D409" t="s">
        <v>44</v>
      </c>
      <c r="E409" t="s">
        <v>45</v>
      </c>
      <c r="F409" t="s">
        <v>28</v>
      </c>
      <c r="G409">
        <v>22</v>
      </c>
      <c r="H409" t="s">
        <v>967</v>
      </c>
      <c r="I409" t="s">
        <v>30</v>
      </c>
      <c r="J409" t="s">
        <v>31</v>
      </c>
      <c r="K409" t="s">
        <v>38</v>
      </c>
      <c r="L409" t="s">
        <v>39</v>
      </c>
      <c r="M409" t="s">
        <v>81</v>
      </c>
      <c r="N409" s="2">
        <v>45688.834050925929</v>
      </c>
      <c r="O409" s="2">
        <v>45839.166666666664</v>
      </c>
      <c r="P409" s="2">
        <v>45828.166666666664</v>
      </c>
      <c r="Q409" s="2">
        <v>45817</v>
      </c>
      <c r="R409" s="2">
        <v>45817.823263738428</v>
      </c>
      <c r="S409" t="s">
        <v>968</v>
      </c>
      <c r="T409" s="2">
        <v>45796.166666666664</v>
      </c>
      <c r="U409" s="2">
        <v>45796.166666666664</v>
      </c>
      <c r="V409" s="2">
        <v>45796.166666666664</v>
      </c>
      <c r="W409" s="2">
        <v>45796.166666666664</v>
      </c>
      <c r="X409" s="3">
        <f t="shared" si="60"/>
        <v>0</v>
      </c>
      <c r="Y409">
        <f t="shared" si="61"/>
        <v>0</v>
      </c>
      <c r="Z409">
        <f t="shared" si="62"/>
        <v>0</v>
      </c>
      <c r="AA409">
        <f t="shared" si="63"/>
        <v>128.16594907407125</v>
      </c>
      <c r="AB409">
        <f t="shared" si="64"/>
        <v>128.16594907407125</v>
      </c>
      <c r="AC409">
        <f>IFERROR(_xlfn.XLOOKUP(B409, HoldSummary!$A:$A, HoldSummary!B:B), 0)</f>
        <v>10</v>
      </c>
      <c r="AD409">
        <f>IFERROR(_xlfn.XLOOKUP(B409, HoldSummary!$A:$A, HoldSummary!C:C), 0)</f>
        <v>5</v>
      </c>
      <c r="AE409">
        <f>IFERROR(_xlfn.XLOOKUP(B409, HoldSummary!$A:$A, HoldSummary!D:D), 0)</f>
        <v>0</v>
      </c>
      <c r="AF409">
        <f>IFERROR(_xlfn.XLOOKUP(B409, HoldSummary!$A:$A, HoldSummary!E:E), 0)</f>
        <v>0</v>
      </c>
      <c r="AG409">
        <f>IFERROR(_xlfn.XLOOKUP(B409, HoldSummary!$A:$A, HoldSummary!F:F), 0)</f>
        <v>0</v>
      </c>
      <c r="AH409">
        <f>IFERROR(_xlfn.XLOOKUP(B409, HoldSummary!$A:$A, HoldSummary!G:G), 0)</f>
        <v>0</v>
      </c>
      <c r="AI409">
        <f>IFERROR(_xlfn.XLOOKUP(B409, HoldSummary!$A:$A, HoldSummary!H:H), 0)</f>
        <v>0</v>
      </c>
      <c r="AJ409">
        <f>IFERROR(_xlfn.XLOOKUP(B409, HoldSummary!$A:$A, HoldSummary!I:I), 0)</f>
        <v>0</v>
      </c>
      <c r="AK409">
        <f t="shared" si="65"/>
        <v>15</v>
      </c>
      <c r="AL409">
        <f t="shared" si="66"/>
        <v>113.16594907407125</v>
      </c>
      <c r="AM409">
        <f t="shared" si="67"/>
        <v>113.16594907407125</v>
      </c>
      <c r="AN409" s="12">
        <f t="shared" si="68"/>
        <v>-22.166666666664241</v>
      </c>
      <c r="AO409">
        <f t="shared" si="69"/>
        <v>1</v>
      </c>
    </row>
    <row r="410" spans="1:41" x14ac:dyDescent="0.35">
      <c r="A410" t="s">
        <v>23</v>
      </c>
      <c r="B410" t="s">
        <v>969</v>
      </c>
      <c r="C410" t="s">
        <v>36</v>
      </c>
      <c r="D410" t="s">
        <v>44</v>
      </c>
      <c r="E410" t="s">
        <v>45</v>
      </c>
      <c r="F410" t="s">
        <v>28</v>
      </c>
      <c r="G410">
        <v>22</v>
      </c>
      <c r="H410" t="s">
        <v>970</v>
      </c>
      <c r="I410" t="s">
        <v>30</v>
      </c>
      <c r="J410" t="s">
        <v>31</v>
      </c>
      <c r="K410" t="s">
        <v>48</v>
      </c>
      <c r="L410" t="s">
        <v>827</v>
      </c>
      <c r="M410" t="s">
        <v>33</v>
      </c>
      <c r="N410" s="2">
        <v>45768.524328703701</v>
      </c>
      <c r="O410" s="2">
        <v>45777.166666666664</v>
      </c>
      <c r="P410" s="2">
        <v>45777.166666666664</v>
      </c>
      <c r="Q410" s="2">
        <v>45777</v>
      </c>
      <c r="R410" s="2">
        <v>45777.49742</v>
      </c>
      <c r="T410" s="2"/>
      <c r="U410" s="2"/>
      <c r="V410" s="2"/>
      <c r="W410" s="2"/>
      <c r="X410" s="3" t="str">
        <f t="shared" si="60"/>
        <v/>
      </c>
      <c r="Y410" t="str">
        <f t="shared" si="61"/>
        <v/>
      </c>
      <c r="Z410">
        <f t="shared" si="62"/>
        <v>0</v>
      </c>
      <c r="AA410">
        <f t="shared" si="63"/>
        <v>8.4756712962989695</v>
      </c>
      <c r="AB410">
        <f t="shared" si="64"/>
        <v>8.4756712962989695</v>
      </c>
      <c r="AC410">
        <f>IFERROR(_xlfn.XLOOKUP(B410, HoldSummary!$A:$A, HoldSummary!B:B), 0)</f>
        <v>0</v>
      </c>
      <c r="AD410">
        <f>IFERROR(_xlfn.XLOOKUP(B410, HoldSummary!$A:$A, HoldSummary!C:C), 0)</f>
        <v>0</v>
      </c>
      <c r="AE410">
        <f>IFERROR(_xlfn.XLOOKUP(B410, HoldSummary!$A:$A, HoldSummary!D:D), 0)</f>
        <v>0</v>
      </c>
      <c r="AF410">
        <f>IFERROR(_xlfn.XLOOKUP(B410, HoldSummary!$A:$A, HoldSummary!E:E), 0)</f>
        <v>0</v>
      </c>
      <c r="AG410">
        <f>IFERROR(_xlfn.XLOOKUP(B410, HoldSummary!$A:$A, HoldSummary!F:F), 0)</f>
        <v>0</v>
      </c>
      <c r="AH410">
        <f>IFERROR(_xlfn.XLOOKUP(B410, HoldSummary!$A:$A, HoldSummary!G:G), 0)</f>
        <v>0</v>
      </c>
      <c r="AI410">
        <f>IFERROR(_xlfn.XLOOKUP(B410, HoldSummary!$A:$A, HoldSummary!H:H), 0)</f>
        <v>0</v>
      </c>
      <c r="AJ410">
        <f>IFERROR(_xlfn.XLOOKUP(B410, HoldSummary!$A:$A, HoldSummary!I:I), 0)</f>
        <v>0</v>
      </c>
      <c r="AK410">
        <f t="shared" si="65"/>
        <v>0</v>
      </c>
      <c r="AL410">
        <f t="shared" si="66"/>
        <v>8.4756712962989695</v>
      </c>
      <c r="AM410">
        <f t="shared" si="67"/>
        <v>8.4756712962989695</v>
      </c>
      <c r="AN410" s="12">
        <f t="shared" si="68"/>
        <v>-0.16666666666424135</v>
      </c>
      <c r="AO410">
        <f t="shared" si="69"/>
        <v>1</v>
      </c>
    </row>
    <row r="411" spans="1:41" x14ac:dyDescent="0.35">
      <c r="A411" t="s">
        <v>23</v>
      </c>
      <c r="B411" t="s">
        <v>971</v>
      </c>
      <c r="C411" t="s">
        <v>36</v>
      </c>
      <c r="D411" t="s">
        <v>44</v>
      </c>
      <c r="E411" t="s">
        <v>45</v>
      </c>
      <c r="F411" t="s">
        <v>28</v>
      </c>
      <c r="G411">
        <v>22</v>
      </c>
      <c r="H411" t="s">
        <v>972</v>
      </c>
      <c r="I411" t="s">
        <v>30</v>
      </c>
      <c r="J411" t="s">
        <v>31</v>
      </c>
      <c r="K411" t="s">
        <v>48</v>
      </c>
      <c r="L411" t="s">
        <v>827</v>
      </c>
      <c r="M411" t="s">
        <v>33</v>
      </c>
      <c r="N411" s="2">
        <v>45775.841412037036</v>
      </c>
      <c r="O411" s="2">
        <v>45792.166666666664</v>
      </c>
      <c r="P411" s="2">
        <v>45792.166666666664</v>
      </c>
      <c r="Q411" s="2">
        <v>45790</v>
      </c>
      <c r="R411" s="2">
        <v>45791.507246145833</v>
      </c>
      <c r="S411" t="s">
        <v>104</v>
      </c>
      <c r="T411" s="2"/>
      <c r="U411" s="2"/>
      <c r="V411" s="2"/>
      <c r="W411" s="2"/>
      <c r="X411" s="3" t="str">
        <f t="shared" si="60"/>
        <v/>
      </c>
      <c r="Y411" t="str">
        <f t="shared" si="61"/>
        <v/>
      </c>
      <c r="Z411">
        <f t="shared" si="62"/>
        <v>0</v>
      </c>
      <c r="AA411">
        <f t="shared" si="63"/>
        <v>14.158587962963793</v>
      </c>
      <c r="AB411">
        <f t="shared" si="64"/>
        <v>14.158587962963793</v>
      </c>
      <c r="AC411">
        <f>IFERROR(_xlfn.XLOOKUP(B411, HoldSummary!$A:$A, HoldSummary!B:B), 0)</f>
        <v>0</v>
      </c>
      <c r="AD411">
        <f>IFERROR(_xlfn.XLOOKUP(B411, HoldSummary!$A:$A, HoldSummary!C:C), 0)</f>
        <v>0</v>
      </c>
      <c r="AE411">
        <f>IFERROR(_xlfn.XLOOKUP(B411, HoldSummary!$A:$A, HoldSummary!D:D), 0)</f>
        <v>0</v>
      </c>
      <c r="AF411">
        <f>IFERROR(_xlfn.XLOOKUP(B411, HoldSummary!$A:$A, HoldSummary!E:E), 0)</f>
        <v>0</v>
      </c>
      <c r="AG411">
        <f>IFERROR(_xlfn.XLOOKUP(B411, HoldSummary!$A:$A, HoldSummary!F:F), 0)</f>
        <v>0</v>
      </c>
      <c r="AH411">
        <f>IFERROR(_xlfn.XLOOKUP(B411, HoldSummary!$A:$A, HoldSummary!G:G), 0)</f>
        <v>0</v>
      </c>
      <c r="AI411">
        <f>IFERROR(_xlfn.XLOOKUP(B411, HoldSummary!$A:$A, HoldSummary!H:H), 0)</f>
        <v>0</v>
      </c>
      <c r="AJ411">
        <f>IFERROR(_xlfn.XLOOKUP(B411, HoldSummary!$A:$A, HoldSummary!I:I), 0)</f>
        <v>0</v>
      </c>
      <c r="AK411">
        <f t="shared" si="65"/>
        <v>0</v>
      </c>
      <c r="AL411">
        <f t="shared" si="66"/>
        <v>14.158587962963793</v>
      </c>
      <c r="AM411">
        <f t="shared" si="67"/>
        <v>14.158587962963793</v>
      </c>
      <c r="AN411" s="12">
        <f t="shared" si="68"/>
        <v>-2.1666666666642413</v>
      </c>
      <c r="AO411">
        <f t="shared" si="69"/>
        <v>1</v>
      </c>
    </row>
    <row r="412" spans="1:41" x14ac:dyDescent="0.35">
      <c r="A412" t="s">
        <v>23</v>
      </c>
      <c r="B412" t="s">
        <v>973</v>
      </c>
      <c r="C412" t="s">
        <v>76</v>
      </c>
      <c r="D412" t="s">
        <v>44</v>
      </c>
      <c r="E412" t="s">
        <v>45</v>
      </c>
      <c r="F412" t="s">
        <v>28</v>
      </c>
      <c r="G412">
        <v>23</v>
      </c>
      <c r="H412" t="s">
        <v>974</v>
      </c>
      <c r="I412" t="s">
        <v>30</v>
      </c>
      <c r="J412" t="s">
        <v>31</v>
      </c>
      <c r="K412" t="s">
        <v>38</v>
      </c>
      <c r="L412" t="s">
        <v>39</v>
      </c>
      <c r="M412" t="s">
        <v>33</v>
      </c>
      <c r="N412" s="2">
        <v>45518.834918981483</v>
      </c>
      <c r="O412" s="2">
        <v>45673.208333333336</v>
      </c>
      <c r="P412" s="2">
        <v>45708.208333333336</v>
      </c>
      <c r="Q412" s="2">
        <v>45688</v>
      </c>
      <c r="R412" s="2">
        <v>45691.831195868057</v>
      </c>
      <c r="T412" s="2">
        <v>45615.208333333336</v>
      </c>
      <c r="U412" s="2">
        <v>45632.208333333336</v>
      </c>
      <c r="V412" s="2">
        <v>45632.208333333336</v>
      </c>
      <c r="W412" s="2">
        <v>45637.208333333336</v>
      </c>
      <c r="X412" s="3">
        <f t="shared" si="60"/>
        <v>17</v>
      </c>
      <c r="Y412">
        <f t="shared" si="61"/>
        <v>5</v>
      </c>
      <c r="Z412">
        <f t="shared" si="62"/>
        <v>22</v>
      </c>
      <c r="AA412">
        <f t="shared" si="63"/>
        <v>169.1650810185165</v>
      </c>
      <c r="AB412">
        <f t="shared" si="64"/>
        <v>147.1650810185165</v>
      </c>
      <c r="AC412">
        <f>IFERROR(_xlfn.XLOOKUP(B412, HoldSummary!$A:$A, HoldSummary!B:B), 0)</f>
        <v>0</v>
      </c>
      <c r="AD412">
        <f>IFERROR(_xlfn.XLOOKUP(B412, HoldSummary!$A:$A, HoldSummary!C:C), 0)</f>
        <v>0</v>
      </c>
      <c r="AE412">
        <f>IFERROR(_xlfn.XLOOKUP(B412, HoldSummary!$A:$A, HoldSummary!D:D), 0)</f>
        <v>0</v>
      </c>
      <c r="AF412">
        <f>IFERROR(_xlfn.XLOOKUP(B412, HoldSummary!$A:$A, HoldSummary!E:E), 0)</f>
        <v>0</v>
      </c>
      <c r="AG412">
        <f>IFERROR(_xlfn.XLOOKUP(B412, HoldSummary!$A:$A, HoldSummary!F:F), 0)</f>
        <v>0</v>
      </c>
      <c r="AH412">
        <f>IFERROR(_xlfn.XLOOKUP(B412, HoldSummary!$A:$A, HoldSummary!G:G), 0)</f>
        <v>0</v>
      </c>
      <c r="AI412">
        <f>IFERROR(_xlfn.XLOOKUP(B412, HoldSummary!$A:$A, HoldSummary!H:H), 0)</f>
        <v>0</v>
      </c>
      <c r="AJ412">
        <f>IFERROR(_xlfn.XLOOKUP(B412, HoldSummary!$A:$A, HoldSummary!I:I), 0)</f>
        <v>0</v>
      </c>
      <c r="AK412">
        <f t="shared" si="65"/>
        <v>0</v>
      </c>
      <c r="AL412">
        <f t="shared" si="66"/>
        <v>169.1650810185165</v>
      </c>
      <c r="AM412">
        <f t="shared" si="67"/>
        <v>147.1650810185165</v>
      </c>
      <c r="AN412" s="12">
        <f t="shared" si="68"/>
        <v>14.791666666664241</v>
      </c>
      <c r="AO412">
        <f t="shared" si="69"/>
        <v>0</v>
      </c>
    </row>
    <row r="413" spans="1:41" x14ac:dyDescent="0.35">
      <c r="A413" t="s">
        <v>23</v>
      </c>
      <c r="B413" t="s">
        <v>975</v>
      </c>
      <c r="C413" t="s">
        <v>130</v>
      </c>
      <c r="D413" t="s">
        <v>44</v>
      </c>
      <c r="E413" t="s">
        <v>45</v>
      </c>
      <c r="F413" t="s">
        <v>28</v>
      </c>
      <c r="G413">
        <v>23</v>
      </c>
      <c r="H413" t="s">
        <v>976</v>
      </c>
      <c r="I413" t="s">
        <v>30</v>
      </c>
      <c r="J413" t="s">
        <v>31</v>
      </c>
      <c r="K413" t="s">
        <v>38</v>
      </c>
      <c r="L413" t="s">
        <v>39</v>
      </c>
      <c r="M413" t="s">
        <v>33</v>
      </c>
      <c r="N413" s="2">
        <v>45636.800000000003</v>
      </c>
      <c r="O413" s="2">
        <v>45805.166666666664</v>
      </c>
      <c r="P413" s="2">
        <v>45805.166666666664</v>
      </c>
      <c r="Q413" s="2">
        <v>45777</v>
      </c>
      <c r="R413" s="2">
        <v>45777.608563298614</v>
      </c>
      <c r="S413" t="s">
        <v>93</v>
      </c>
      <c r="T413" s="2">
        <v>45741.166666666664</v>
      </c>
      <c r="U413" s="2">
        <v>45741.166666666664</v>
      </c>
      <c r="V413" s="2">
        <v>45741.166666666664</v>
      </c>
      <c r="W413" s="2">
        <v>45771.166666666664</v>
      </c>
      <c r="X413" s="3">
        <f t="shared" si="60"/>
        <v>0</v>
      </c>
      <c r="Y413">
        <f t="shared" si="61"/>
        <v>30</v>
      </c>
      <c r="Z413">
        <f t="shared" si="62"/>
        <v>30</v>
      </c>
      <c r="AA413">
        <f t="shared" si="63"/>
        <v>140.19999999999709</v>
      </c>
      <c r="AB413">
        <f t="shared" si="64"/>
        <v>110.19999999999709</v>
      </c>
      <c r="AC413">
        <f>IFERROR(_xlfn.XLOOKUP(B413, HoldSummary!$A:$A, HoldSummary!B:B), 0)</f>
        <v>39</v>
      </c>
      <c r="AD413">
        <f>IFERROR(_xlfn.XLOOKUP(B413, HoldSummary!$A:$A, HoldSummary!C:C), 0)</f>
        <v>0</v>
      </c>
      <c r="AE413">
        <f>IFERROR(_xlfn.XLOOKUP(B413, HoldSummary!$A:$A, HoldSummary!D:D), 0)</f>
        <v>0</v>
      </c>
      <c r="AF413">
        <f>IFERROR(_xlfn.XLOOKUP(B413, HoldSummary!$A:$A, HoldSummary!E:E), 0)</f>
        <v>0</v>
      </c>
      <c r="AG413">
        <f>IFERROR(_xlfn.XLOOKUP(B413, HoldSummary!$A:$A, HoldSummary!F:F), 0)</f>
        <v>0</v>
      </c>
      <c r="AH413">
        <f>IFERROR(_xlfn.XLOOKUP(B413, HoldSummary!$A:$A, HoldSummary!G:G), 0)</f>
        <v>0</v>
      </c>
      <c r="AI413">
        <f>IFERROR(_xlfn.XLOOKUP(B413, HoldSummary!$A:$A, HoldSummary!H:H), 0)</f>
        <v>0</v>
      </c>
      <c r="AJ413">
        <f>IFERROR(_xlfn.XLOOKUP(B413, HoldSummary!$A:$A, HoldSummary!I:I), 0)</f>
        <v>0</v>
      </c>
      <c r="AK413">
        <f t="shared" si="65"/>
        <v>39</v>
      </c>
      <c r="AL413">
        <f t="shared" si="66"/>
        <v>101.19999999999709</v>
      </c>
      <c r="AM413">
        <f t="shared" si="67"/>
        <v>71.19999999999709</v>
      </c>
      <c r="AN413" s="12">
        <f t="shared" si="68"/>
        <v>-28.166666666664241</v>
      </c>
      <c r="AO413">
        <f t="shared" si="69"/>
        <v>1</v>
      </c>
    </row>
    <row r="414" spans="1:41" x14ac:dyDescent="0.35">
      <c r="A414" t="s">
        <v>23</v>
      </c>
      <c r="B414" t="s">
        <v>977</v>
      </c>
      <c r="C414" t="s">
        <v>54</v>
      </c>
      <c r="D414" t="s">
        <v>44</v>
      </c>
      <c r="E414" t="s">
        <v>45</v>
      </c>
      <c r="F414" t="s">
        <v>28</v>
      </c>
      <c r="G414">
        <v>23</v>
      </c>
      <c r="H414" t="s">
        <v>978</v>
      </c>
      <c r="I414" t="s">
        <v>30</v>
      </c>
      <c r="J414" t="s">
        <v>208</v>
      </c>
      <c r="K414" t="s">
        <v>48</v>
      </c>
      <c r="L414" t="s">
        <v>192</v>
      </c>
      <c r="M414" t="s">
        <v>33</v>
      </c>
      <c r="N414" s="2">
        <v>45798.463750000003</v>
      </c>
      <c r="O414" s="2">
        <v>46203.166666666664</v>
      </c>
      <c r="P414" s="2">
        <v>45838.166666666664</v>
      </c>
      <c r="Q414" s="2">
        <v>45827</v>
      </c>
      <c r="R414" s="2">
        <v>45834.815396435188</v>
      </c>
      <c r="S414" t="s">
        <v>97</v>
      </c>
      <c r="T414" s="2"/>
      <c r="U414" s="2"/>
      <c r="V414" s="2"/>
      <c r="W414" s="2"/>
      <c r="X414" s="3" t="str">
        <f t="shared" si="60"/>
        <v/>
      </c>
      <c r="Y414" t="str">
        <f t="shared" si="61"/>
        <v/>
      </c>
      <c r="Z414">
        <f t="shared" si="62"/>
        <v>0</v>
      </c>
      <c r="AA414">
        <f t="shared" si="63"/>
        <v>28.536249999997381</v>
      </c>
      <c r="AB414">
        <f t="shared" si="64"/>
        <v>28.536249999997381</v>
      </c>
      <c r="AC414">
        <f>IFERROR(_xlfn.XLOOKUP(B414, HoldSummary!$A:$A, HoldSummary!B:B), 0)</f>
        <v>0</v>
      </c>
      <c r="AD414">
        <f>IFERROR(_xlfn.XLOOKUP(B414, HoldSummary!$A:$A, HoldSummary!C:C), 0)</f>
        <v>0</v>
      </c>
      <c r="AE414">
        <f>IFERROR(_xlfn.XLOOKUP(B414, HoldSummary!$A:$A, HoldSummary!D:D), 0)</f>
        <v>0</v>
      </c>
      <c r="AF414">
        <f>IFERROR(_xlfn.XLOOKUP(B414, HoldSummary!$A:$A, HoldSummary!E:E), 0)</f>
        <v>0</v>
      </c>
      <c r="AG414">
        <f>IFERROR(_xlfn.XLOOKUP(B414, HoldSummary!$A:$A, HoldSummary!F:F), 0)</f>
        <v>0</v>
      </c>
      <c r="AH414">
        <f>IFERROR(_xlfn.XLOOKUP(B414, HoldSummary!$A:$A, HoldSummary!G:G), 0)</f>
        <v>0</v>
      </c>
      <c r="AI414">
        <f>IFERROR(_xlfn.XLOOKUP(B414, HoldSummary!$A:$A, HoldSummary!H:H), 0)</f>
        <v>0</v>
      </c>
      <c r="AJ414">
        <f>IFERROR(_xlfn.XLOOKUP(B414, HoldSummary!$A:$A, HoldSummary!I:I), 0)</f>
        <v>0</v>
      </c>
      <c r="AK414">
        <f t="shared" si="65"/>
        <v>0</v>
      </c>
      <c r="AL414">
        <f t="shared" si="66"/>
        <v>28.536249999997381</v>
      </c>
      <c r="AM414">
        <f t="shared" si="67"/>
        <v>28.536249999997381</v>
      </c>
      <c r="AN414" s="12">
        <f t="shared" si="68"/>
        <v>-376.16666666666424</v>
      </c>
      <c r="AO414">
        <f t="shared" si="69"/>
        <v>1</v>
      </c>
    </row>
    <row r="415" spans="1:41" x14ac:dyDescent="0.35">
      <c r="A415" t="s">
        <v>23</v>
      </c>
      <c r="B415" t="s">
        <v>2220</v>
      </c>
      <c r="C415" t="s">
        <v>36</v>
      </c>
      <c r="D415" t="s">
        <v>44</v>
      </c>
      <c r="E415" t="s">
        <v>45</v>
      </c>
      <c r="F415" t="s">
        <v>28</v>
      </c>
      <c r="G415">
        <v>23</v>
      </c>
      <c r="H415" t="s">
        <v>2222</v>
      </c>
      <c r="I415" t="s">
        <v>30</v>
      </c>
      <c r="J415" t="s">
        <v>31</v>
      </c>
      <c r="K415" t="s">
        <v>48</v>
      </c>
      <c r="L415" t="s">
        <v>39</v>
      </c>
      <c r="M415" t="s">
        <v>81</v>
      </c>
      <c r="N415" s="2">
        <v>45806.689525462964</v>
      </c>
      <c r="O415" s="2">
        <v>45884.166666666664</v>
      </c>
      <c r="P415" s="2">
        <v>45868.166666666664</v>
      </c>
      <c r="Q415" s="2">
        <v>45866</v>
      </c>
      <c r="R415" s="2">
        <v>45866.889238263888</v>
      </c>
      <c r="S415" t="s">
        <v>84</v>
      </c>
      <c r="T415" s="2">
        <v>45845.166666666664</v>
      </c>
      <c r="U415" s="2">
        <v>45845.166666666664</v>
      </c>
      <c r="V415" s="2"/>
      <c r="W415" s="2">
        <v>45845.166666666664</v>
      </c>
      <c r="X415" s="3">
        <f t="shared" si="60"/>
        <v>0</v>
      </c>
      <c r="Y415" t="str">
        <f t="shared" si="61"/>
        <v/>
      </c>
      <c r="Z415">
        <f t="shared" si="62"/>
        <v>0</v>
      </c>
      <c r="AA415">
        <f t="shared" si="63"/>
        <v>59.310474537036498</v>
      </c>
      <c r="AB415">
        <f t="shared" si="64"/>
        <v>59.310474537036498</v>
      </c>
      <c r="AC415">
        <f>IFERROR(_xlfn.XLOOKUP(B415, HoldSummary!$A:$A, HoldSummary!B:B), 0)</f>
        <v>0</v>
      </c>
      <c r="AD415">
        <f>IFERROR(_xlfn.XLOOKUP(B415, HoldSummary!$A:$A, HoldSummary!C:C), 0)</f>
        <v>0</v>
      </c>
      <c r="AE415">
        <f>IFERROR(_xlfn.XLOOKUP(B415, HoldSummary!$A:$A, HoldSummary!D:D), 0)</f>
        <v>0</v>
      </c>
      <c r="AF415">
        <f>IFERROR(_xlfn.XLOOKUP(B415, HoldSummary!$A:$A, HoldSummary!E:E), 0)</f>
        <v>0</v>
      </c>
      <c r="AG415">
        <f>IFERROR(_xlfn.XLOOKUP(B415, HoldSummary!$A:$A, HoldSummary!F:F), 0)</f>
        <v>0</v>
      </c>
      <c r="AH415">
        <f>IFERROR(_xlfn.XLOOKUP(B415, HoldSummary!$A:$A, HoldSummary!G:G), 0)</f>
        <v>0</v>
      </c>
      <c r="AI415">
        <f>IFERROR(_xlfn.XLOOKUP(B415, HoldSummary!$A:$A, HoldSummary!H:H), 0)</f>
        <v>0</v>
      </c>
      <c r="AJ415">
        <f>IFERROR(_xlfn.XLOOKUP(B415, HoldSummary!$A:$A, HoldSummary!I:I), 0)</f>
        <v>0</v>
      </c>
      <c r="AK415">
        <f t="shared" si="65"/>
        <v>0</v>
      </c>
      <c r="AL415">
        <f t="shared" si="66"/>
        <v>59.310474537036498</v>
      </c>
      <c r="AM415">
        <f t="shared" si="67"/>
        <v>59.310474537036498</v>
      </c>
      <c r="AN415" s="12">
        <f t="shared" si="68"/>
        <v>-18.166666666664241</v>
      </c>
      <c r="AO415">
        <f t="shared" si="69"/>
        <v>1</v>
      </c>
    </row>
    <row r="416" spans="1:41" x14ac:dyDescent="0.35">
      <c r="A416" t="s">
        <v>23</v>
      </c>
      <c r="B416" t="s">
        <v>979</v>
      </c>
      <c r="C416" t="s">
        <v>76</v>
      </c>
      <c r="D416" t="s">
        <v>44</v>
      </c>
      <c r="E416" t="s">
        <v>45</v>
      </c>
      <c r="F416" t="s">
        <v>28</v>
      </c>
      <c r="G416">
        <v>24</v>
      </c>
      <c r="H416" t="s">
        <v>980</v>
      </c>
      <c r="I416" t="s">
        <v>30</v>
      </c>
      <c r="J416" t="s">
        <v>31</v>
      </c>
      <c r="K416" t="s">
        <v>48</v>
      </c>
      <c r="L416" t="s">
        <v>49</v>
      </c>
      <c r="M416" t="s">
        <v>81</v>
      </c>
      <c r="N416" s="2">
        <v>45532.588587962964</v>
      </c>
      <c r="O416" s="2">
        <v>45756.166666666664</v>
      </c>
      <c r="P416" s="2">
        <v>45765.166666666664</v>
      </c>
      <c r="Q416" s="2">
        <v>45747</v>
      </c>
      <c r="R416" s="2">
        <v>45747.721655069443</v>
      </c>
      <c r="T416" s="2">
        <v>45602.208333333336</v>
      </c>
      <c r="U416" s="2">
        <v>45603.208333333336</v>
      </c>
      <c r="V416" s="2">
        <v>45603.208333333336</v>
      </c>
      <c r="W416" s="2">
        <v>45737.166666666664</v>
      </c>
      <c r="X416" s="3">
        <f t="shared" si="60"/>
        <v>1</v>
      </c>
      <c r="Y416">
        <f t="shared" si="61"/>
        <v>133.95833333332848</v>
      </c>
      <c r="Z416">
        <f t="shared" si="62"/>
        <v>134.95833333332848</v>
      </c>
      <c r="AA416">
        <f t="shared" si="63"/>
        <v>214.41141203703592</v>
      </c>
      <c r="AB416">
        <f t="shared" si="64"/>
        <v>79.453078703707433</v>
      </c>
      <c r="AC416">
        <f>IFERROR(_xlfn.XLOOKUP(B416, HoldSummary!$A:$A, HoldSummary!B:B), 0)</f>
        <v>13.062614375005069</v>
      </c>
      <c r="AD416">
        <f>IFERROR(_xlfn.XLOOKUP(B416, HoldSummary!$A:$A, HoldSummary!C:C), 0)</f>
        <v>0</v>
      </c>
      <c r="AE416">
        <f>IFERROR(_xlfn.XLOOKUP(B416, HoldSummary!$A:$A, HoldSummary!D:D), 0)</f>
        <v>0</v>
      </c>
      <c r="AF416">
        <f>IFERROR(_xlfn.XLOOKUP(B416, HoldSummary!$A:$A, HoldSummary!E:E), 0)</f>
        <v>0</v>
      </c>
      <c r="AG416">
        <f>IFERROR(_xlfn.XLOOKUP(B416, HoldSummary!$A:$A, HoldSummary!F:F), 0)</f>
        <v>0</v>
      </c>
      <c r="AH416">
        <f>IFERROR(_xlfn.XLOOKUP(B416, HoldSummary!$A:$A, HoldSummary!G:G), 0)</f>
        <v>0</v>
      </c>
      <c r="AI416">
        <f>IFERROR(_xlfn.XLOOKUP(B416, HoldSummary!$A:$A, HoldSummary!H:H), 0)</f>
        <v>0</v>
      </c>
      <c r="AJ416">
        <f>IFERROR(_xlfn.XLOOKUP(B416, HoldSummary!$A:$A, HoldSummary!I:I), 0)</f>
        <v>0</v>
      </c>
      <c r="AK416">
        <f t="shared" si="65"/>
        <v>13.062614375005069</v>
      </c>
      <c r="AL416">
        <f t="shared" si="66"/>
        <v>201.34879766203085</v>
      </c>
      <c r="AM416">
        <f t="shared" si="67"/>
        <v>66.390464328702365</v>
      </c>
      <c r="AN416" s="12">
        <f t="shared" si="68"/>
        <v>-9.1666666666642413</v>
      </c>
      <c r="AO416">
        <f t="shared" si="69"/>
        <v>1</v>
      </c>
    </row>
    <row r="417" spans="1:41" x14ac:dyDescent="0.35">
      <c r="A417" t="s">
        <v>23</v>
      </c>
      <c r="B417" t="s">
        <v>981</v>
      </c>
      <c r="C417" t="s">
        <v>76</v>
      </c>
      <c r="D417" t="s">
        <v>44</v>
      </c>
      <c r="E417" t="s">
        <v>45</v>
      </c>
      <c r="F417" t="s">
        <v>28</v>
      </c>
      <c r="G417">
        <v>24</v>
      </c>
      <c r="H417" t="s">
        <v>982</v>
      </c>
      <c r="I417" t="s">
        <v>30</v>
      </c>
      <c r="J417" t="s">
        <v>31</v>
      </c>
      <c r="K417" t="s">
        <v>38</v>
      </c>
      <c r="L417" t="s">
        <v>39</v>
      </c>
      <c r="M417" t="s">
        <v>33</v>
      </c>
      <c r="N417" s="2">
        <v>45561.621157407404</v>
      </c>
      <c r="O417" s="2">
        <v>45728.166666666664</v>
      </c>
      <c r="P417" s="2">
        <v>45708.208333333336</v>
      </c>
      <c r="Q417" s="2">
        <v>45688</v>
      </c>
      <c r="R417" s="2">
        <v>45691.681123946757</v>
      </c>
      <c r="T417" s="2">
        <v>45642.208333333336</v>
      </c>
      <c r="U417" s="2">
        <v>45667.208333333336</v>
      </c>
      <c r="V417" s="2">
        <v>45667.208333333336</v>
      </c>
      <c r="W417" s="2">
        <v>45667.208333333336</v>
      </c>
      <c r="X417" s="3">
        <f t="shared" si="60"/>
        <v>25</v>
      </c>
      <c r="Y417">
        <f t="shared" si="61"/>
        <v>0</v>
      </c>
      <c r="Z417">
        <f t="shared" si="62"/>
        <v>25</v>
      </c>
      <c r="AA417">
        <f t="shared" si="63"/>
        <v>126.3788425925959</v>
      </c>
      <c r="AB417">
        <f t="shared" si="64"/>
        <v>101.3788425925959</v>
      </c>
      <c r="AC417">
        <f>IFERROR(_xlfn.XLOOKUP(B417, HoldSummary!$A:$A, HoldSummary!B:B), 0)</f>
        <v>6</v>
      </c>
      <c r="AD417">
        <f>IFERROR(_xlfn.XLOOKUP(B417, HoldSummary!$A:$A, HoldSummary!C:C), 0)</f>
        <v>0</v>
      </c>
      <c r="AE417">
        <f>IFERROR(_xlfn.XLOOKUP(B417, HoldSummary!$A:$A, HoldSummary!D:D), 0)</f>
        <v>0</v>
      </c>
      <c r="AF417">
        <f>IFERROR(_xlfn.XLOOKUP(B417, HoldSummary!$A:$A, HoldSummary!E:E), 0)</f>
        <v>0</v>
      </c>
      <c r="AG417">
        <f>IFERROR(_xlfn.XLOOKUP(B417, HoldSummary!$A:$A, HoldSummary!F:F), 0)</f>
        <v>0</v>
      </c>
      <c r="AH417">
        <f>IFERROR(_xlfn.XLOOKUP(B417, HoldSummary!$A:$A, HoldSummary!G:G), 0)</f>
        <v>0</v>
      </c>
      <c r="AI417">
        <f>IFERROR(_xlfn.XLOOKUP(B417, HoldSummary!$A:$A, HoldSummary!H:H), 0)</f>
        <v>0</v>
      </c>
      <c r="AJ417">
        <f>IFERROR(_xlfn.XLOOKUP(B417, HoldSummary!$A:$A, HoldSummary!I:I), 0)</f>
        <v>0</v>
      </c>
      <c r="AK417">
        <f t="shared" si="65"/>
        <v>6</v>
      </c>
      <c r="AL417">
        <f t="shared" si="66"/>
        <v>120.3788425925959</v>
      </c>
      <c r="AM417">
        <f t="shared" si="67"/>
        <v>95.378842592595902</v>
      </c>
      <c r="AN417" s="12">
        <f t="shared" si="68"/>
        <v>-40.166666666664241</v>
      </c>
      <c r="AO417">
        <f t="shared" si="69"/>
        <v>1</v>
      </c>
    </row>
    <row r="418" spans="1:41" x14ac:dyDescent="0.35">
      <c r="A418" t="s">
        <v>23</v>
      </c>
      <c r="B418">
        <v>109675</v>
      </c>
      <c r="C418" t="s">
        <v>36</v>
      </c>
      <c r="D418" t="s">
        <v>44</v>
      </c>
      <c r="E418" t="s">
        <v>55</v>
      </c>
      <c r="F418" t="s">
        <v>28</v>
      </c>
      <c r="G418">
        <v>24</v>
      </c>
      <c r="H418" t="s">
        <v>983</v>
      </c>
      <c r="I418" t="s">
        <v>30</v>
      </c>
      <c r="J418" t="s">
        <v>31</v>
      </c>
      <c r="K418" t="s">
        <v>57</v>
      </c>
      <c r="L418" t="s">
        <v>39</v>
      </c>
      <c r="M418" t="s">
        <v>33</v>
      </c>
      <c r="N418" s="2">
        <v>45614.208333333336</v>
      </c>
      <c r="O418" s="2">
        <v>45621.208333333336</v>
      </c>
      <c r="P418" s="2">
        <v>45621.208333333336</v>
      </c>
      <c r="Q418" s="2">
        <v>45618</v>
      </c>
      <c r="R418" s="2">
        <v>45618.752669259258</v>
      </c>
      <c r="T418" s="2"/>
      <c r="U418" s="2"/>
      <c r="V418" s="2"/>
      <c r="W418" s="2"/>
      <c r="X418" s="3" t="str">
        <f t="shared" si="60"/>
        <v/>
      </c>
      <c r="Y418" t="str">
        <f t="shared" si="61"/>
        <v/>
      </c>
      <c r="Z418">
        <f t="shared" si="62"/>
        <v>0</v>
      </c>
      <c r="AA418">
        <f t="shared" si="63"/>
        <v>3.7916666666642413</v>
      </c>
      <c r="AB418">
        <f t="shared" si="64"/>
        <v>3.7916666666642413</v>
      </c>
      <c r="AC418">
        <f>IFERROR(_xlfn.XLOOKUP(B418, HoldSummary!$A:$A, HoldSummary!B:B), 0)</f>
        <v>0</v>
      </c>
      <c r="AD418">
        <f>IFERROR(_xlfn.XLOOKUP(B418, HoldSummary!$A:$A, HoldSummary!C:C), 0)</f>
        <v>0</v>
      </c>
      <c r="AE418">
        <f>IFERROR(_xlfn.XLOOKUP(B418, HoldSummary!$A:$A, HoldSummary!D:D), 0)</f>
        <v>0</v>
      </c>
      <c r="AF418">
        <f>IFERROR(_xlfn.XLOOKUP(B418, HoldSummary!$A:$A, HoldSummary!E:E), 0)</f>
        <v>0</v>
      </c>
      <c r="AG418">
        <f>IFERROR(_xlfn.XLOOKUP(B418, HoldSummary!$A:$A, HoldSummary!F:F), 0)</f>
        <v>0</v>
      </c>
      <c r="AH418">
        <f>IFERROR(_xlfn.XLOOKUP(B418, HoldSummary!$A:$A, HoldSummary!G:G), 0)</f>
        <v>0</v>
      </c>
      <c r="AI418">
        <f>IFERROR(_xlfn.XLOOKUP(B418, HoldSummary!$A:$A, HoldSummary!H:H), 0)</f>
        <v>0</v>
      </c>
      <c r="AJ418">
        <f>IFERROR(_xlfn.XLOOKUP(B418, HoldSummary!$A:$A, HoldSummary!I:I), 0)</f>
        <v>0</v>
      </c>
      <c r="AK418">
        <f t="shared" si="65"/>
        <v>0</v>
      </c>
      <c r="AL418">
        <f t="shared" si="66"/>
        <v>3.7916666666642413</v>
      </c>
      <c r="AM418">
        <f t="shared" si="67"/>
        <v>3.7916666666642413</v>
      </c>
      <c r="AN418" s="12">
        <f t="shared" si="68"/>
        <v>-3.2083333333357587</v>
      </c>
      <c r="AO418">
        <f t="shared" si="69"/>
        <v>1</v>
      </c>
    </row>
    <row r="419" spans="1:41" x14ac:dyDescent="0.35">
      <c r="A419" t="s">
        <v>23</v>
      </c>
      <c r="B419">
        <v>109694</v>
      </c>
      <c r="C419" t="s">
        <v>36</v>
      </c>
      <c r="D419" t="s">
        <v>44</v>
      </c>
      <c r="E419" t="s">
        <v>55</v>
      </c>
      <c r="F419" t="s">
        <v>28</v>
      </c>
      <c r="G419">
        <v>24</v>
      </c>
      <c r="H419" t="s">
        <v>984</v>
      </c>
      <c r="I419" t="s">
        <v>30</v>
      </c>
      <c r="J419" t="s">
        <v>31</v>
      </c>
      <c r="K419" t="s">
        <v>57</v>
      </c>
      <c r="L419" t="s">
        <v>39</v>
      </c>
      <c r="M419" t="s">
        <v>33</v>
      </c>
      <c r="N419" s="2">
        <v>45615.208333333336</v>
      </c>
      <c r="O419" s="2">
        <v>45625.208333333336</v>
      </c>
      <c r="P419" s="2">
        <v>45625.208333333336</v>
      </c>
      <c r="Q419" s="2">
        <v>45621</v>
      </c>
      <c r="R419" s="2">
        <v>45621.658430925927</v>
      </c>
      <c r="T419" s="2"/>
      <c r="U419" s="2"/>
      <c r="V419" s="2"/>
      <c r="W419" s="2"/>
      <c r="X419" s="3" t="str">
        <f t="shared" si="60"/>
        <v/>
      </c>
      <c r="Y419" t="str">
        <f t="shared" si="61"/>
        <v/>
      </c>
      <c r="Z419">
        <f t="shared" si="62"/>
        <v>0</v>
      </c>
      <c r="AA419">
        <f t="shared" si="63"/>
        <v>5.7916666666642413</v>
      </c>
      <c r="AB419">
        <f t="shared" si="64"/>
        <v>5.7916666666642413</v>
      </c>
      <c r="AC419">
        <f>IFERROR(_xlfn.XLOOKUP(B419, HoldSummary!$A:$A, HoldSummary!B:B), 0)</f>
        <v>0</v>
      </c>
      <c r="AD419">
        <f>IFERROR(_xlfn.XLOOKUP(B419, HoldSummary!$A:$A, HoldSummary!C:C), 0)</f>
        <v>0</v>
      </c>
      <c r="AE419">
        <f>IFERROR(_xlfn.XLOOKUP(B419, HoldSummary!$A:$A, HoldSummary!D:D), 0)</f>
        <v>0</v>
      </c>
      <c r="AF419">
        <f>IFERROR(_xlfn.XLOOKUP(B419, HoldSummary!$A:$A, HoldSummary!E:E), 0)</f>
        <v>0</v>
      </c>
      <c r="AG419">
        <f>IFERROR(_xlfn.XLOOKUP(B419, HoldSummary!$A:$A, HoldSummary!F:F), 0)</f>
        <v>0</v>
      </c>
      <c r="AH419">
        <f>IFERROR(_xlfn.XLOOKUP(B419, HoldSummary!$A:$A, HoldSummary!G:G), 0)</f>
        <v>0</v>
      </c>
      <c r="AI419">
        <f>IFERROR(_xlfn.XLOOKUP(B419, HoldSummary!$A:$A, HoldSummary!H:H), 0)</f>
        <v>0</v>
      </c>
      <c r="AJ419">
        <f>IFERROR(_xlfn.XLOOKUP(B419, HoldSummary!$A:$A, HoldSummary!I:I), 0)</f>
        <v>0</v>
      </c>
      <c r="AK419">
        <f t="shared" si="65"/>
        <v>0</v>
      </c>
      <c r="AL419">
        <f t="shared" si="66"/>
        <v>5.7916666666642413</v>
      </c>
      <c r="AM419">
        <f t="shared" si="67"/>
        <v>5.7916666666642413</v>
      </c>
      <c r="AN419" s="12">
        <f t="shared" si="68"/>
        <v>-4.2083333333357587</v>
      </c>
      <c r="AO419">
        <f t="shared" si="69"/>
        <v>1</v>
      </c>
    </row>
    <row r="420" spans="1:41" x14ac:dyDescent="0.35">
      <c r="A420" t="s">
        <v>23</v>
      </c>
      <c r="B420" t="s">
        <v>985</v>
      </c>
      <c r="C420" t="s">
        <v>76</v>
      </c>
      <c r="D420" t="s">
        <v>44</v>
      </c>
      <c r="E420" t="s">
        <v>27</v>
      </c>
      <c r="F420" t="s">
        <v>28</v>
      </c>
      <c r="G420">
        <v>25</v>
      </c>
      <c r="H420" t="s">
        <v>986</v>
      </c>
      <c r="I420" t="s">
        <v>30</v>
      </c>
      <c r="J420" t="s">
        <v>31</v>
      </c>
      <c r="K420" t="s">
        <v>38</v>
      </c>
      <c r="L420" t="s">
        <v>39</v>
      </c>
      <c r="N420" s="2">
        <v>45247.910532407404</v>
      </c>
      <c r="O420" s="2">
        <v>45282.208333333336</v>
      </c>
      <c r="P420" s="2">
        <v>45580.166666666664</v>
      </c>
      <c r="Q420" s="2">
        <v>45575</v>
      </c>
      <c r="R420" s="2">
        <v>45575.686727245367</v>
      </c>
      <c r="S420" t="s">
        <v>834</v>
      </c>
      <c r="T420" s="2">
        <v>45307.208333333336</v>
      </c>
      <c r="U420" s="2">
        <v>45317.208333333336</v>
      </c>
      <c r="V420" s="2">
        <v>45317.208333333336</v>
      </c>
      <c r="W420" s="2">
        <v>45378.166666666664</v>
      </c>
      <c r="X420" s="3">
        <f t="shared" si="60"/>
        <v>10</v>
      </c>
      <c r="Y420">
        <f t="shared" si="61"/>
        <v>60.958333333328483</v>
      </c>
      <c r="Z420">
        <f t="shared" si="62"/>
        <v>70.958333333328483</v>
      </c>
      <c r="AA420">
        <f t="shared" si="63"/>
        <v>327.08946759259561</v>
      </c>
      <c r="AB420">
        <f t="shared" si="64"/>
        <v>256.13113425926713</v>
      </c>
      <c r="AC420">
        <f>IFERROR(_xlfn.XLOOKUP(B420, HoldSummary!$A:$A, HoldSummary!B:B), 0)</f>
        <v>0</v>
      </c>
      <c r="AD420">
        <f>IFERROR(_xlfn.XLOOKUP(B420, HoldSummary!$A:$A, HoldSummary!C:C), 0)</f>
        <v>0</v>
      </c>
      <c r="AE420">
        <f>IFERROR(_xlfn.XLOOKUP(B420, HoldSummary!$A:$A, HoldSummary!D:D), 0)</f>
        <v>0</v>
      </c>
      <c r="AF420">
        <f>IFERROR(_xlfn.XLOOKUP(B420, HoldSummary!$A:$A, HoldSummary!E:E), 0)</f>
        <v>0</v>
      </c>
      <c r="AG420">
        <f>IFERROR(_xlfn.XLOOKUP(B420, HoldSummary!$A:$A, HoldSummary!F:F), 0)</f>
        <v>75</v>
      </c>
      <c r="AH420">
        <f>IFERROR(_xlfn.XLOOKUP(B420, HoldSummary!$A:$A, HoldSummary!G:G), 0)</f>
        <v>0</v>
      </c>
      <c r="AI420">
        <f>IFERROR(_xlfn.XLOOKUP(B420, HoldSummary!$A:$A, HoldSummary!H:H), 0)</f>
        <v>0</v>
      </c>
      <c r="AJ420">
        <f>IFERROR(_xlfn.XLOOKUP(B420, HoldSummary!$A:$A, HoldSummary!I:I), 0)</f>
        <v>0</v>
      </c>
      <c r="AK420">
        <f t="shared" si="65"/>
        <v>75</v>
      </c>
      <c r="AL420">
        <f t="shared" si="66"/>
        <v>252.08946759259561</v>
      </c>
      <c r="AM420">
        <f t="shared" si="67"/>
        <v>181.13113425926713</v>
      </c>
      <c r="AN420" s="12">
        <f t="shared" si="68"/>
        <v>292.79166666666424</v>
      </c>
      <c r="AO420">
        <f t="shared" si="69"/>
        <v>0</v>
      </c>
    </row>
    <row r="421" spans="1:41" x14ac:dyDescent="0.35">
      <c r="A421" t="s">
        <v>23</v>
      </c>
      <c r="B421" t="s">
        <v>987</v>
      </c>
      <c r="C421" t="s">
        <v>36</v>
      </c>
      <c r="D421" t="s">
        <v>44</v>
      </c>
      <c r="E421" t="s">
        <v>45</v>
      </c>
      <c r="F421" t="s">
        <v>28</v>
      </c>
      <c r="G421">
        <v>25</v>
      </c>
      <c r="H421" t="s">
        <v>988</v>
      </c>
      <c r="I421" t="s">
        <v>30</v>
      </c>
      <c r="J421" t="s">
        <v>31</v>
      </c>
      <c r="K421" t="s">
        <v>38</v>
      </c>
      <c r="L421" t="s">
        <v>39</v>
      </c>
      <c r="M421" t="s">
        <v>33</v>
      </c>
      <c r="N421" s="2">
        <v>45555.47583333333</v>
      </c>
      <c r="O421" s="2">
        <v>45709.208333333336</v>
      </c>
      <c r="P421" s="2">
        <v>45744.166666666664</v>
      </c>
      <c r="Q421" s="2">
        <v>45747</v>
      </c>
      <c r="R421" s="2">
        <v>45747.668148842589</v>
      </c>
      <c r="S421" t="s">
        <v>162</v>
      </c>
      <c r="T421" s="2">
        <v>45602.208333333336</v>
      </c>
      <c r="U421" s="2">
        <v>45715.208333333336</v>
      </c>
      <c r="V421" s="2">
        <v>45727.166666666664</v>
      </c>
      <c r="W421" s="2">
        <v>45733.166666666664</v>
      </c>
      <c r="X421" s="3">
        <f t="shared" si="60"/>
        <v>113</v>
      </c>
      <c r="Y421">
        <f t="shared" si="61"/>
        <v>6</v>
      </c>
      <c r="Z421">
        <f t="shared" si="62"/>
        <v>119</v>
      </c>
      <c r="AA421">
        <f t="shared" si="63"/>
        <v>191.52416666666977</v>
      </c>
      <c r="AB421">
        <f t="shared" si="64"/>
        <v>72.524166666669771</v>
      </c>
      <c r="AC421">
        <f>IFERROR(_xlfn.XLOOKUP(B421, HoldSummary!$A:$A, HoldSummary!B:B), 0)</f>
        <v>0</v>
      </c>
      <c r="AD421">
        <f>IFERROR(_xlfn.XLOOKUP(B421, HoldSummary!$A:$A, HoldSummary!C:C), 0)</f>
        <v>0</v>
      </c>
      <c r="AE421">
        <f>IFERROR(_xlfn.XLOOKUP(B421, HoldSummary!$A:$A, HoldSummary!D:D), 0)</f>
        <v>0</v>
      </c>
      <c r="AF421">
        <f>IFERROR(_xlfn.XLOOKUP(B421, HoldSummary!$A:$A, HoldSummary!E:E), 0)</f>
        <v>4</v>
      </c>
      <c r="AG421">
        <f>IFERROR(_xlfn.XLOOKUP(B421, HoldSummary!$A:$A, HoldSummary!F:F), 0)</f>
        <v>0</v>
      </c>
      <c r="AH421">
        <f>IFERROR(_xlfn.XLOOKUP(B421, HoldSummary!$A:$A, HoldSummary!G:G), 0)</f>
        <v>0</v>
      </c>
      <c r="AI421">
        <f>IFERROR(_xlfn.XLOOKUP(B421, HoldSummary!$A:$A, HoldSummary!H:H), 0)</f>
        <v>0</v>
      </c>
      <c r="AJ421">
        <f>IFERROR(_xlfn.XLOOKUP(B421, HoldSummary!$A:$A, HoldSummary!I:I), 0)</f>
        <v>0</v>
      </c>
      <c r="AK421">
        <f t="shared" si="65"/>
        <v>4</v>
      </c>
      <c r="AL421">
        <f t="shared" si="66"/>
        <v>187.52416666666977</v>
      </c>
      <c r="AM421">
        <f t="shared" si="67"/>
        <v>68.524166666669771</v>
      </c>
      <c r="AN421" s="12">
        <f t="shared" si="68"/>
        <v>37.791666666664241</v>
      </c>
      <c r="AO421">
        <f t="shared" si="69"/>
        <v>0</v>
      </c>
    </row>
    <row r="422" spans="1:41" x14ac:dyDescent="0.35">
      <c r="A422" t="s">
        <v>23</v>
      </c>
      <c r="B422" t="s">
        <v>989</v>
      </c>
      <c r="C422" t="s">
        <v>409</v>
      </c>
      <c r="D422" t="s">
        <v>44</v>
      </c>
      <c r="E422" t="s">
        <v>45</v>
      </c>
      <c r="F422" t="s">
        <v>28</v>
      </c>
      <c r="G422">
        <v>25</v>
      </c>
      <c r="H422" t="s">
        <v>990</v>
      </c>
      <c r="I422" t="s">
        <v>30</v>
      </c>
      <c r="J422" t="s">
        <v>31</v>
      </c>
      <c r="K422" t="s">
        <v>38</v>
      </c>
      <c r="L422" t="s">
        <v>39</v>
      </c>
      <c r="M422" t="s">
        <v>33</v>
      </c>
      <c r="N422" s="2">
        <v>45588.617268518516</v>
      </c>
      <c r="O422" s="2">
        <v>45735.166666666664</v>
      </c>
      <c r="P422" s="2">
        <v>45807.166666666664</v>
      </c>
      <c r="Q422" s="2">
        <v>45768</v>
      </c>
      <c r="R422" s="2">
        <v>45768.78450559028</v>
      </c>
      <c r="S422" t="s">
        <v>991</v>
      </c>
      <c r="T422" s="2">
        <v>45694.208333333336</v>
      </c>
      <c r="U422" s="2">
        <v>45695.208333333336</v>
      </c>
      <c r="V422" s="2">
        <v>45695.208333333336</v>
      </c>
      <c r="W422" s="2">
        <v>45700.208333333336</v>
      </c>
      <c r="X422" s="3">
        <f t="shared" si="60"/>
        <v>1</v>
      </c>
      <c r="Y422">
        <f t="shared" si="61"/>
        <v>5</v>
      </c>
      <c r="Z422">
        <f t="shared" si="62"/>
        <v>6</v>
      </c>
      <c r="AA422">
        <f t="shared" si="63"/>
        <v>179.38273148148437</v>
      </c>
      <c r="AB422">
        <f t="shared" si="64"/>
        <v>173.38273148148437</v>
      </c>
      <c r="AC422">
        <f>IFERROR(_xlfn.XLOOKUP(B422, HoldSummary!$A:$A, HoldSummary!B:B), 0)</f>
        <v>28</v>
      </c>
      <c r="AD422">
        <f>IFERROR(_xlfn.XLOOKUP(B422, HoldSummary!$A:$A, HoldSummary!C:C), 0)</f>
        <v>2</v>
      </c>
      <c r="AE422">
        <f>IFERROR(_xlfn.XLOOKUP(B422, HoldSummary!$A:$A, HoldSummary!D:D), 0)</f>
        <v>0</v>
      </c>
      <c r="AF422">
        <f>IFERROR(_xlfn.XLOOKUP(B422, HoldSummary!$A:$A, HoldSummary!E:E), 0)</f>
        <v>0</v>
      </c>
      <c r="AG422">
        <f>IFERROR(_xlfn.XLOOKUP(B422, HoldSummary!$A:$A, HoldSummary!F:F), 0)</f>
        <v>0</v>
      </c>
      <c r="AH422">
        <f>IFERROR(_xlfn.XLOOKUP(B422, HoldSummary!$A:$A, HoldSummary!G:G), 0)</f>
        <v>0</v>
      </c>
      <c r="AI422">
        <f>IFERROR(_xlfn.XLOOKUP(B422, HoldSummary!$A:$A, HoldSummary!H:H), 0)</f>
        <v>0</v>
      </c>
      <c r="AJ422">
        <f>IFERROR(_xlfn.XLOOKUP(B422, HoldSummary!$A:$A, HoldSummary!I:I), 0)</f>
        <v>0</v>
      </c>
      <c r="AK422">
        <f t="shared" si="65"/>
        <v>30</v>
      </c>
      <c r="AL422">
        <f t="shared" si="66"/>
        <v>149.38273148148437</v>
      </c>
      <c r="AM422">
        <f t="shared" si="67"/>
        <v>143.38273148148437</v>
      </c>
      <c r="AN422" s="12">
        <f t="shared" si="68"/>
        <v>32.833333333335759</v>
      </c>
      <c r="AO422">
        <f t="shared" si="69"/>
        <v>0</v>
      </c>
    </row>
    <row r="423" spans="1:41" x14ac:dyDescent="0.35">
      <c r="A423" t="s">
        <v>23</v>
      </c>
      <c r="B423" t="s">
        <v>992</v>
      </c>
      <c r="C423" t="s">
        <v>36</v>
      </c>
      <c r="D423" t="s">
        <v>44</v>
      </c>
      <c r="E423" t="s">
        <v>45</v>
      </c>
      <c r="F423" t="s">
        <v>28</v>
      </c>
      <c r="G423">
        <v>25</v>
      </c>
      <c r="H423" t="s">
        <v>993</v>
      </c>
      <c r="I423" t="s">
        <v>30</v>
      </c>
      <c r="J423" t="s">
        <v>70</v>
      </c>
      <c r="K423" t="s">
        <v>38</v>
      </c>
      <c r="L423" t="s">
        <v>39</v>
      </c>
      <c r="N423" s="2">
        <v>45671.548217592594</v>
      </c>
      <c r="O423" s="2">
        <v>45681.208333333336</v>
      </c>
      <c r="P423" s="2">
        <v>45681.208333333336</v>
      </c>
      <c r="Q423" s="2">
        <v>45681</v>
      </c>
      <c r="R423" s="2">
        <v>45681.656983020832</v>
      </c>
      <c r="T423" s="2"/>
      <c r="U423" s="2"/>
      <c r="V423" s="2"/>
      <c r="W423" s="2"/>
      <c r="X423" s="3" t="str">
        <f t="shared" si="60"/>
        <v/>
      </c>
      <c r="Y423" t="str">
        <f t="shared" si="61"/>
        <v/>
      </c>
      <c r="Z423">
        <f t="shared" si="62"/>
        <v>0</v>
      </c>
      <c r="AA423">
        <f t="shared" si="63"/>
        <v>9.4517824074064265</v>
      </c>
      <c r="AB423">
        <f t="shared" si="64"/>
        <v>9.4517824074064265</v>
      </c>
      <c r="AC423">
        <f>IFERROR(_xlfn.XLOOKUP(B423, HoldSummary!$A:$A, HoldSummary!B:B), 0)</f>
        <v>0</v>
      </c>
      <c r="AD423">
        <f>IFERROR(_xlfn.XLOOKUP(B423, HoldSummary!$A:$A, HoldSummary!C:C), 0)</f>
        <v>0</v>
      </c>
      <c r="AE423">
        <f>IFERROR(_xlfn.XLOOKUP(B423, HoldSummary!$A:$A, HoldSummary!D:D), 0)</f>
        <v>0</v>
      </c>
      <c r="AF423">
        <f>IFERROR(_xlfn.XLOOKUP(B423, HoldSummary!$A:$A, HoldSummary!E:E), 0)</f>
        <v>0</v>
      </c>
      <c r="AG423">
        <f>IFERROR(_xlfn.XLOOKUP(B423, HoldSummary!$A:$A, HoldSummary!F:F), 0)</f>
        <v>0</v>
      </c>
      <c r="AH423">
        <f>IFERROR(_xlfn.XLOOKUP(B423, HoldSummary!$A:$A, HoldSummary!G:G), 0)</f>
        <v>0</v>
      </c>
      <c r="AI423">
        <f>IFERROR(_xlfn.XLOOKUP(B423, HoldSummary!$A:$A, HoldSummary!H:H), 0)</f>
        <v>0</v>
      </c>
      <c r="AJ423">
        <f>IFERROR(_xlfn.XLOOKUP(B423, HoldSummary!$A:$A, HoldSummary!I:I), 0)</f>
        <v>0</v>
      </c>
      <c r="AK423">
        <f t="shared" si="65"/>
        <v>0</v>
      </c>
      <c r="AL423">
        <f t="shared" si="66"/>
        <v>9.4517824074064265</v>
      </c>
      <c r="AM423">
        <f t="shared" si="67"/>
        <v>9.4517824074064265</v>
      </c>
      <c r="AN423" s="12">
        <f t="shared" si="68"/>
        <v>-0.20833333333575865</v>
      </c>
      <c r="AO423">
        <f t="shared" si="69"/>
        <v>1</v>
      </c>
    </row>
    <row r="424" spans="1:41" x14ac:dyDescent="0.35">
      <c r="A424" t="s">
        <v>23</v>
      </c>
      <c r="B424" t="s">
        <v>994</v>
      </c>
      <c r="C424" t="s">
        <v>130</v>
      </c>
      <c r="D424" t="s">
        <v>44</v>
      </c>
      <c r="E424" t="s">
        <v>45</v>
      </c>
      <c r="F424" t="s">
        <v>28</v>
      </c>
      <c r="G424">
        <v>25</v>
      </c>
      <c r="H424" t="s">
        <v>995</v>
      </c>
      <c r="I424" t="s">
        <v>30</v>
      </c>
      <c r="J424" t="s">
        <v>31</v>
      </c>
      <c r="K424" t="s">
        <v>38</v>
      </c>
      <c r="L424" t="s">
        <v>39</v>
      </c>
      <c r="M424" t="s">
        <v>33</v>
      </c>
      <c r="N424" s="2">
        <v>45705.914548611108</v>
      </c>
      <c r="O424" s="2">
        <v>45890.166666666664</v>
      </c>
      <c r="P424" s="2">
        <v>45804.166666666664</v>
      </c>
      <c r="Q424" s="2">
        <v>45804</v>
      </c>
      <c r="R424" s="2">
        <v>45804.870162141204</v>
      </c>
      <c r="S424" t="s">
        <v>104</v>
      </c>
      <c r="T424" s="2">
        <v>45762.166666666664</v>
      </c>
      <c r="U424" s="2">
        <v>45772.166666666664</v>
      </c>
      <c r="V424" s="2">
        <v>45772.166666666664</v>
      </c>
      <c r="W424" s="2">
        <v>45800.166666666664</v>
      </c>
      <c r="X424" s="3">
        <f t="shared" si="60"/>
        <v>10</v>
      </c>
      <c r="Y424">
        <f t="shared" si="61"/>
        <v>28</v>
      </c>
      <c r="Z424">
        <f t="shared" si="62"/>
        <v>38</v>
      </c>
      <c r="AA424">
        <f t="shared" si="63"/>
        <v>98.08545138889167</v>
      </c>
      <c r="AB424">
        <f t="shared" si="64"/>
        <v>60.08545138889167</v>
      </c>
      <c r="AC424">
        <f>IFERROR(_xlfn.XLOOKUP(B424, HoldSummary!$A:$A, HoldSummary!B:B), 0)</f>
        <v>14</v>
      </c>
      <c r="AD424">
        <f>IFERROR(_xlfn.XLOOKUP(B424, HoldSummary!$A:$A, HoldSummary!C:C), 0)</f>
        <v>0</v>
      </c>
      <c r="AE424">
        <f>IFERROR(_xlfn.XLOOKUP(B424, HoldSummary!$A:$A, HoldSummary!D:D), 0)</f>
        <v>0</v>
      </c>
      <c r="AF424">
        <f>IFERROR(_xlfn.XLOOKUP(B424, HoldSummary!$A:$A, HoldSummary!E:E), 0)</f>
        <v>0</v>
      </c>
      <c r="AG424">
        <f>IFERROR(_xlfn.XLOOKUP(B424, HoldSummary!$A:$A, HoldSummary!F:F), 0)</f>
        <v>0</v>
      </c>
      <c r="AH424">
        <f>IFERROR(_xlfn.XLOOKUP(B424, HoldSummary!$A:$A, HoldSummary!G:G), 0)</f>
        <v>0</v>
      </c>
      <c r="AI424">
        <f>IFERROR(_xlfn.XLOOKUP(B424, HoldSummary!$A:$A, HoldSummary!H:H), 0)</f>
        <v>0</v>
      </c>
      <c r="AJ424">
        <f>IFERROR(_xlfn.XLOOKUP(B424, HoldSummary!$A:$A, HoldSummary!I:I), 0)</f>
        <v>0</v>
      </c>
      <c r="AK424">
        <f t="shared" si="65"/>
        <v>14</v>
      </c>
      <c r="AL424">
        <f t="shared" si="66"/>
        <v>84.08545138889167</v>
      </c>
      <c r="AM424">
        <f t="shared" si="67"/>
        <v>46.08545138889167</v>
      </c>
      <c r="AN424" s="12">
        <f t="shared" si="68"/>
        <v>-86.166666666664241</v>
      </c>
      <c r="AO424">
        <f t="shared" si="69"/>
        <v>1</v>
      </c>
    </row>
    <row r="425" spans="1:41" x14ac:dyDescent="0.35">
      <c r="A425" t="s">
        <v>23</v>
      </c>
      <c r="B425" t="s">
        <v>996</v>
      </c>
      <c r="C425" t="s">
        <v>36</v>
      </c>
      <c r="D425" t="s">
        <v>44</v>
      </c>
      <c r="E425" t="s">
        <v>45</v>
      </c>
      <c r="F425" t="s">
        <v>28</v>
      </c>
      <c r="G425">
        <v>25</v>
      </c>
      <c r="H425" t="s">
        <v>997</v>
      </c>
      <c r="I425" t="s">
        <v>30</v>
      </c>
      <c r="J425" t="s">
        <v>31</v>
      </c>
      <c r="K425" t="s">
        <v>48</v>
      </c>
      <c r="L425" t="s">
        <v>827</v>
      </c>
      <c r="M425" t="s">
        <v>33</v>
      </c>
      <c r="N425" s="2">
        <v>45754.623854166668</v>
      </c>
      <c r="O425" s="2">
        <v>45775.166666666664</v>
      </c>
      <c r="P425" s="2">
        <v>45765.166666666664</v>
      </c>
      <c r="Q425" s="2">
        <v>45771</v>
      </c>
      <c r="R425" s="2">
        <v>45772.493244178244</v>
      </c>
      <c r="S425" t="s">
        <v>93</v>
      </c>
      <c r="T425" s="2"/>
      <c r="U425" s="2"/>
      <c r="V425" s="2"/>
      <c r="W425" s="2"/>
      <c r="X425" s="3" t="str">
        <f t="shared" si="60"/>
        <v/>
      </c>
      <c r="Y425" t="str">
        <f t="shared" si="61"/>
        <v/>
      </c>
      <c r="Z425">
        <f t="shared" si="62"/>
        <v>0</v>
      </c>
      <c r="AA425">
        <f t="shared" si="63"/>
        <v>16.376145833331975</v>
      </c>
      <c r="AB425">
        <f t="shared" si="64"/>
        <v>16.376145833331975</v>
      </c>
      <c r="AC425">
        <f>IFERROR(_xlfn.XLOOKUP(B425, HoldSummary!$A:$A, HoldSummary!B:B), 0)</f>
        <v>0</v>
      </c>
      <c r="AD425">
        <f>IFERROR(_xlfn.XLOOKUP(B425, HoldSummary!$A:$A, HoldSummary!C:C), 0)</f>
        <v>0</v>
      </c>
      <c r="AE425">
        <f>IFERROR(_xlfn.XLOOKUP(B425, HoldSummary!$A:$A, HoldSummary!D:D), 0)</f>
        <v>0</v>
      </c>
      <c r="AF425">
        <f>IFERROR(_xlfn.XLOOKUP(B425, HoldSummary!$A:$A, HoldSummary!E:E), 0)</f>
        <v>0</v>
      </c>
      <c r="AG425">
        <f>IFERROR(_xlfn.XLOOKUP(B425, HoldSummary!$A:$A, HoldSummary!F:F), 0)</f>
        <v>0</v>
      </c>
      <c r="AH425">
        <f>IFERROR(_xlfn.XLOOKUP(B425, HoldSummary!$A:$A, HoldSummary!G:G), 0)</f>
        <v>0</v>
      </c>
      <c r="AI425">
        <f>IFERROR(_xlfn.XLOOKUP(B425, HoldSummary!$A:$A, HoldSummary!H:H), 0)</f>
        <v>0</v>
      </c>
      <c r="AJ425">
        <f>IFERROR(_xlfn.XLOOKUP(B425, HoldSummary!$A:$A, HoldSummary!I:I), 0)</f>
        <v>0</v>
      </c>
      <c r="AK425">
        <f t="shared" si="65"/>
        <v>0</v>
      </c>
      <c r="AL425">
        <f t="shared" si="66"/>
        <v>16.376145833331975</v>
      </c>
      <c r="AM425">
        <f t="shared" si="67"/>
        <v>16.376145833331975</v>
      </c>
      <c r="AN425" s="12">
        <f t="shared" si="68"/>
        <v>-4.1666666666642413</v>
      </c>
      <c r="AO425">
        <f t="shared" si="69"/>
        <v>1</v>
      </c>
    </row>
    <row r="426" spans="1:41" x14ac:dyDescent="0.35">
      <c r="A426" t="s">
        <v>23</v>
      </c>
      <c r="B426" t="s">
        <v>998</v>
      </c>
      <c r="C426" t="s">
        <v>130</v>
      </c>
      <c r="D426" t="s">
        <v>44</v>
      </c>
      <c r="E426" t="s">
        <v>27</v>
      </c>
      <c r="F426" t="s">
        <v>28</v>
      </c>
      <c r="G426">
        <v>26</v>
      </c>
      <c r="H426" t="s">
        <v>999</v>
      </c>
      <c r="I426" t="s">
        <v>30</v>
      </c>
      <c r="J426" t="s">
        <v>31</v>
      </c>
      <c r="K426" t="s">
        <v>38</v>
      </c>
      <c r="L426" t="s">
        <v>39</v>
      </c>
      <c r="M426" t="s">
        <v>33</v>
      </c>
      <c r="N426" s="2">
        <v>45539.632106481484</v>
      </c>
      <c r="O426" s="2">
        <v>45748.166666666664</v>
      </c>
      <c r="P426" s="2">
        <v>45796.166666666664</v>
      </c>
      <c r="Q426" s="2">
        <v>45740</v>
      </c>
      <c r="R426" s="2">
        <v>45742.581990300925</v>
      </c>
      <c r="S426" t="s">
        <v>226</v>
      </c>
      <c r="T426" s="2">
        <v>45681.208333333336</v>
      </c>
      <c r="U426" s="2">
        <v>45684.208333333336</v>
      </c>
      <c r="V426" s="2">
        <v>45684.208333333336</v>
      </c>
      <c r="W426" s="2">
        <v>45684.208333333336</v>
      </c>
      <c r="X426" s="3">
        <f t="shared" si="60"/>
        <v>3</v>
      </c>
      <c r="Y426">
        <f t="shared" si="61"/>
        <v>0</v>
      </c>
      <c r="Z426">
        <f t="shared" si="62"/>
        <v>3</v>
      </c>
      <c r="AA426">
        <f t="shared" si="63"/>
        <v>200.36789351851621</v>
      </c>
      <c r="AB426">
        <f t="shared" si="64"/>
        <v>197.36789351851621</v>
      </c>
      <c r="AC426">
        <f>IFERROR(_xlfn.XLOOKUP(B426, HoldSummary!$A:$A, HoldSummary!B:B), 0)</f>
        <v>0</v>
      </c>
      <c r="AD426">
        <f>IFERROR(_xlfn.XLOOKUP(B426, HoldSummary!$A:$A, HoldSummary!C:C), 0)</f>
        <v>0</v>
      </c>
      <c r="AE426">
        <f>IFERROR(_xlfn.XLOOKUP(B426, HoldSummary!$A:$A, HoldSummary!D:D), 0)</f>
        <v>0</v>
      </c>
      <c r="AF426">
        <f>IFERROR(_xlfn.XLOOKUP(B426, HoldSummary!$A:$A, HoldSummary!E:E), 0)</f>
        <v>0</v>
      </c>
      <c r="AG426">
        <f>IFERROR(_xlfn.XLOOKUP(B426, HoldSummary!$A:$A, HoldSummary!F:F), 0)</f>
        <v>0</v>
      </c>
      <c r="AH426">
        <f>IFERROR(_xlfn.XLOOKUP(B426, HoldSummary!$A:$A, HoldSummary!G:G), 0)</f>
        <v>0</v>
      </c>
      <c r="AI426">
        <f>IFERROR(_xlfn.XLOOKUP(B426, HoldSummary!$A:$A, HoldSummary!H:H), 0)</f>
        <v>0</v>
      </c>
      <c r="AJ426">
        <f>IFERROR(_xlfn.XLOOKUP(B426, HoldSummary!$A:$A, HoldSummary!I:I), 0)</f>
        <v>0</v>
      </c>
      <c r="AK426">
        <f t="shared" si="65"/>
        <v>0</v>
      </c>
      <c r="AL426">
        <f t="shared" si="66"/>
        <v>200.36789351851621</v>
      </c>
      <c r="AM426">
        <f t="shared" si="67"/>
        <v>197.36789351851621</v>
      </c>
      <c r="AN426" s="12">
        <f t="shared" si="68"/>
        <v>-8.1666666666642413</v>
      </c>
      <c r="AO426">
        <f t="shared" si="69"/>
        <v>1</v>
      </c>
    </row>
    <row r="427" spans="1:41" x14ac:dyDescent="0.35">
      <c r="A427" t="s">
        <v>23</v>
      </c>
      <c r="B427" t="s">
        <v>1000</v>
      </c>
      <c r="C427" t="s">
        <v>130</v>
      </c>
      <c r="D427" t="s">
        <v>44</v>
      </c>
      <c r="E427" t="s">
        <v>45</v>
      </c>
      <c r="F427" t="s">
        <v>28</v>
      </c>
      <c r="G427">
        <v>26</v>
      </c>
      <c r="H427" t="s">
        <v>1001</v>
      </c>
      <c r="I427" t="s">
        <v>30</v>
      </c>
      <c r="J427" t="s">
        <v>31</v>
      </c>
      <c r="K427" t="s">
        <v>38</v>
      </c>
      <c r="L427" t="s">
        <v>39</v>
      </c>
      <c r="M427" t="s">
        <v>33</v>
      </c>
      <c r="N427" s="2">
        <v>45692.868402777778</v>
      </c>
      <c r="O427" s="2">
        <v>45876.166666666664</v>
      </c>
      <c r="P427" s="2">
        <v>45821.166666666664</v>
      </c>
      <c r="Q427" s="2">
        <v>45776</v>
      </c>
      <c r="R427" s="2">
        <v>45776.75027193287</v>
      </c>
      <c r="S427" t="s">
        <v>93</v>
      </c>
      <c r="T427" s="2">
        <v>45764.166666666664</v>
      </c>
      <c r="U427" s="2">
        <v>45764.166666666664</v>
      </c>
      <c r="V427" s="2">
        <v>45764.166666666664</v>
      </c>
      <c r="W427" s="2">
        <v>45772.166666666664</v>
      </c>
      <c r="X427" s="3">
        <f t="shared" si="60"/>
        <v>0</v>
      </c>
      <c r="Y427">
        <f t="shared" si="61"/>
        <v>8</v>
      </c>
      <c r="Z427">
        <f t="shared" si="62"/>
        <v>8</v>
      </c>
      <c r="AA427">
        <f t="shared" si="63"/>
        <v>83.131597222221899</v>
      </c>
      <c r="AB427">
        <f t="shared" si="64"/>
        <v>75.131597222221899</v>
      </c>
      <c r="AC427">
        <f>IFERROR(_xlfn.XLOOKUP(B427, HoldSummary!$A:$A, HoldSummary!B:B), 0)</f>
        <v>15</v>
      </c>
      <c r="AD427">
        <f>IFERROR(_xlfn.XLOOKUP(B427, HoldSummary!$A:$A, HoldSummary!C:C), 0)</f>
        <v>0</v>
      </c>
      <c r="AE427">
        <f>IFERROR(_xlfn.XLOOKUP(B427, HoldSummary!$A:$A, HoldSummary!D:D), 0)</f>
        <v>0</v>
      </c>
      <c r="AF427">
        <f>IFERROR(_xlfn.XLOOKUP(B427, HoldSummary!$A:$A, HoldSummary!E:E), 0)</f>
        <v>0</v>
      </c>
      <c r="AG427">
        <f>IFERROR(_xlfn.XLOOKUP(B427, HoldSummary!$A:$A, HoldSummary!F:F), 0)</f>
        <v>0</v>
      </c>
      <c r="AH427">
        <f>IFERROR(_xlfn.XLOOKUP(B427, HoldSummary!$A:$A, HoldSummary!G:G), 0)</f>
        <v>0</v>
      </c>
      <c r="AI427">
        <f>IFERROR(_xlfn.XLOOKUP(B427, HoldSummary!$A:$A, HoldSummary!H:H), 0)</f>
        <v>0</v>
      </c>
      <c r="AJ427">
        <f>IFERROR(_xlfn.XLOOKUP(B427, HoldSummary!$A:$A, HoldSummary!I:I), 0)</f>
        <v>0</v>
      </c>
      <c r="AK427">
        <f t="shared" si="65"/>
        <v>15</v>
      </c>
      <c r="AL427">
        <f t="shared" si="66"/>
        <v>68.131597222221899</v>
      </c>
      <c r="AM427">
        <f t="shared" si="67"/>
        <v>60.131597222221899</v>
      </c>
      <c r="AN427" s="12">
        <f t="shared" si="68"/>
        <v>-100.16666666666424</v>
      </c>
      <c r="AO427">
        <f t="shared" si="69"/>
        <v>1</v>
      </c>
    </row>
    <row r="428" spans="1:41" x14ac:dyDescent="0.35">
      <c r="A428" t="s">
        <v>23</v>
      </c>
      <c r="B428" t="s">
        <v>1002</v>
      </c>
      <c r="C428" t="s">
        <v>36</v>
      </c>
      <c r="D428" t="s">
        <v>44</v>
      </c>
      <c r="E428" t="s">
        <v>45</v>
      </c>
      <c r="F428" t="s">
        <v>28</v>
      </c>
      <c r="G428">
        <v>26</v>
      </c>
      <c r="H428" t="s">
        <v>1003</v>
      </c>
      <c r="I428" t="s">
        <v>30</v>
      </c>
      <c r="J428" t="s">
        <v>70</v>
      </c>
      <c r="K428" t="s">
        <v>38</v>
      </c>
      <c r="L428" t="s">
        <v>39</v>
      </c>
      <c r="M428" t="s">
        <v>33</v>
      </c>
      <c r="N428" s="2">
        <v>45727.550324074073</v>
      </c>
      <c r="O428" s="2">
        <v>45751.166666666664</v>
      </c>
      <c r="P428" s="2">
        <v>45751.166666666664</v>
      </c>
      <c r="Q428" s="2">
        <v>45748</v>
      </c>
      <c r="R428" s="2">
        <v>45749.450910752312</v>
      </c>
      <c r="T428" s="2"/>
      <c r="U428" s="2"/>
      <c r="V428" s="2"/>
      <c r="W428" s="2"/>
      <c r="X428" s="3" t="str">
        <f t="shared" si="60"/>
        <v/>
      </c>
      <c r="Y428" t="str">
        <f t="shared" si="61"/>
        <v/>
      </c>
      <c r="Z428">
        <f t="shared" si="62"/>
        <v>0</v>
      </c>
      <c r="AA428">
        <f t="shared" si="63"/>
        <v>20.449675925927295</v>
      </c>
      <c r="AB428">
        <f t="shared" si="64"/>
        <v>20.449675925927295</v>
      </c>
      <c r="AC428">
        <f>IFERROR(_xlfn.XLOOKUP(B428, HoldSummary!$A:$A, HoldSummary!B:B), 0)</f>
        <v>0</v>
      </c>
      <c r="AD428">
        <f>IFERROR(_xlfn.XLOOKUP(B428, HoldSummary!$A:$A, HoldSummary!C:C), 0)</f>
        <v>0</v>
      </c>
      <c r="AE428">
        <f>IFERROR(_xlfn.XLOOKUP(B428, HoldSummary!$A:$A, HoldSummary!D:D), 0)</f>
        <v>0</v>
      </c>
      <c r="AF428">
        <f>IFERROR(_xlfn.XLOOKUP(B428, HoldSummary!$A:$A, HoldSummary!E:E), 0)</f>
        <v>0</v>
      </c>
      <c r="AG428">
        <f>IFERROR(_xlfn.XLOOKUP(B428, HoldSummary!$A:$A, HoldSummary!F:F), 0)</f>
        <v>0</v>
      </c>
      <c r="AH428">
        <f>IFERROR(_xlfn.XLOOKUP(B428, HoldSummary!$A:$A, HoldSummary!G:G), 0)</f>
        <v>0</v>
      </c>
      <c r="AI428">
        <f>IFERROR(_xlfn.XLOOKUP(B428, HoldSummary!$A:$A, HoldSummary!H:H), 0)</f>
        <v>0</v>
      </c>
      <c r="AJ428">
        <f>IFERROR(_xlfn.XLOOKUP(B428, HoldSummary!$A:$A, HoldSummary!I:I), 0)</f>
        <v>0</v>
      </c>
      <c r="AK428">
        <f t="shared" si="65"/>
        <v>0</v>
      </c>
      <c r="AL428">
        <f t="shared" si="66"/>
        <v>20.449675925927295</v>
      </c>
      <c r="AM428">
        <f t="shared" si="67"/>
        <v>20.449675925927295</v>
      </c>
      <c r="AN428" s="12">
        <f t="shared" si="68"/>
        <v>-3.1666666666642413</v>
      </c>
      <c r="AO428">
        <f t="shared" si="69"/>
        <v>1</v>
      </c>
    </row>
    <row r="429" spans="1:41" x14ac:dyDescent="0.35">
      <c r="A429" t="s">
        <v>23</v>
      </c>
      <c r="B429" t="s">
        <v>1004</v>
      </c>
      <c r="C429" t="s">
        <v>36</v>
      </c>
      <c r="D429" t="s">
        <v>44</v>
      </c>
      <c r="E429" t="s">
        <v>44</v>
      </c>
      <c r="F429" t="s">
        <v>28</v>
      </c>
      <c r="G429">
        <v>26</v>
      </c>
      <c r="H429" t="s">
        <v>1005</v>
      </c>
      <c r="I429" t="s">
        <v>30</v>
      </c>
      <c r="J429" t="s">
        <v>31</v>
      </c>
      <c r="K429" t="s">
        <v>48</v>
      </c>
      <c r="L429" t="s">
        <v>39</v>
      </c>
      <c r="M429" t="s">
        <v>33</v>
      </c>
      <c r="N429" s="2">
        <v>45825.166666666664</v>
      </c>
      <c r="O429" s="2">
        <v>45847.166666666664</v>
      </c>
      <c r="P429" s="2">
        <v>45847.166666666664</v>
      </c>
      <c r="Q429" s="2">
        <v>45839</v>
      </c>
      <c r="R429" s="2">
        <v>45845.607093564817</v>
      </c>
      <c r="S429" t="s">
        <v>1006</v>
      </c>
      <c r="T429" s="2"/>
      <c r="U429" s="2"/>
      <c r="V429" s="2"/>
      <c r="W429" s="2"/>
      <c r="X429" s="3" t="str">
        <f t="shared" si="60"/>
        <v/>
      </c>
      <c r="Y429" t="str">
        <f t="shared" si="61"/>
        <v/>
      </c>
      <c r="Z429">
        <f t="shared" si="62"/>
        <v>0</v>
      </c>
      <c r="AA429">
        <f t="shared" si="63"/>
        <v>13.833333333335759</v>
      </c>
      <c r="AB429">
        <f t="shared" si="64"/>
        <v>13.833333333335759</v>
      </c>
      <c r="AC429">
        <f>IFERROR(_xlfn.XLOOKUP(B429, HoldSummary!$A:$A, HoldSummary!B:B), 0)</f>
        <v>0</v>
      </c>
      <c r="AD429">
        <f>IFERROR(_xlfn.XLOOKUP(B429, HoldSummary!$A:$A, HoldSummary!C:C), 0)</f>
        <v>0</v>
      </c>
      <c r="AE429">
        <f>IFERROR(_xlfn.XLOOKUP(B429, HoldSummary!$A:$A, HoldSummary!D:D), 0)</f>
        <v>0</v>
      </c>
      <c r="AF429">
        <f>IFERROR(_xlfn.XLOOKUP(B429, HoldSummary!$A:$A, HoldSummary!E:E), 0)</f>
        <v>0</v>
      </c>
      <c r="AG429">
        <f>IFERROR(_xlfn.XLOOKUP(B429, HoldSummary!$A:$A, HoldSummary!F:F), 0)</f>
        <v>0</v>
      </c>
      <c r="AH429">
        <f>IFERROR(_xlfn.XLOOKUP(B429, HoldSummary!$A:$A, HoldSummary!G:G), 0)</f>
        <v>0</v>
      </c>
      <c r="AI429">
        <f>IFERROR(_xlfn.XLOOKUP(B429, HoldSummary!$A:$A, HoldSummary!H:H), 0)</f>
        <v>0</v>
      </c>
      <c r="AJ429">
        <f>IFERROR(_xlfn.XLOOKUP(B429, HoldSummary!$A:$A, HoldSummary!I:I), 0)</f>
        <v>0</v>
      </c>
      <c r="AK429">
        <f t="shared" si="65"/>
        <v>0</v>
      </c>
      <c r="AL429">
        <f t="shared" si="66"/>
        <v>13.833333333335759</v>
      </c>
      <c r="AM429">
        <f t="shared" si="67"/>
        <v>13.833333333335759</v>
      </c>
      <c r="AN429" s="12">
        <f t="shared" si="68"/>
        <v>-8.1666666666642413</v>
      </c>
      <c r="AO429">
        <f t="shared" si="69"/>
        <v>1</v>
      </c>
    </row>
    <row r="430" spans="1:41" x14ac:dyDescent="0.35">
      <c r="A430" t="s">
        <v>23</v>
      </c>
      <c r="B430" t="s">
        <v>1007</v>
      </c>
      <c r="C430" t="s">
        <v>76</v>
      </c>
      <c r="D430" t="s">
        <v>44</v>
      </c>
      <c r="E430" t="s">
        <v>45</v>
      </c>
      <c r="F430" t="s">
        <v>28</v>
      </c>
      <c r="G430">
        <v>27</v>
      </c>
      <c r="H430" t="s">
        <v>1008</v>
      </c>
      <c r="I430" t="s">
        <v>30</v>
      </c>
      <c r="J430" t="s">
        <v>31</v>
      </c>
      <c r="K430" t="s">
        <v>38</v>
      </c>
      <c r="L430" t="s">
        <v>39</v>
      </c>
      <c r="M430" t="s">
        <v>33</v>
      </c>
      <c r="N430" s="2">
        <v>45574.745300925926</v>
      </c>
      <c r="O430" s="2">
        <v>45758.166666666664</v>
      </c>
      <c r="P430" s="2">
        <v>45758.166666666664</v>
      </c>
      <c r="Q430" s="2">
        <v>45736</v>
      </c>
      <c r="R430" s="2">
        <v>45737.572145740742</v>
      </c>
      <c r="T430" s="2">
        <v>45677.208333333336</v>
      </c>
      <c r="U430" s="2">
        <v>45679.208333333336</v>
      </c>
      <c r="V430" s="2">
        <v>45679.208333333336</v>
      </c>
      <c r="W430" s="2">
        <v>45716.208333333336</v>
      </c>
      <c r="X430" s="3">
        <f t="shared" si="60"/>
        <v>2</v>
      </c>
      <c r="Y430">
        <f t="shared" si="61"/>
        <v>37</v>
      </c>
      <c r="Z430">
        <f t="shared" si="62"/>
        <v>39</v>
      </c>
      <c r="AA430">
        <f t="shared" si="63"/>
        <v>161.25469907407387</v>
      </c>
      <c r="AB430">
        <f t="shared" si="64"/>
        <v>122.25469907407387</v>
      </c>
      <c r="AC430">
        <f>IFERROR(_xlfn.XLOOKUP(B430, HoldSummary!$A:$A, HoldSummary!B:B), 0)</f>
        <v>0</v>
      </c>
      <c r="AD430">
        <f>IFERROR(_xlfn.XLOOKUP(B430, HoldSummary!$A:$A, HoldSummary!C:C), 0)</f>
        <v>0</v>
      </c>
      <c r="AE430">
        <f>IFERROR(_xlfn.XLOOKUP(B430, HoldSummary!$A:$A, HoldSummary!D:D), 0)</f>
        <v>0</v>
      </c>
      <c r="AF430">
        <f>IFERROR(_xlfn.XLOOKUP(B430, HoldSummary!$A:$A, HoldSummary!E:E), 0)</f>
        <v>0</v>
      </c>
      <c r="AG430">
        <f>IFERROR(_xlfn.XLOOKUP(B430, HoldSummary!$A:$A, HoldSummary!F:F), 0)</f>
        <v>0</v>
      </c>
      <c r="AH430">
        <f>IFERROR(_xlfn.XLOOKUP(B430, HoldSummary!$A:$A, HoldSummary!G:G), 0)</f>
        <v>0</v>
      </c>
      <c r="AI430">
        <f>IFERROR(_xlfn.XLOOKUP(B430, HoldSummary!$A:$A, HoldSummary!H:H), 0)</f>
        <v>0</v>
      </c>
      <c r="AJ430">
        <f>IFERROR(_xlfn.XLOOKUP(B430, HoldSummary!$A:$A, HoldSummary!I:I), 0)</f>
        <v>0</v>
      </c>
      <c r="AK430">
        <f t="shared" si="65"/>
        <v>0</v>
      </c>
      <c r="AL430">
        <f t="shared" si="66"/>
        <v>161.25469907407387</v>
      </c>
      <c r="AM430">
        <f t="shared" si="67"/>
        <v>122.25469907407387</v>
      </c>
      <c r="AN430" s="12">
        <f t="shared" si="68"/>
        <v>-22.166666666664241</v>
      </c>
      <c r="AO430">
        <f t="shared" si="69"/>
        <v>1</v>
      </c>
    </row>
    <row r="431" spans="1:41" x14ac:dyDescent="0.35">
      <c r="A431" t="s">
        <v>23</v>
      </c>
      <c r="B431" t="s">
        <v>1009</v>
      </c>
      <c r="C431" t="s">
        <v>409</v>
      </c>
      <c r="D431" t="s">
        <v>44</v>
      </c>
      <c r="E431" t="s">
        <v>45</v>
      </c>
      <c r="F431" t="s">
        <v>28</v>
      </c>
      <c r="G431">
        <v>27</v>
      </c>
      <c r="H431" t="s">
        <v>1010</v>
      </c>
      <c r="I431" t="s">
        <v>30</v>
      </c>
      <c r="J431" t="s">
        <v>31</v>
      </c>
      <c r="K431" t="s">
        <v>38</v>
      </c>
      <c r="L431" t="s">
        <v>39</v>
      </c>
      <c r="M431" t="s">
        <v>81</v>
      </c>
      <c r="N431" s="2">
        <v>45601.892245370371</v>
      </c>
      <c r="O431" s="2">
        <v>45764.166666666664</v>
      </c>
      <c r="P431" s="2">
        <v>45777.166666666664</v>
      </c>
      <c r="Q431" s="2">
        <v>45755</v>
      </c>
      <c r="R431" s="2">
        <v>45755.621485833333</v>
      </c>
      <c r="S431" t="s">
        <v>708</v>
      </c>
      <c r="T431" s="2">
        <v>45694.208333333336</v>
      </c>
      <c r="U431" s="2">
        <v>45700.208333333336</v>
      </c>
      <c r="V431" s="2">
        <v>45700.208333333336</v>
      </c>
      <c r="W431" s="2">
        <v>45747.166666666664</v>
      </c>
      <c r="X431" s="3">
        <f t="shared" si="60"/>
        <v>6</v>
      </c>
      <c r="Y431">
        <f t="shared" si="61"/>
        <v>46.958333333328483</v>
      </c>
      <c r="Z431">
        <f t="shared" si="62"/>
        <v>52.958333333328483</v>
      </c>
      <c r="AA431">
        <f t="shared" si="63"/>
        <v>153.1077546296292</v>
      </c>
      <c r="AB431">
        <f t="shared" si="64"/>
        <v>100.14942129630072</v>
      </c>
      <c r="AC431">
        <f>IFERROR(_xlfn.XLOOKUP(B431, HoldSummary!$A:$A, HoldSummary!B:B), 0)</f>
        <v>20</v>
      </c>
      <c r="AD431">
        <f>IFERROR(_xlfn.XLOOKUP(B431, HoldSummary!$A:$A, HoldSummary!C:C), 0)</f>
        <v>0</v>
      </c>
      <c r="AE431">
        <f>IFERROR(_xlfn.XLOOKUP(B431, HoldSummary!$A:$A, HoldSummary!D:D), 0)</f>
        <v>0</v>
      </c>
      <c r="AF431">
        <f>IFERROR(_xlfn.XLOOKUP(B431, HoldSummary!$A:$A, HoldSummary!E:E), 0)</f>
        <v>0</v>
      </c>
      <c r="AG431">
        <f>IFERROR(_xlfn.XLOOKUP(B431, HoldSummary!$A:$A, HoldSummary!F:F), 0)</f>
        <v>0</v>
      </c>
      <c r="AH431">
        <f>IFERROR(_xlfn.XLOOKUP(B431, HoldSummary!$A:$A, HoldSummary!G:G), 0)</f>
        <v>0</v>
      </c>
      <c r="AI431">
        <f>IFERROR(_xlfn.XLOOKUP(B431, HoldSummary!$A:$A, HoldSummary!H:H), 0)</f>
        <v>0</v>
      </c>
      <c r="AJ431">
        <f>IFERROR(_xlfn.XLOOKUP(B431, HoldSummary!$A:$A, HoldSummary!I:I), 0)</f>
        <v>0</v>
      </c>
      <c r="AK431">
        <f t="shared" si="65"/>
        <v>20</v>
      </c>
      <c r="AL431">
        <f t="shared" si="66"/>
        <v>133.1077546296292</v>
      </c>
      <c r="AM431">
        <f t="shared" si="67"/>
        <v>80.149421296300716</v>
      </c>
      <c r="AN431" s="12">
        <f t="shared" si="68"/>
        <v>-9.1666666666642413</v>
      </c>
      <c r="AO431">
        <f t="shared" si="69"/>
        <v>1</v>
      </c>
    </row>
    <row r="432" spans="1:41" x14ac:dyDescent="0.35">
      <c r="A432" t="s">
        <v>23</v>
      </c>
      <c r="B432" t="s">
        <v>1011</v>
      </c>
      <c r="C432" t="s">
        <v>36</v>
      </c>
      <c r="D432" t="s">
        <v>44</v>
      </c>
      <c r="E432" t="s">
        <v>45</v>
      </c>
      <c r="F432" t="s">
        <v>28</v>
      </c>
      <c r="G432">
        <v>27</v>
      </c>
      <c r="H432" t="s">
        <v>1012</v>
      </c>
      <c r="I432" t="s">
        <v>30</v>
      </c>
      <c r="J432" t="s">
        <v>31</v>
      </c>
      <c r="K432" t="s">
        <v>38</v>
      </c>
      <c r="L432" t="s">
        <v>39</v>
      </c>
      <c r="M432" t="s">
        <v>33</v>
      </c>
      <c r="N432" s="2">
        <v>45665.846620370372</v>
      </c>
      <c r="O432" s="2">
        <v>45679.208333333336</v>
      </c>
      <c r="P432" s="2">
        <v>45679.208333333336</v>
      </c>
      <c r="Q432" s="2">
        <v>45677</v>
      </c>
      <c r="R432" s="2">
        <v>45677.858207511577</v>
      </c>
      <c r="S432" t="s">
        <v>1013</v>
      </c>
      <c r="T432" s="2"/>
      <c r="U432" s="2"/>
      <c r="V432" s="2"/>
      <c r="W432" s="2"/>
      <c r="X432" s="3" t="str">
        <f t="shared" si="60"/>
        <v/>
      </c>
      <c r="Y432" t="str">
        <f t="shared" si="61"/>
        <v/>
      </c>
      <c r="Z432">
        <f t="shared" si="62"/>
        <v>0</v>
      </c>
      <c r="AA432">
        <f t="shared" si="63"/>
        <v>11.153379629628034</v>
      </c>
      <c r="AB432">
        <f t="shared" si="64"/>
        <v>11.153379629628034</v>
      </c>
      <c r="AC432">
        <f>IFERROR(_xlfn.XLOOKUP(B432, HoldSummary!$A:$A, HoldSummary!B:B), 0)</f>
        <v>0</v>
      </c>
      <c r="AD432">
        <f>IFERROR(_xlfn.XLOOKUP(B432, HoldSummary!$A:$A, HoldSummary!C:C), 0)</f>
        <v>0</v>
      </c>
      <c r="AE432">
        <f>IFERROR(_xlfn.XLOOKUP(B432, HoldSummary!$A:$A, HoldSummary!D:D), 0)</f>
        <v>0</v>
      </c>
      <c r="AF432">
        <f>IFERROR(_xlfn.XLOOKUP(B432, HoldSummary!$A:$A, HoldSummary!E:E), 0)</f>
        <v>0</v>
      </c>
      <c r="AG432">
        <f>IFERROR(_xlfn.XLOOKUP(B432, HoldSummary!$A:$A, HoldSummary!F:F), 0)</f>
        <v>0</v>
      </c>
      <c r="AH432">
        <f>IFERROR(_xlfn.XLOOKUP(B432, HoldSummary!$A:$A, HoldSummary!G:G), 0)</f>
        <v>0</v>
      </c>
      <c r="AI432">
        <f>IFERROR(_xlfn.XLOOKUP(B432, HoldSummary!$A:$A, HoldSummary!H:H), 0)</f>
        <v>0</v>
      </c>
      <c r="AJ432">
        <f>IFERROR(_xlfn.XLOOKUP(B432, HoldSummary!$A:$A, HoldSummary!I:I), 0)</f>
        <v>0</v>
      </c>
      <c r="AK432">
        <f t="shared" si="65"/>
        <v>0</v>
      </c>
      <c r="AL432">
        <f t="shared" si="66"/>
        <v>11.153379629628034</v>
      </c>
      <c r="AM432">
        <f t="shared" si="67"/>
        <v>11.153379629628034</v>
      </c>
      <c r="AN432" s="12">
        <f t="shared" si="68"/>
        <v>-2.2083333333357587</v>
      </c>
      <c r="AO432">
        <f t="shared" si="69"/>
        <v>1</v>
      </c>
    </row>
    <row r="433" spans="1:41" x14ac:dyDescent="0.35">
      <c r="A433" t="s">
        <v>23</v>
      </c>
      <c r="B433" t="s">
        <v>1014</v>
      </c>
      <c r="C433" t="s">
        <v>36</v>
      </c>
      <c r="D433" t="s">
        <v>44</v>
      </c>
      <c r="E433" t="s">
        <v>45</v>
      </c>
      <c r="F433" t="s">
        <v>28</v>
      </c>
      <c r="G433">
        <v>28</v>
      </c>
      <c r="H433" t="s">
        <v>1015</v>
      </c>
      <c r="I433" t="s">
        <v>30</v>
      </c>
      <c r="J433" t="s">
        <v>70</v>
      </c>
      <c r="K433" t="s">
        <v>48</v>
      </c>
      <c r="L433" t="s">
        <v>49</v>
      </c>
      <c r="M433" t="s">
        <v>33</v>
      </c>
      <c r="N433" s="2">
        <v>45526.737951388888</v>
      </c>
      <c r="O433" s="2">
        <v>45702.208333333336</v>
      </c>
      <c r="P433" s="2">
        <v>45702.208333333336</v>
      </c>
      <c r="Q433" s="2">
        <v>45700</v>
      </c>
      <c r="R433" s="2">
        <v>45700.777254687498</v>
      </c>
      <c r="T433" s="2"/>
      <c r="U433" s="2"/>
      <c r="V433" s="2"/>
      <c r="W433" s="2"/>
      <c r="X433" s="3" t="str">
        <f t="shared" si="60"/>
        <v/>
      </c>
      <c r="Y433" t="str">
        <f t="shared" si="61"/>
        <v/>
      </c>
      <c r="Z433">
        <f t="shared" si="62"/>
        <v>0</v>
      </c>
      <c r="AA433">
        <f t="shared" si="63"/>
        <v>173.26204861111182</v>
      </c>
      <c r="AB433">
        <f t="shared" si="64"/>
        <v>173.26204861111182</v>
      </c>
      <c r="AC433">
        <f>IFERROR(_xlfn.XLOOKUP(B433, HoldSummary!$A:$A, HoldSummary!B:B), 0)</f>
        <v>0</v>
      </c>
      <c r="AD433">
        <f>IFERROR(_xlfn.XLOOKUP(B433, HoldSummary!$A:$A, HoldSummary!C:C), 0)</f>
        <v>0</v>
      </c>
      <c r="AE433">
        <f>IFERROR(_xlfn.XLOOKUP(B433, HoldSummary!$A:$A, HoldSummary!D:D), 0)</f>
        <v>0</v>
      </c>
      <c r="AF433">
        <f>IFERROR(_xlfn.XLOOKUP(B433, HoldSummary!$A:$A, HoldSummary!E:E), 0)</f>
        <v>0</v>
      </c>
      <c r="AG433">
        <f>IFERROR(_xlfn.XLOOKUP(B433, HoldSummary!$A:$A, HoldSummary!F:F), 0)</f>
        <v>0</v>
      </c>
      <c r="AH433">
        <f>IFERROR(_xlfn.XLOOKUP(B433, HoldSummary!$A:$A, HoldSummary!G:G), 0)</f>
        <v>0</v>
      </c>
      <c r="AI433">
        <f>IFERROR(_xlfn.XLOOKUP(B433, HoldSummary!$A:$A, HoldSummary!H:H), 0)</f>
        <v>0</v>
      </c>
      <c r="AJ433">
        <f>IFERROR(_xlfn.XLOOKUP(B433, HoldSummary!$A:$A, HoldSummary!I:I), 0)</f>
        <v>0</v>
      </c>
      <c r="AK433">
        <f t="shared" si="65"/>
        <v>0</v>
      </c>
      <c r="AL433">
        <f t="shared" si="66"/>
        <v>173.26204861111182</v>
      </c>
      <c r="AM433">
        <f t="shared" si="67"/>
        <v>173.26204861111182</v>
      </c>
      <c r="AN433" s="12">
        <f t="shared" si="68"/>
        <v>-2.2083333333357587</v>
      </c>
      <c r="AO433">
        <f t="shared" si="69"/>
        <v>1</v>
      </c>
    </row>
    <row r="434" spans="1:41" x14ac:dyDescent="0.35">
      <c r="A434" t="s">
        <v>23</v>
      </c>
      <c r="B434" t="s">
        <v>1016</v>
      </c>
      <c r="C434" t="s">
        <v>36</v>
      </c>
      <c r="D434" t="s">
        <v>44</v>
      </c>
      <c r="E434" t="s">
        <v>45</v>
      </c>
      <c r="F434" t="s">
        <v>28</v>
      </c>
      <c r="G434">
        <v>28</v>
      </c>
      <c r="H434" t="s">
        <v>1017</v>
      </c>
      <c r="I434" t="s">
        <v>30</v>
      </c>
      <c r="J434" t="s">
        <v>70</v>
      </c>
      <c r="K434" t="s">
        <v>38</v>
      </c>
      <c r="L434" t="s">
        <v>39</v>
      </c>
      <c r="N434" s="2">
        <v>45586.706365740742</v>
      </c>
      <c r="O434" s="2">
        <v>45625.208333333336</v>
      </c>
      <c r="P434" s="2">
        <v>45833.166666666664</v>
      </c>
      <c r="Q434" s="2">
        <v>45825</v>
      </c>
      <c r="R434" s="2">
        <v>45825.514416493053</v>
      </c>
      <c r="S434" t="s">
        <v>97</v>
      </c>
      <c r="T434" s="2">
        <v>45810.166666666664</v>
      </c>
      <c r="U434" s="2">
        <v>45812.166666666664</v>
      </c>
      <c r="V434" s="2">
        <v>45813.166666666664</v>
      </c>
      <c r="W434" s="2">
        <v>45813.166666666664</v>
      </c>
      <c r="X434" s="3">
        <f t="shared" si="60"/>
        <v>2</v>
      </c>
      <c r="Y434">
        <f t="shared" si="61"/>
        <v>0</v>
      </c>
      <c r="Z434">
        <f t="shared" si="62"/>
        <v>2</v>
      </c>
      <c r="AA434">
        <f t="shared" si="63"/>
        <v>238.2936342592584</v>
      </c>
      <c r="AB434">
        <f t="shared" si="64"/>
        <v>236.2936342592584</v>
      </c>
      <c r="AC434">
        <f>IFERROR(_xlfn.XLOOKUP(B434, HoldSummary!$A:$A, HoldSummary!B:B), 0)</f>
        <v>0</v>
      </c>
      <c r="AD434">
        <f>IFERROR(_xlfn.XLOOKUP(B434, HoldSummary!$A:$A, HoldSummary!C:C), 0)</f>
        <v>0</v>
      </c>
      <c r="AE434">
        <f>IFERROR(_xlfn.XLOOKUP(B434, HoldSummary!$A:$A, HoldSummary!D:D), 0)</f>
        <v>0</v>
      </c>
      <c r="AF434">
        <f>IFERROR(_xlfn.XLOOKUP(B434, HoldSummary!$A:$A, HoldSummary!E:E), 0)</f>
        <v>0</v>
      </c>
      <c r="AG434">
        <f>IFERROR(_xlfn.XLOOKUP(B434, HoldSummary!$A:$A, HoldSummary!F:F), 0)</f>
        <v>8</v>
      </c>
      <c r="AH434">
        <f>IFERROR(_xlfn.XLOOKUP(B434, HoldSummary!$A:$A, HoldSummary!G:G), 0)</f>
        <v>0</v>
      </c>
      <c r="AI434">
        <f>IFERROR(_xlfn.XLOOKUP(B434, HoldSummary!$A:$A, HoldSummary!H:H), 0)</f>
        <v>0</v>
      </c>
      <c r="AJ434">
        <f>IFERROR(_xlfn.XLOOKUP(B434, HoldSummary!$A:$A, HoldSummary!I:I), 0)</f>
        <v>0</v>
      </c>
      <c r="AK434">
        <f t="shared" si="65"/>
        <v>8</v>
      </c>
      <c r="AL434">
        <f t="shared" si="66"/>
        <v>230.2936342592584</v>
      </c>
      <c r="AM434">
        <f t="shared" si="67"/>
        <v>228.2936342592584</v>
      </c>
      <c r="AN434" s="12">
        <f t="shared" si="68"/>
        <v>199.79166666666424</v>
      </c>
      <c r="AO434">
        <f t="shared" si="69"/>
        <v>0</v>
      </c>
    </row>
    <row r="435" spans="1:41" x14ac:dyDescent="0.35">
      <c r="A435" t="s">
        <v>23</v>
      </c>
      <c r="B435" t="s">
        <v>1018</v>
      </c>
      <c r="C435" t="s">
        <v>36</v>
      </c>
      <c r="D435" t="s">
        <v>44</v>
      </c>
      <c r="E435" t="s">
        <v>45</v>
      </c>
      <c r="F435" t="s">
        <v>28</v>
      </c>
      <c r="G435">
        <v>28</v>
      </c>
      <c r="H435" t="s">
        <v>1019</v>
      </c>
      <c r="I435" t="s">
        <v>30</v>
      </c>
      <c r="J435" t="s">
        <v>31</v>
      </c>
      <c r="K435" t="s">
        <v>48</v>
      </c>
      <c r="L435" t="s">
        <v>192</v>
      </c>
      <c r="M435" t="s">
        <v>33</v>
      </c>
      <c r="N435" s="2">
        <v>45736.620289351849</v>
      </c>
      <c r="O435" s="2">
        <v>45777.166666666664</v>
      </c>
      <c r="P435" s="2">
        <v>45777.166666666664</v>
      </c>
      <c r="Q435" s="2">
        <v>45778</v>
      </c>
      <c r="R435" s="2">
        <v>45779.46595322917</v>
      </c>
      <c r="S435" t="s">
        <v>1020</v>
      </c>
      <c r="T435" s="2">
        <v>45751.166666666664</v>
      </c>
      <c r="U435" s="2">
        <v>45751.166666666664</v>
      </c>
      <c r="V435" s="2">
        <v>45754.166666666664</v>
      </c>
      <c r="W435" s="2">
        <v>45755.166666666664</v>
      </c>
      <c r="X435" s="3">
        <f t="shared" si="60"/>
        <v>0</v>
      </c>
      <c r="Y435">
        <f t="shared" si="61"/>
        <v>1</v>
      </c>
      <c r="Z435">
        <f t="shared" si="62"/>
        <v>1</v>
      </c>
      <c r="AA435">
        <f t="shared" si="63"/>
        <v>41.379710648150649</v>
      </c>
      <c r="AB435">
        <f t="shared" si="64"/>
        <v>40.379710648150649</v>
      </c>
      <c r="AC435">
        <f>IFERROR(_xlfn.XLOOKUP(B435, HoldSummary!$A:$A, HoldSummary!B:B), 0)</f>
        <v>0</v>
      </c>
      <c r="AD435">
        <f>IFERROR(_xlfn.XLOOKUP(B435, HoldSummary!$A:$A, HoldSummary!C:C), 0)</f>
        <v>0</v>
      </c>
      <c r="AE435">
        <f>IFERROR(_xlfn.XLOOKUP(B435, HoldSummary!$A:$A, HoldSummary!D:D), 0)</f>
        <v>0</v>
      </c>
      <c r="AF435">
        <f>IFERROR(_xlfn.XLOOKUP(B435, HoldSummary!$A:$A, HoldSummary!E:E), 0)</f>
        <v>0</v>
      </c>
      <c r="AG435">
        <f>IFERROR(_xlfn.XLOOKUP(B435, HoldSummary!$A:$A, HoldSummary!F:F), 0)</f>
        <v>0</v>
      </c>
      <c r="AH435">
        <f>IFERROR(_xlfn.XLOOKUP(B435, HoldSummary!$A:$A, HoldSummary!G:G), 0)</f>
        <v>0</v>
      </c>
      <c r="AI435">
        <f>IFERROR(_xlfn.XLOOKUP(B435, HoldSummary!$A:$A, HoldSummary!H:H), 0)</f>
        <v>0</v>
      </c>
      <c r="AJ435">
        <f>IFERROR(_xlfn.XLOOKUP(B435, HoldSummary!$A:$A, HoldSummary!I:I), 0)</f>
        <v>0</v>
      </c>
      <c r="AK435">
        <f t="shared" si="65"/>
        <v>0</v>
      </c>
      <c r="AL435">
        <f t="shared" si="66"/>
        <v>41.379710648150649</v>
      </c>
      <c r="AM435">
        <f t="shared" si="67"/>
        <v>40.379710648150649</v>
      </c>
      <c r="AN435" s="12">
        <f t="shared" si="68"/>
        <v>0.83333333333575865</v>
      </c>
      <c r="AO435">
        <f t="shared" si="69"/>
        <v>0</v>
      </c>
    </row>
    <row r="436" spans="1:41" x14ac:dyDescent="0.35">
      <c r="A436" t="s">
        <v>23</v>
      </c>
      <c r="B436" t="s">
        <v>1021</v>
      </c>
      <c r="C436" t="s">
        <v>36</v>
      </c>
      <c r="D436" t="s">
        <v>44</v>
      </c>
      <c r="E436" t="s">
        <v>45</v>
      </c>
      <c r="F436" t="s">
        <v>28</v>
      </c>
      <c r="G436">
        <v>29</v>
      </c>
      <c r="H436" t="s">
        <v>1022</v>
      </c>
      <c r="I436" t="s">
        <v>30</v>
      </c>
      <c r="J436" t="s">
        <v>70</v>
      </c>
      <c r="K436" t="s">
        <v>38</v>
      </c>
      <c r="L436" t="s">
        <v>39</v>
      </c>
      <c r="N436" s="2">
        <v>45587.743923611109</v>
      </c>
      <c r="O436" s="2">
        <v>45708.208333333336</v>
      </c>
      <c r="P436" s="2">
        <v>45833.166666666664</v>
      </c>
      <c r="Q436" s="2">
        <v>45824</v>
      </c>
      <c r="R436" s="2">
        <v>45824.785803946761</v>
      </c>
      <c r="S436" t="s">
        <v>97</v>
      </c>
      <c r="T436" s="2">
        <v>45603.208333333336</v>
      </c>
      <c r="U436" s="2">
        <v>45812.166666666664</v>
      </c>
      <c r="V436" s="2">
        <v>45813.166666666664</v>
      </c>
      <c r="W436" s="2">
        <v>45813.166666666664</v>
      </c>
      <c r="X436" s="3">
        <f t="shared" si="60"/>
        <v>208.95833333332848</v>
      </c>
      <c r="Y436">
        <f t="shared" si="61"/>
        <v>0</v>
      </c>
      <c r="Z436">
        <f t="shared" si="62"/>
        <v>208.95833333332848</v>
      </c>
      <c r="AA436">
        <f t="shared" si="63"/>
        <v>236.25607638889051</v>
      </c>
      <c r="AB436">
        <f t="shared" si="64"/>
        <v>27.297743055562023</v>
      </c>
      <c r="AC436">
        <f>IFERROR(_xlfn.XLOOKUP(B436, HoldSummary!$A:$A, HoldSummary!B:B), 0)</f>
        <v>0</v>
      </c>
      <c r="AD436">
        <f>IFERROR(_xlfn.XLOOKUP(B436, HoldSummary!$A:$A, HoldSummary!C:C), 0)</f>
        <v>0</v>
      </c>
      <c r="AE436">
        <f>IFERROR(_xlfn.XLOOKUP(B436, HoldSummary!$A:$A, HoldSummary!D:D), 0)</f>
        <v>0</v>
      </c>
      <c r="AF436">
        <f>IFERROR(_xlfn.XLOOKUP(B436, HoldSummary!$A:$A, HoldSummary!E:E), 0)</f>
        <v>0</v>
      </c>
      <c r="AG436">
        <f>IFERROR(_xlfn.XLOOKUP(B436, HoldSummary!$A:$A, HoldSummary!F:F), 0)</f>
        <v>0</v>
      </c>
      <c r="AH436">
        <f>IFERROR(_xlfn.XLOOKUP(B436, HoldSummary!$A:$A, HoldSummary!G:G), 0)</f>
        <v>0</v>
      </c>
      <c r="AI436">
        <f>IFERROR(_xlfn.XLOOKUP(B436, HoldSummary!$A:$A, HoldSummary!H:H), 0)</f>
        <v>0</v>
      </c>
      <c r="AJ436">
        <f>IFERROR(_xlfn.XLOOKUP(B436, HoldSummary!$A:$A, HoldSummary!I:I), 0)</f>
        <v>0</v>
      </c>
      <c r="AK436">
        <f t="shared" si="65"/>
        <v>0</v>
      </c>
      <c r="AL436">
        <f t="shared" si="66"/>
        <v>236.25607638889051</v>
      </c>
      <c r="AM436">
        <f t="shared" si="67"/>
        <v>27.297743055562023</v>
      </c>
      <c r="AN436" s="12">
        <f t="shared" si="68"/>
        <v>115.79166666666424</v>
      </c>
      <c r="AO436">
        <f t="shared" si="69"/>
        <v>0</v>
      </c>
    </row>
    <row r="437" spans="1:41" x14ac:dyDescent="0.35">
      <c r="A437" t="s">
        <v>23</v>
      </c>
      <c r="B437" t="s">
        <v>1023</v>
      </c>
      <c r="C437" t="s">
        <v>36</v>
      </c>
      <c r="D437" t="s">
        <v>44</v>
      </c>
      <c r="E437" t="s">
        <v>45</v>
      </c>
      <c r="F437" t="s">
        <v>28</v>
      </c>
      <c r="G437">
        <v>29</v>
      </c>
      <c r="H437" t="s">
        <v>1024</v>
      </c>
      <c r="I437" t="s">
        <v>30</v>
      </c>
      <c r="J437" t="s">
        <v>70</v>
      </c>
      <c r="K437" t="s">
        <v>48</v>
      </c>
      <c r="L437" t="s">
        <v>49</v>
      </c>
      <c r="M437" t="s">
        <v>33</v>
      </c>
      <c r="N437" s="2">
        <v>45629.715879629628</v>
      </c>
      <c r="O437" s="2">
        <v>45698.208333333336</v>
      </c>
      <c r="P437" s="2">
        <v>45698.208333333336</v>
      </c>
      <c r="Q437" s="2">
        <v>45702</v>
      </c>
      <c r="R437" s="2">
        <v>45706.559650671297</v>
      </c>
      <c r="T437" s="2"/>
      <c r="U437" s="2"/>
      <c r="V437" s="2"/>
      <c r="W437" s="2"/>
      <c r="X437" s="3" t="str">
        <f t="shared" si="60"/>
        <v/>
      </c>
      <c r="Y437" t="str">
        <f t="shared" si="61"/>
        <v/>
      </c>
      <c r="Z437">
        <f t="shared" si="62"/>
        <v>0</v>
      </c>
      <c r="AA437">
        <f t="shared" si="63"/>
        <v>72.284120370371966</v>
      </c>
      <c r="AB437">
        <f t="shared" si="64"/>
        <v>72.284120370371966</v>
      </c>
      <c r="AC437">
        <f>IFERROR(_xlfn.XLOOKUP(B437, HoldSummary!$A:$A, HoldSummary!B:B), 0)</f>
        <v>0</v>
      </c>
      <c r="AD437">
        <f>IFERROR(_xlfn.XLOOKUP(B437, HoldSummary!$A:$A, HoldSummary!C:C), 0)</f>
        <v>0</v>
      </c>
      <c r="AE437">
        <f>IFERROR(_xlfn.XLOOKUP(B437, HoldSummary!$A:$A, HoldSummary!D:D), 0)</f>
        <v>0</v>
      </c>
      <c r="AF437">
        <f>IFERROR(_xlfn.XLOOKUP(B437, HoldSummary!$A:$A, HoldSummary!E:E), 0)</f>
        <v>0</v>
      </c>
      <c r="AG437">
        <f>IFERROR(_xlfn.XLOOKUP(B437, HoldSummary!$A:$A, HoldSummary!F:F), 0)</f>
        <v>0</v>
      </c>
      <c r="AH437">
        <f>IFERROR(_xlfn.XLOOKUP(B437, HoldSummary!$A:$A, HoldSummary!G:G), 0)</f>
        <v>0</v>
      </c>
      <c r="AI437">
        <f>IFERROR(_xlfn.XLOOKUP(B437, HoldSummary!$A:$A, HoldSummary!H:H), 0)</f>
        <v>0</v>
      </c>
      <c r="AJ437">
        <f>IFERROR(_xlfn.XLOOKUP(B437, HoldSummary!$A:$A, HoldSummary!I:I), 0)</f>
        <v>0</v>
      </c>
      <c r="AK437">
        <f t="shared" si="65"/>
        <v>0</v>
      </c>
      <c r="AL437">
        <f t="shared" si="66"/>
        <v>72.284120370371966</v>
      </c>
      <c r="AM437">
        <f t="shared" si="67"/>
        <v>72.284120370371966</v>
      </c>
      <c r="AN437" s="12">
        <f t="shared" si="68"/>
        <v>3.7916666666642413</v>
      </c>
      <c r="AO437">
        <f t="shared" si="69"/>
        <v>0</v>
      </c>
    </row>
    <row r="438" spans="1:41" x14ac:dyDescent="0.35">
      <c r="A438" t="s">
        <v>23</v>
      </c>
      <c r="B438" t="s">
        <v>1025</v>
      </c>
      <c r="C438" t="s">
        <v>36</v>
      </c>
      <c r="D438" t="s">
        <v>44</v>
      </c>
      <c r="E438" t="s">
        <v>45</v>
      </c>
      <c r="F438" t="s">
        <v>28</v>
      </c>
      <c r="G438">
        <v>30</v>
      </c>
      <c r="H438" t="s">
        <v>1026</v>
      </c>
      <c r="I438" t="s">
        <v>30</v>
      </c>
      <c r="J438" t="s">
        <v>70</v>
      </c>
      <c r="K438" t="s">
        <v>48</v>
      </c>
      <c r="L438" t="s">
        <v>49</v>
      </c>
      <c r="N438" s="2">
        <v>45211.71738425926</v>
      </c>
      <c r="O438" s="2">
        <v>45779.166666666664</v>
      </c>
      <c r="P438" s="2">
        <v>45779.166666666664</v>
      </c>
      <c r="Q438" s="2">
        <v>45779</v>
      </c>
      <c r="R438" s="2">
        <v>45779.610633715274</v>
      </c>
      <c r="S438" t="s">
        <v>1027</v>
      </c>
      <c r="T438" s="2">
        <v>45222.166666666664</v>
      </c>
      <c r="U438" s="2">
        <v>45446.166666666664</v>
      </c>
      <c r="V438" s="2">
        <v>45762.166666666664</v>
      </c>
      <c r="W438" s="2">
        <v>45764.166666666664</v>
      </c>
      <c r="X438" s="3">
        <f t="shared" si="60"/>
        <v>224</v>
      </c>
      <c r="Y438">
        <f t="shared" si="61"/>
        <v>2</v>
      </c>
      <c r="Z438">
        <f t="shared" si="62"/>
        <v>226</v>
      </c>
      <c r="AA438">
        <f t="shared" si="63"/>
        <v>567.28261574073986</v>
      </c>
      <c r="AB438">
        <f t="shared" si="64"/>
        <v>341.28261574073986</v>
      </c>
      <c r="AC438">
        <f>IFERROR(_xlfn.XLOOKUP(B438, HoldSummary!$A:$A, HoldSummary!B:B), 0)</f>
        <v>0</v>
      </c>
      <c r="AD438">
        <f>IFERROR(_xlfn.XLOOKUP(B438, HoldSummary!$A:$A, HoldSummary!C:C), 0)</f>
        <v>0</v>
      </c>
      <c r="AE438">
        <f>IFERROR(_xlfn.XLOOKUP(B438, HoldSummary!$A:$A, HoldSummary!D:D), 0)</f>
        <v>0</v>
      </c>
      <c r="AF438">
        <f>IFERROR(_xlfn.XLOOKUP(B438, HoldSummary!$A:$A, HoldSummary!E:E), 0)</f>
        <v>0</v>
      </c>
      <c r="AG438">
        <f>IFERROR(_xlfn.XLOOKUP(B438, HoldSummary!$A:$A, HoldSummary!F:F), 0)</f>
        <v>0</v>
      </c>
      <c r="AH438">
        <f>IFERROR(_xlfn.XLOOKUP(B438, HoldSummary!$A:$A, HoldSummary!G:G), 0)</f>
        <v>174.51256434027891</v>
      </c>
      <c r="AI438">
        <f>IFERROR(_xlfn.XLOOKUP(B438, HoldSummary!$A:$A, HoldSummary!H:H), 0)</f>
        <v>0</v>
      </c>
      <c r="AJ438">
        <f>IFERROR(_xlfn.XLOOKUP(B438, HoldSummary!$A:$A, HoldSummary!I:I), 0)</f>
        <v>0</v>
      </c>
      <c r="AK438">
        <f t="shared" si="65"/>
        <v>174.51256434027891</v>
      </c>
      <c r="AL438">
        <f t="shared" si="66"/>
        <v>392.77005140046094</v>
      </c>
      <c r="AM438">
        <f t="shared" si="67"/>
        <v>166.77005140046094</v>
      </c>
      <c r="AN438" s="12">
        <f t="shared" si="68"/>
        <v>-0.16666666666424135</v>
      </c>
      <c r="AO438">
        <f t="shared" si="69"/>
        <v>1</v>
      </c>
    </row>
    <row r="439" spans="1:41" x14ac:dyDescent="0.35">
      <c r="A439" t="s">
        <v>23</v>
      </c>
      <c r="B439" t="s">
        <v>1028</v>
      </c>
      <c r="C439" t="s">
        <v>36</v>
      </c>
      <c r="D439" t="s">
        <v>44</v>
      </c>
      <c r="E439" t="s">
        <v>45</v>
      </c>
      <c r="F439" t="s">
        <v>28</v>
      </c>
      <c r="G439">
        <v>30</v>
      </c>
      <c r="H439" t="s">
        <v>1029</v>
      </c>
      <c r="I439" t="s">
        <v>30</v>
      </c>
      <c r="J439" t="s">
        <v>31</v>
      </c>
      <c r="K439" t="s">
        <v>48</v>
      </c>
      <c r="L439" t="s">
        <v>39</v>
      </c>
      <c r="M439" t="s">
        <v>33</v>
      </c>
      <c r="N439" s="2">
        <v>45770.747939814813</v>
      </c>
      <c r="O439" s="2">
        <v>45791.166666666664</v>
      </c>
      <c r="P439" s="2">
        <v>45791.166666666664</v>
      </c>
      <c r="Q439" s="2">
        <v>45790</v>
      </c>
      <c r="R439" s="2">
        <v>45791.540537511573</v>
      </c>
      <c r="S439" t="s">
        <v>104</v>
      </c>
      <c r="T439" s="2"/>
      <c r="U439" s="2"/>
      <c r="V439" s="2"/>
      <c r="W439" s="2"/>
      <c r="X439" s="3" t="str">
        <f t="shared" si="60"/>
        <v/>
      </c>
      <c r="Y439" t="str">
        <f t="shared" si="61"/>
        <v/>
      </c>
      <c r="Z439">
        <f t="shared" si="62"/>
        <v>0</v>
      </c>
      <c r="AA439">
        <f t="shared" si="63"/>
        <v>19.252060185186565</v>
      </c>
      <c r="AB439">
        <f t="shared" si="64"/>
        <v>19.252060185186565</v>
      </c>
      <c r="AC439">
        <f>IFERROR(_xlfn.XLOOKUP(B439, HoldSummary!$A:$A, HoldSummary!B:B), 0)</f>
        <v>0</v>
      </c>
      <c r="AD439">
        <f>IFERROR(_xlfn.XLOOKUP(B439, HoldSummary!$A:$A, HoldSummary!C:C), 0)</f>
        <v>0</v>
      </c>
      <c r="AE439">
        <f>IFERROR(_xlfn.XLOOKUP(B439, HoldSummary!$A:$A, HoldSummary!D:D), 0)</f>
        <v>0</v>
      </c>
      <c r="AF439">
        <f>IFERROR(_xlfn.XLOOKUP(B439, HoldSummary!$A:$A, HoldSummary!E:E), 0)</f>
        <v>0</v>
      </c>
      <c r="AG439">
        <f>IFERROR(_xlfn.XLOOKUP(B439, HoldSummary!$A:$A, HoldSummary!F:F), 0)</f>
        <v>0</v>
      </c>
      <c r="AH439">
        <f>IFERROR(_xlfn.XLOOKUP(B439, HoldSummary!$A:$A, HoldSummary!G:G), 0)</f>
        <v>0</v>
      </c>
      <c r="AI439">
        <f>IFERROR(_xlfn.XLOOKUP(B439, HoldSummary!$A:$A, HoldSummary!H:H), 0)</f>
        <v>0</v>
      </c>
      <c r="AJ439">
        <f>IFERROR(_xlfn.XLOOKUP(B439, HoldSummary!$A:$A, HoldSummary!I:I), 0)</f>
        <v>0</v>
      </c>
      <c r="AK439">
        <f t="shared" si="65"/>
        <v>0</v>
      </c>
      <c r="AL439">
        <f t="shared" si="66"/>
        <v>19.252060185186565</v>
      </c>
      <c r="AM439">
        <f t="shared" si="67"/>
        <v>19.252060185186565</v>
      </c>
      <c r="AN439" s="12">
        <f t="shared" si="68"/>
        <v>-1.1666666666642413</v>
      </c>
      <c r="AO439">
        <f t="shared" si="69"/>
        <v>1</v>
      </c>
    </row>
    <row r="440" spans="1:41" x14ac:dyDescent="0.35">
      <c r="A440" t="s">
        <v>23</v>
      </c>
      <c r="B440" t="s">
        <v>1030</v>
      </c>
      <c r="C440" t="s">
        <v>36</v>
      </c>
      <c r="D440" t="s">
        <v>44</v>
      </c>
      <c r="E440" t="s">
        <v>45</v>
      </c>
      <c r="F440" t="s">
        <v>28</v>
      </c>
      <c r="G440">
        <v>30</v>
      </c>
      <c r="H440" t="s">
        <v>1031</v>
      </c>
      <c r="I440" t="s">
        <v>30</v>
      </c>
      <c r="J440" t="s">
        <v>31</v>
      </c>
      <c r="K440" t="s">
        <v>48</v>
      </c>
      <c r="L440" t="s">
        <v>827</v>
      </c>
      <c r="M440" t="s">
        <v>33</v>
      </c>
      <c r="N440" s="2">
        <v>45804.546446759261</v>
      </c>
      <c r="O440" s="2">
        <v>45835.166666666664</v>
      </c>
      <c r="P440" s="2">
        <v>45828.166666666664</v>
      </c>
      <c r="Q440" s="2">
        <v>45828</v>
      </c>
      <c r="R440" s="2">
        <v>45831.587245995368</v>
      </c>
      <c r="S440" t="s">
        <v>1032</v>
      </c>
      <c r="T440" s="2"/>
      <c r="U440" s="2"/>
      <c r="V440" s="2"/>
      <c r="W440" s="2"/>
      <c r="X440" s="3" t="str">
        <f t="shared" si="60"/>
        <v/>
      </c>
      <c r="Y440" t="str">
        <f t="shared" si="61"/>
        <v/>
      </c>
      <c r="Z440">
        <f t="shared" si="62"/>
        <v>0</v>
      </c>
      <c r="AA440">
        <f t="shared" si="63"/>
        <v>23.453553240738984</v>
      </c>
      <c r="AB440">
        <f t="shared" si="64"/>
        <v>23.453553240738984</v>
      </c>
      <c r="AC440">
        <f>IFERROR(_xlfn.XLOOKUP(B440, HoldSummary!$A:$A, HoldSummary!B:B), 0)</f>
        <v>0</v>
      </c>
      <c r="AD440">
        <f>IFERROR(_xlfn.XLOOKUP(B440, HoldSummary!$A:$A, HoldSummary!C:C), 0)</f>
        <v>0</v>
      </c>
      <c r="AE440">
        <f>IFERROR(_xlfn.XLOOKUP(B440, HoldSummary!$A:$A, HoldSummary!D:D), 0)</f>
        <v>0</v>
      </c>
      <c r="AF440">
        <f>IFERROR(_xlfn.XLOOKUP(B440, HoldSummary!$A:$A, HoldSummary!E:E), 0)</f>
        <v>0</v>
      </c>
      <c r="AG440">
        <f>IFERROR(_xlfn.XLOOKUP(B440, HoldSummary!$A:$A, HoldSummary!F:F), 0)</f>
        <v>0</v>
      </c>
      <c r="AH440">
        <f>IFERROR(_xlfn.XLOOKUP(B440, HoldSummary!$A:$A, HoldSummary!G:G), 0)</f>
        <v>0</v>
      </c>
      <c r="AI440">
        <f>IFERROR(_xlfn.XLOOKUP(B440, HoldSummary!$A:$A, HoldSummary!H:H), 0)</f>
        <v>0</v>
      </c>
      <c r="AJ440">
        <f>IFERROR(_xlfn.XLOOKUP(B440, HoldSummary!$A:$A, HoldSummary!I:I), 0)</f>
        <v>0</v>
      </c>
      <c r="AK440">
        <f t="shared" si="65"/>
        <v>0</v>
      </c>
      <c r="AL440">
        <f t="shared" si="66"/>
        <v>23.453553240738984</v>
      </c>
      <c r="AM440">
        <f t="shared" si="67"/>
        <v>23.453553240738984</v>
      </c>
      <c r="AN440" s="12">
        <f t="shared" si="68"/>
        <v>-7.1666666666642413</v>
      </c>
      <c r="AO440">
        <f t="shared" si="69"/>
        <v>1</v>
      </c>
    </row>
    <row r="441" spans="1:41" x14ac:dyDescent="0.35">
      <c r="A441" t="s">
        <v>23</v>
      </c>
      <c r="B441" t="s">
        <v>2231</v>
      </c>
      <c r="C441" t="s">
        <v>36</v>
      </c>
      <c r="D441" t="s">
        <v>44</v>
      </c>
      <c r="E441" t="s">
        <v>45</v>
      </c>
      <c r="F441" t="s">
        <v>28</v>
      </c>
      <c r="G441">
        <v>30</v>
      </c>
      <c r="H441" t="s">
        <v>2232</v>
      </c>
      <c r="I441" t="s">
        <v>30</v>
      </c>
      <c r="J441" t="s">
        <v>31</v>
      </c>
      <c r="K441" t="s">
        <v>48</v>
      </c>
      <c r="L441" t="s">
        <v>827</v>
      </c>
      <c r="M441" t="s">
        <v>33</v>
      </c>
      <c r="N441" s="2">
        <v>45838.682638888888</v>
      </c>
      <c r="O441" s="2">
        <v>45847.166666666664</v>
      </c>
      <c r="P441" s="2">
        <v>45847.166666666664</v>
      </c>
      <c r="Q441" s="2">
        <v>45862</v>
      </c>
      <c r="R441" s="2">
        <v>45862.718032118057</v>
      </c>
      <c r="S441" t="s">
        <v>2282</v>
      </c>
      <c r="T441" s="2"/>
      <c r="U441" s="2"/>
      <c r="V441" s="2"/>
      <c r="W441" s="2"/>
      <c r="X441" s="3" t="str">
        <f t="shared" si="60"/>
        <v/>
      </c>
      <c r="Y441" t="str">
        <f t="shared" si="61"/>
        <v/>
      </c>
      <c r="Z441">
        <f t="shared" si="62"/>
        <v>0</v>
      </c>
      <c r="AA441">
        <f t="shared" si="63"/>
        <v>23.317361111112405</v>
      </c>
      <c r="AB441">
        <f t="shared" si="64"/>
        <v>23.317361111112405</v>
      </c>
      <c r="AC441">
        <f>IFERROR(_xlfn.XLOOKUP(B441, HoldSummary!$A:$A, HoldSummary!B:B), 0)</f>
        <v>0</v>
      </c>
      <c r="AD441">
        <f>IFERROR(_xlfn.XLOOKUP(B441, HoldSummary!$A:$A, HoldSummary!C:C), 0)</f>
        <v>0</v>
      </c>
      <c r="AE441">
        <f>IFERROR(_xlfn.XLOOKUP(B441, HoldSummary!$A:$A, HoldSummary!D:D), 0)</f>
        <v>0</v>
      </c>
      <c r="AF441">
        <f>IFERROR(_xlfn.XLOOKUP(B441, HoldSummary!$A:$A, HoldSummary!E:E), 0)</f>
        <v>0</v>
      </c>
      <c r="AG441">
        <f>IFERROR(_xlfn.XLOOKUP(B441, HoldSummary!$A:$A, HoldSummary!F:F), 0)</f>
        <v>0</v>
      </c>
      <c r="AH441">
        <f>IFERROR(_xlfn.XLOOKUP(B441, HoldSummary!$A:$A, HoldSummary!G:G), 0)</f>
        <v>0</v>
      </c>
      <c r="AI441">
        <f>IFERROR(_xlfn.XLOOKUP(B441, HoldSummary!$A:$A, HoldSummary!H:H), 0)</f>
        <v>0</v>
      </c>
      <c r="AJ441">
        <f>IFERROR(_xlfn.XLOOKUP(B441, HoldSummary!$A:$A, HoldSummary!I:I), 0)</f>
        <v>0</v>
      </c>
      <c r="AK441">
        <f t="shared" si="65"/>
        <v>0</v>
      </c>
      <c r="AL441">
        <f t="shared" si="66"/>
        <v>23.317361111112405</v>
      </c>
      <c r="AM441">
        <f t="shared" si="67"/>
        <v>23.317361111112405</v>
      </c>
      <c r="AN441" s="12">
        <f t="shared" si="68"/>
        <v>14.833333333335759</v>
      </c>
      <c r="AO441">
        <f t="shared" si="69"/>
        <v>0</v>
      </c>
    </row>
    <row r="442" spans="1:41" x14ac:dyDescent="0.35">
      <c r="A442" t="s">
        <v>23</v>
      </c>
      <c r="B442" t="s">
        <v>1033</v>
      </c>
      <c r="C442" t="s">
        <v>36</v>
      </c>
      <c r="D442" t="s">
        <v>44</v>
      </c>
      <c r="E442" t="s">
        <v>45</v>
      </c>
      <c r="F442" t="s">
        <v>28</v>
      </c>
      <c r="G442">
        <v>31</v>
      </c>
      <c r="H442" t="s">
        <v>1034</v>
      </c>
      <c r="I442" t="s">
        <v>30</v>
      </c>
      <c r="J442" t="s">
        <v>300</v>
      </c>
      <c r="K442" t="s">
        <v>48</v>
      </c>
      <c r="L442" t="s">
        <v>49</v>
      </c>
      <c r="N442" s="2">
        <v>45635.595104166663</v>
      </c>
      <c r="O442" s="2">
        <v>45687.208333333336</v>
      </c>
      <c r="P442" s="2">
        <v>45700.208333333336</v>
      </c>
      <c r="Q442" s="2">
        <v>45709</v>
      </c>
      <c r="R442" s="2">
        <v>45709.743491944442</v>
      </c>
      <c r="T442" s="2">
        <v>45636.208333333336</v>
      </c>
      <c r="U442" s="2">
        <v>45644.208333333336</v>
      </c>
      <c r="V442" s="2">
        <v>45644.208333333336</v>
      </c>
      <c r="W442" s="2">
        <v>45644.208333333336</v>
      </c>
      <c r="X442" s="3">
        <f t="shared" si="60"/>
        <v>8</v>
      </c>
      <c r="Y442">
        <f t="shared" si="61"/>
        <v>0</v>
      </c>
      <c r="Z442">
        <f t="shared" si="62"/>
        <v>8</v>
      </c>
      <c r="AA442">
        <f t="shared" si="63"/>
        <v>73.404895833336923</v>
      </c>
      <c r="AB442">
        <f t="shared" si="64"/>
        <v>65.404895833336923</v>
      </c>
      <c r="AC442">
        <f>IFERROR(_xlfn.XLOOKUP(B442, HoldSummary!$A:$A, HoldSummary!B:B), 0)</f>
        <v>0</v>
      </c>
      <c r="AD442">
        <f>IFERROR(_xlfn.XLOOKUP(B442, HoldSummary!$A:$A, HoldSummary!C:C), 0)</f>
        <v>0</v>
      </c>
      <c r="AE442">
        <f>IFERROR(_xlfn.XLOOKUP(B442, HoldSummary!$A:$A, HoldSummary!D:D), 0)</f>
        <v>0</v>
      </c>
      <c r="AF442">
        <f>IFERROR(_xlfn.XLOOKUP(B442, HoldSummary!$A:$A, HoldSummary!E:E), 0)</f>
        <v>0</v>
      </c>
      <c r="AG442">
        <f>IFERROR(_xlfn.XLOOKUP(B442, HoldSummary!$A:$A, HoldSummary!F:F), 0)</f>
        <v>0</v>
      </c>
      <c r="AH442">
        <f>IFERROR(_xlfn.XLOOKUP(B442, HoldSummary!$A:$A, HoldSummary!G:G), 0)</f>
        <v>0</v>
      </c>
      <c r="AI442">
        <f>IFERROR(_xlfn.XLOOKUP(B442, HoldSummary!$A:$A, HoldSummary!H:H), 0)</f>
        <v>6.0158615162072238</v>
      </c>
      <c r="AJ442">
        <f>IFERROR(_xlfn.XLOOKUP(B442, HoldSummary!$A:$A, HoldSummary!I:I), 0)</f>
        <v>21.772723564812622</v>
      </c>
      <c r="AK442">
        <f t="shared" si="65"/>
        <v>27.788585081019846</v>
      </c>
      <c r="AL442">
        <f t="shared" si="66"/>
        <v>45.616310752317077</v>
      </c>
      <c r="AM442">
        <f t="shared" si="67"/>
        <v>37.616310752317077</v>
      </c>
      <c r="AN442" s="12">
        <f t="shared" si="68"/>
        <v>21.791666666664241</v>
      </c>
      <c r="AO442">
        <f t="shared" si="69"/>
        <v>0</v>
      </c>
    </row>
    <row r="443" spans="1:41" x14ac:dyDescent="0.35">
      <c r="A443" t="s">
        <v>23</v>
      </c>
      <c r="B443" t="s">
        <v>1035</v>
      </c>
      <c r="C443" t="s">
        <v>130</v>
      </c>
      <c r="D443" t="s">
        <v>44</v>
      </c>
      <c r="E443" t="s">
        <v>45</v>
      </c>
      <c r="F443" t="s">
        <v>28</v>
      </c>
      <c r="G443">
        <v>31</v>
      </c>
      <c r="H443" t="s">
        <v>1036</v>
      </c>
      <c r="I443" t="s">
        <v>30</v>
      </c>
      <c r="J443" t="s">
        <v>31</v>
      </c>
      <c r="K443" t="s">
        <v>48</v>
      </c>
      <c r="L443" t="s">
        <v>192</v>
      </c>
      <c r="M443" t="s">
        <v>81</v>
      </c>
      <c r="N443" s="2">
        <v>45629.708923611113</v>
      </c>
      <c r="O443" s="2">
        <v>45812.166666666664</v>
      </c>
      <c r="P443" s="2">
        <v>45807.166666666664</v>
      </c>
      <c r="Q443" s="2">
        <v>45790</v>
      </c>
      <c r="R443" s="2">
        <v>45791.558683136573</v>
      </c>
      <c r="S443" t="s">
        <v>1037</v>
      </c>
      <c r="T443" s="2">
        <v>45754.166666666664</v>
      </c>
      <c r="U443" s="2">
        <v>45754.166666666664</v>
      </c>
      <c r="V443" s="2">
        <v>45755.166666666664</v>
      </c>
      <c r="W443" s="2">
        <v>45777.166666666664</v>
      </c>
      <c r="X443" s="3">
        <f t="shared" si="60"/>
        <v>0</v>
      </c>
      <c r="Y443">
        <f t="shared" si="61"/>
        <v>22</v>
      </c>
      <c r="Z443">
        <f t="shared" si="62"/>
        <v>22</v>
      </c>
      <c r="AA443">
        <f t="shared" si="63"/>
        <v>160.29107638888672</v>
      </c>
      <c r="AB443">
        <f t="shared" si="64"/>
        <v>138.29107638888672</v>
      </c>
      <c r="AC443">
        <f>IFERROR(_xlfn.XLOOKUP(B443, HoldSummary!$A:$A, HoldSummary!B:B), 0)</f>
        <v>42.037375694439106</v>
      </c>
      <c r="AD443">
        <f>IFERROR(_xlfn.XLOOKUP(B443, HoldSummary!$A:$A, HoldSummary!C:C), 0)</f>
        <v>0</v>
      </c>
      <c r="AE443">
        <f>IFERROR(_xlfn.XLOOKUP(B443, HoldSummary!$A:$A, HoldSummary!D:D), 0)</f>
        <v>0</v>
      </c>
      <c r="AF443">
        <f>IFERROR(_xlfn.XLOOKUP(B443, HoldSummary!$A:$A, HoldSummary!E:E), 0)</f>
        <v>0</v>
      </c>
      <c r="AG443">
        <f>IFERROR(_xlfn.XLOOKUP(B443, HoldSummary!$A:$A, HoldSummary!F:F), 0)</f>
        <v>0</v>
      </c>
      <c r="AH443">
        <f>IFERROR(_xlfn.XLOOKUP(B443, HoldSummary!$A:$A, HoldSummary!G:G), 0)</f>
        <v>6.2307712615729542</v>
      </c>
      <c r="AI443">
        <f>IFERROR(_xlfn.XLOOKUP(B443, HoldSummary!$A:$A, HoldSummary!H:H), 0)</f>
        <v>0</v>
      </c>
      <c r="AJ443">
        <f>IFERROR(_xlfn.XLOOKUP(B443, HoldSummary!$A:$A, HoldSummary!I:I), 0)</f>
        <v>0</v>
      </c>
      <c r="AK443">
        <f t="shared" si="65"/>
        <v>48.26814695601206</v>
      </c>
      <c r="AL443">
        <f t="shared" si="66"/>
        <v>112.02292943287466</v>
      </c>
      <c r="AM443">
        <f t="shared" si="67"/>
        <v>90.022929432874662</v>
      </c>
      <c r="AN443" s="12">
        <f t="shared" si="68"/>
        <v>-22.166666666664241</v>
      </c>
      <c r="AO443">
        <f t="shared" si="69"/>
        <v>1</v>
      </c>
    </row>
    <row r="444" spans="1:41" x14ac:dyDescent="0.35">
      <c r="A444" t="s">
        <v>23</v>
      </c>
      <c r="B444" t="s">
        <v>1038</v>
      </c>
      <c r="C444" t="s">
        <v>36</v>
      </c>
      <c r="D444" t="s">
        <v>44</v>
      </c>
      <c r="E444" t="s">
        <v>45</v>
      </c>
      <c r="F444" t="s">
        <v>28</v>
      </c>
      <c r="G444">
        <v>32</v>
      </c>
      <c r="H444" t="s">
        <v>1039</v>
      </c>
      <c r="I444" t="s">
        <v>30</v>
      </c>
      <c r="J444" t="s">
        <v>70</v>
      </c>
      <c r="K444" t="s">
        <v>48</v>
      </c>
      <c r="L444" t="s">
        <v>49</v>
      </c>
      <c r="M444" t="s">
        <v>33</v>
      </c>
      <c r="N444" s="2">
        <v>45596.752800925926</v>
      </c>
      <c r="O444" s="2">
        <v>45734.166666666664</v>
      </c>
      <c r="P444" s="2">
        <v>45768.166666666664</v>
      </c>
      <c r="Q444" s="2">
        <v>45775</v>
      </c>
      <c r="R444" s="2">
        <v>45776.544451875001</v>
      </c>
      <c r="S444" t="s">
        <v>93</v>
      </c>
      <c r="T444" s="2"/>
      <c r="U444" s="2"/>
      <c r="V444" s="2"/>
      <c r="W444" s="2"/>
      <c r="X444" s="3" t="str">
        <f t="shared" si="60"/>
        <v/>
      </c>
      <c r="Y444" t="str">
        <f t="shared" si="61"/>
        <v/>
      </c>
      <c r="Z444">
        <f t="shared" si="62"/>
        <v>0</v>
      </c>
      <c r="AA444">
        <f t="shared" si="63"/>
        <v>178.24719907407416</v>
      </c>
      <c r="AB444">
        <f t="shared" si="64"/>
        <v>178.24719907407416</v>
      </c>
      <c r="AC444">
        <f>IFERROR(_xlfn.XLOOKUP(B444, HoldSummary!$A:$A, HoldSummary!B:B), 0)</f>
        <v>0</v>
      </c>
      <c r="AD444">
        <f>IFERROR(_xlfn.XLOOKUP(B444, HoldSummary!$A:$A, HoldSummary!C:C), 0)</f>
        <v>0</v>
      </c>
      <c r="AE444">
        <f>IFERROR(_xlfn.XLOOKUP(B444, HoldSummary!$A:$A, HoldSummary!D:D), 0)</f>
        <v>0</v>
      </c>
      <c r="AF444">
        <f>IFERROR(_xlfn.XLOOKUP(B444, HoldSummary!$A:$A, HoldSummary!E:E), 0)</f>
        <v>0</v>
      </c>
      <c r="AG444">
        <f>IFERROR(_xlfn.XLOOKUP(B444, HoldSummary!$A:$A, HoldSummary!F:F), 0)</f>
        <v>0</v>
      </c>
      <c r="AH444">
        <f>IFERROR(_xlfn.XLOOKUP(B444, HoldSummary!$A:$A, HoldSummary!G:G), 0)</f>
        <v>0</v>
      </c>
      <c r="AI444">
        <f>IFERROR(_xlfn.XLOOKUP(B444, HoldSummary!$A:$A, HoldSummary!H:H), 0)</f>
        <v>0</v>
      </c>
      <c r="AJ444">
        <f>IFERROR(_xlfn.XLOOKUP(B444, HoldSummary!$A:$A, HoldSummary!I:I), 0)</f>
        <v>0</v>
      </c>
      <c r="AK444">
        <f t="shared" si="65"/>
        <v>0</v>
      </c>
      <c r="AL444">
        <f t="shared" si="66"/>
        <v>178.24719907407416</v>
      </c>
      <c r="AM444">
        <f t="shared" si="67"/>
        <v>178.24719907407416</v>
      </c>
      <c r="AN444" s="12">
        <f t="shared" si="68"/>
        <v>40.833333333335759</v>
      </c>
      <c r="AO444">
        <f t="shared" si="69"/>
        <v>0</v>
      </c>
    </row>
    <row r="445" spans="1:41" x14ac:dyDescent="0.35">
      <c r="A445" t="s">
        <v>23</v>
      </c>
      <c r="B445" t="s">
        <v>2189</v>
      </c>
      <c r="C445" t="s">
        <v>36</v>
      </c>
      <c r="D445" t="s">
        <v>44</v>
      </c>
      <c r="E445" t="s">
        <v>45</v>
      </c>
      <c r="F445" t="s">
        <v>28</v>
      </c>
      <c r="G445">
        <v>37</v>
      </c>
      <c r="H445" t="s">
        <v>2190</v>
      </c>
      <c r="I445" t="s">
        <v>30</v>
      </c>
      <c r="J445" t="s">
        <v>70</v>
      </c>
      <c r="K445" t="s">
        <v>48</v>
      </c>
      <c r="L445" t="s">
        <v>49</v>
      </c>
      <c r="M445" t="s">
        <v>33</v>
      </c>
      <c r="N445" s="2">
        <v>45750.763854166667</v>
      </c>
      <c r="O445" s="2">
        <v>45813.166666666664</v>
      </c>
      <c r="P445" s="2">
        <v>45875.166666666664</v>
      </c>
      <c r="Q445" s="2">
        <v>45867</v>
      </c>
      <c r="R445" s="2">
        <v>45868.540464097219</v>
      </c>
      <c r="S445" t="s">
        <v>84</v>
      </c>
      <c r="T445" s="2">
        <v>45866.166666666664</v>
      </c>
      <c r="U445" s="2">
        <v>45866.166666666664</v>
      </c>
      <c r="V445" s="2">
        <v>45866.166666666664</v>
      </c>
      <c r="W445" s="2">
        <v>45867.166666666664</v>
      </c>
      <c r="X445" s="3">
        <f t="shared" si="60"/>
        <v>0</v>
      </c>
      <c r="Y445">
        <f t="shared" si="61"/>
        <v>1</v>
      </c>
      <c r="Z445">
        <f t="shared" si="62"/>
        <v>1</v>
      </c>
      <c r="AA445">
        <f t="shared" si="63"/>
        <v>116.23614583333256</v>
      </c>
      <c r="AB445">
        <f t="shared" si="64"/>
        <v>115.23614583333256</v>
      </c>
      <c r="AC445">
        <f>IFERROR(_xlfn.XLOOKUP(B445, HoldSummary!$A:$A, HoldSummary!B:B), 0)</f>
        <v>0</v>
      </c>
      <c r="AD445">
        <f>IFERROR(_xlfn.XLOOKUP(B445, HoldSummary!$A:$A, HoldSummary!C:C), 0)</f>
        <v>0</v>
      </c>
      <c r="AE445">
        <f>IFERROR(_xlfn.XLOOKUP(B445, HoldSummary!$A:$A, HoldSummary!D:D), 0)</f>
        <v>0</v>
      </c>
      <c r="AF445">
        <f>IFERROR(_xlfn.XLOOKUP(B445, HoldSummary!$A:$A, HoldSummary!E:E), 0)</f>
        <v>0</v>
      </c>
      <c r="AG445">
        <f>IFERROR(_xlfn.XLOOKUP(B445, HoldSummary!$A:$A, HoldSummary!F:F), 0)</f>
        <v>0</v>
      </c>
      <c r="AH445">
        <f>IFERROR(_xlfn.XLOOKUP(B445, HoldSummary!$A:$A, HoldSummary!G:G), 0)</f>
        <v>0</v>
      </c>
      <c r="AI445">
        <f>IFERROR(_xlfn.XLOOKUP(B445, HoldSummary!$A:$A, HoldSummary!H:H), 0)</f>
        <v>0</v>
      </c>
      <c r="AJ445">
        <f>IFERROR(_xlfn.XLOOKUP(B445, HoldSummary!$A:$A, HoldSummary!I:I), 0)</f>
        <v>0</v>
      </c>
      <c r="AK445">
        <f t="shared" si="65"/>
        <v>0</v>
      </c>
      <c r="AL445">
        <f t="shared" si="66"/>
        <v>116.23614583333256</v>
      </c>
      <c r="AM445">
        <f t="shared" si="67"/>
        <v>115.23614583333256</v>
      </c>
      <c r="AN445" s="12">
        <f t="shared" si="68"/>
        <v>53.833333333335759</v>
      </c>
      <c r="AO445">
        <f t="shared" si="69"/>
        <v>0</v>
      </c>
    </row>
    <row r="446" spans="1:41" x14ac:dyDescent="0.35">
      <c r="A446" t="s">
        <v>23</v>
      </c>
      <c r="B446" t="s">
        <v>1040</v>
      </c>
      <c r="C446" t="s">
        <v>36</v>
      </c>
      <c r="D446" t="s">
        <v>44</v>
      </c>
      <c r="E446" t="s">
        <v>45</v>
      </c>
      <c r="F446" t="s">
        <v>28</v>
      </c>
      <c r="G446">
        <v>37</v>
      </c>
      <c r="H446" t="s">
        <v>1041</v>
      </c>
      <c r="I446" t="s">
        <v>30</v>
      </c>
      <c r="J446" t="s">
        <v>31</v>
      </c>
      <c r="K446" t="s">
        <v>48</v>
      </c>
      <c r="L446" t="s">
        <v>827</v>
      </c>
      <c r="M446" t="s">
        <v>33</v>
      </c>
      <c r="N446" s="2">
        <v>45821.732997685183</v>
      </c>
      <c r="O446" s="2">
        <v>45842.166666666664</v>
      </c>
      <c r="P446" s="2">
        <v>45842.166666666664</v>
      </c>
      <c r="Q446" s="2">
        <v>45835</v>
      </c>
      <c r="R446" s="2">
        <v>45838.612344456022</v>
      </c>
      <c r="S446" t="s">
        <v>1042</v>
      </c>
      <c r="T446" s="2"/>
      <c r="U446" s="2"/>
      <c r="V446" s="2"/>
      <c r="W446" s="2"/>
      <c r="X446" s="3" t="str">
        <f t="shared" si="60"/>
        <v/>
      </c>
      <c r="Y446" t="str">
        <f t="shared" si="61"/>
        <v/>
      </c>
      <c r="Z446">
        <f t="shared" si="62"/>
        <v>0</v>
      </c>
      <c r="AA446">
        <f t="shared" si="63"/>
        <v>13.267002314816636</v>
      </c>
      <c r="AB446">
        <f t="shared" si="64"/>
        <v>13.267002314816636</v>
      </c>
      <c r="AC446">
        <f>IFERROR(_xlfn.XLOOKUP(B446, HoldSummary!$A:$A, HoldSummary!B:B), 0)</f>
        <v>0</v>
      </c>
      <c r="AD446">
        <f>IFERROR(_xlfn.XLOOKUP(B446, HoldSummary!$A:$A, HoldSummary!C:C), 0)</f>
        <v>0</v>
      </c>
      <c r="AE446">
        <f>IFERROR(_xlfn.XLOOKUP(B446, HoldSummary!$A:$A, HoldSummary!D:D), 0)</f>
        <v>0</v>
      </c>
      <c r="AF446">
        <f>IFERROR(_xlfn.XLOOKUP(B446, HoldSummary!$A:$A, HoldSummary!E:E), 0)</f>
        <v>0</v>
      </c>
      <c r="AG446">
        <f>IFERROR(_xlfn.XLOOKUP(B446, HoldSummary!$A:$A, HoldSummary!F:F), 0)</f>
        <v>0</v>
      </c>
      <c r="AH446">
        <f>IFERROR(_xlfn.XLOOKUP(B446, HoldSummary!$A:$A, HoldSummary!G:G), 0)</f>
        <v>0</v>
      </c>
      <c r="AI446">
        <f>IFERROR(_xlfn.XLOOKUP(B446, HoldSummary!$A:$A, HoldSummary!H:H), 0)</f>
        <v>0</v>
      </c>
      <c r="AJ446">
        <f>IFERROR(_xlfn.XLOOKUP(B446, HoldSummary!$A:$A, HoldSummary!I:I), 0)</f>
        <v>0</v>
      </c>
      <c r="AK446">
        <f t="shared" si="65"/>
        <v>0</v>
      </c>
      <c r="AL446">
        <f t="shared" si="66"/>
        <v>13.267002314816636</v>
      </c>
      <c r="AM446">
        <f t="shared" si="67"/>
        <v>13.267002314816636</v>
      </c>
      <c r="AN446" s="12">
        <f t="shared" si="68"/>
        <v>-7.1666666666642413</v>
      </c>
      <c r="AO446">
        <f t="shared" si="69"/>
        <v>1</v>
      </c>
    </row>
    <row r="447" spans="1:41" x14ac:dyDescent="0.35">
      <c r="A447" t="s">
        <v>23</v>
      </c>
      <c r="B447" t="s">
        <v>2216</v>
      </c>
      <c r="C447" t="s">
        <v>36</v>
      </c>
      <c r="D447" t="s">
        <v>44</v>
      </c>
      <c r="E447" t="s">
        <v>45</v>
      </c>
      <c r="F447" t="s">
        <v>28</v>
      </c>
      <c r="G447">
        <v>38</v>
      </c>
      <c r="H447" t="s">
        <v>2217</v>
      </c>
      <c r="I447" t="s">
        <v>30</v>
      </c>
      <c r="J447" t="s">
        <v>31</v>
      </c>
      <c r="K447" t="s">
        <v>48</v>
      </c>
      <c r="L447" t="s">
        <v>695</v>
      </c>
      <c r="M447" t="s">
        <v>33</v>
      </c>
      <c r="N447" s="2">
        <v>45799.573460648149</v>
      </c>
      <c r="O447" s="2">
        <v>45854.166666666664</v>
      </c>
      <c r="P447" s="2">
        <v>45854.166666666664</v>
      </c>
      <c r="Q447" s="2">
        <v>45862</v>
      </c>
      <c r="R447" s="2">
        <v>45862.479715706017</v>
      </c>
      <c r="S447" t="s">
        <v>2282</v>
      </c>
      <c r="T447" s="2">
        <v>45835.166666666664</v>
      </c>
      <c r="U447" s="2">
        <v>45835.166666666664</v>
      </c>
      <c r="V447" s="2">
        <v>45835.166666666664</v>
      </c>
      <c r="W447" s="2">
        <v>45835.166666666664</v>
      </c>
      <c r="X447" s="3">
        <f t="shared" si="60"/>
        <v>0</v>
      </c>
      <c r="Y447">
        <f t="shared" si="61"/>
        <v>0</v>
      </c>
      <c r="Z447">
        <f t="shared" si="62"/>
        <v>0</v>
      </c>
      <c r="AA447">
        <f t="shared" si="63"/>
        <v>62.426539351850806</v>
      </c>
      <c r="AB447">
        <f t="shared" si="64"/>
        <v>62.426539351850806</v>
      </c>
      <c r="AC447">
        <f>IFERROR(_xlfn.XLOOKUP(B447, HoldSummary!$A:$A, HoldSummary!B:B), 0)</f>
        <v>0</v>
      </c>
      <c r="AD447">
        <f>IFERROR(_xlfn.XLOOKUP(B447, HoldSummary!$A:$A, HoldSummary!C:C), 0)</f>
        <v>0</v>
      </c>
      <c r="AE447">
        <f>IFERROR(_xlfn.XLOOKUP(B447, HoldSummary!$A:$A, HoldSummary!D:D), 0)</f>
        <v>0</v>
      </c>
      <c r="AF447">
        <f>IFERROR(_xlfn.XLOOKUP(B447, HoldSummary!$A:$A, HoldSummary!E:E), 0)</f>
        <v>0</v>
      </c>
      <c r="AG447">
        <f>IFERROR(_xlfn.XLOOKUP(B447, HoldSummary!$A:$A, HoldSummary!F:F), 0)</f>
        <v>0</v>
      </c>
      <c r="AH447">
        <f>IFERROR(_xlfn.XLOOKUP(B447, HoldSummary!$A:$A, HoldSummary!G:G), 0)</f>
        <v>0</v>
      </c>
      <c r="AI447">
        <f>IFERROR(_xlfn.XLOOKUP(B447, HoldSummary!$A:$A, HoldSummary!H:H), 0)</f>
        <v>0</v>
      </c>
      <c r="AJ447">
        <f>IFERROR(_xlfn.XLOOKUP(B447, HoldSummary!$A:$A, HoldSummary!I:I), 0)</f>
        <v>0</v>
      </c>
      <c r="AK447">
        <f t="shared" si="65"/>
        <v>0</v>
      </c>
      <c r="AL447">
        <f t="shared" si="66"/>
        <v>62.426539351850806</v>
      </c>
      <c r="AM447">
        <f t="shared" si="67"/>
        <v>62.426539351850806</v>
      </c>
      <c r="AN447" s="12">
        <f t="shared" si="68"/>
        <v>7.8333333333357587</v>
      </c>
      <c r="AO447">
        <f t="shared" si="69"/>
        <v>0</v>
      </c>
    </row>
    <row r="448" spans="1:41" x14ac:dyDescent="0.35">
      <c r="A448" t="s">
        <v>23</v>
      </c>
      <c r="B448" t="s">
        <v>1043</v>
      </c>
      <c r="C448" t="s">
        <v>36</v>
      </c>
      <c r="D448" t="s">
        <v>44</v>
      </c>
      <c r="E448" t="s">
        <v>45</v>
      </c>
      <c r="F448" t="s">
        <v>28</v>
      </c>
      <c r="G448">
        <v>40</v>
      </c>
      <c r="H448" t="s">
        <v>1044</v>
      </c>
      <c r="I448" t="s">
        <v>30</v>
      </c>
      <c r="J448" t="s">
        <v>31</v>
      </c>
      <c r="K448" t="s">
        <v>48</v>
      </c>
      <c r="L448" t="s">
        <v>827</v>
      </c>
      <c r="M448" t="s">
        <v>33</v>
      </c>
      <c r="N448" s="2">
        <v>45750.530613425923</v>
      </c>
      <c r="O448" s="2">
        <v>45768.166666666664</v>
      </c>
      <c r="P448" s="2">
        <v>45768.166666666664</v>
      </c>
      <c r="Q448" s="2">
        <v>45775</v>
      </c>
      <c r="R448" s="2">
        <v>45775.787071863429</v>
      </c>
      <c r="S448" t="s">
        <v>93</v>
      </c>
      <c r="T448" s="2"/>
      <c r="U448" s="2"/>
      <c r="V448" s="2"/>
      <c r="W448" s="2"/>
      <c r="X448" s="3" t="str">
        <f t="shared" si="60"/>
        <v/>
      </c>
      <c r="Y448" t="str">
        <f t="shared" si="61"/>
        <v/>
      </c>
      <c r="Z448">
        <f t="shared" si="62"/>
        <v>0</v>
      </c>
      <c r="AA448">
        <f t="shared" si="63"/>
        <v>24.469386574077362</v>
      </c>
      <c r="AB448">
        <f t="shared" si="64"/>
        <v>24.469386574077362</v>
      </c>
      <c r="AC448">
        <f>IFERROR(_xlfn.XLOOKUP(B448, HoldSummary!$A:$A, HoldSummary!B:B), 0)</f>
        <v>0</v>
      </c>
      <c r="AD448">
        <f>IFERROR(_xlfn.XLOOKUP(B448, HoldSummary!$A:$A, HoldSummary!C:C), 0)</f>
        <v>0</v>
      </c>
      <c r="AE448">
        <f>IFERROR(_xlfn.XLOOKUP(B448, HoldSummary!$A:$A, HoldSummary!D:D), 0)</f>
        <v>0</v>
      </c>
      <c r="AF448">
        <f>IFERROR(_xlfn.XLOOKUP(B448, HoldSummary!$A:$A, HoldSummary!E:E), 0)</f>
        <v>0</v>
      </c>
      <c r="AG448">
        <f>IFERROR(_xlfn.XLOOKUP(B448, HoldSummary!$A:$A, HoldSummary!F:F), 0)</f>
        <v>0</v>
      </c>
      <c r="AH448">
        <f>IFERROR(_xlfn.XLOOKUP(B448, HoldSummary!$A:$A, HoldSummary!G:G), 0)</f>
        <v>0</v>
      </c>
      <c r="AI448">
        <f>IFERROR(_xlfn.XLOOKUP(B448, HoldSummary!$A:$A, HoldSummary!H:H), 0)</f>
        <v>0</v>
      </c>
      <c r="AJ448">
        <f>IFERROR(_xlfn.XLOOKUP(B448, HoldSummary!$A:$A, HoldSummary!I:I), 0)</f>
        <v>0</v>
      </c>
      <c r="AK448">
        <f t="shared" si="65"/>
        <v>0</v>
      </c>
      <c r="AL448">
        <f t="shared" si="66"/>
        <v>24.469386574077362</v>
      </c>
      <c r="AM448">
        <f t="shared" si="67"/>
        <v>24.469386574077362</v>
      </c>
      <c r="AN448" s="12">
        <f t="shared" si="68"/>
        <v>6.8333333333357587</v>
      </c>
      <c r="AO448">
        <f t="shared" si="69"/>
        <v>0</v>
      </c>
    </row>
    <row r="449" spans="1:41" x14ac:dyDescent="0.35">
      <c r="A449" t="s">
        <v>23</v>
      </c>
      <c r="B449" t="s">
        <v>1045</v>
      </c>
      <c r="C449" t="s">
        <v>135</v>
      </c>
      <c r="D449" t="s">
        <v>44</v>
      </c>
      <c r="E449" t="s">
        <v>45</v>
      </c>
      <c r="F449" t="s">
        <v>28</v>
      </c>
      <c r="H449" t="s">
        <v>1046</v>
      </c>
      <c r="I449" t="s">
        <v>30</v>
      </c>
      <c r="J449" t="s">
        <v>31</v>
      </c>
      <c r="K449" t="s">
        <v>32</v>
      </c>
      <c r="L449" t="s">
        <v>32</v>
      </c>
      <c r="N449" s="2">
        <v>44601.704756944448</v>
      </c>
      <c r="O449" s="2">
        <v>45092.166666666664</v>
      </c>
      <c r="P449" s="2">
        <v>45596.166666666664</v>
      </c>
      <c r="Q449" s="2">
        <v>45595</v>
      </c>
      <c r="R449" s="2">
        <v>45597.081542291664</v>
      </c>
      <c r="S449" t="s">
        <v>834</v>
      </c>
      <c r="T449" s="2">
        <v>44609.208333333336</v>
      </c>
      <c r="U449" s="2">
        <v>45037.166666666664</v>
      </c>
      <c r="V449" s="2">
        <v>45037.166666666664</v>
      </c>
      <c r="W449" s="2">
        <v>45086.166666666664</v>
      </c>
      <c r="X449" s="3">
        <f t="shared" si="60"/>
        <v>427.95833333332848</v>
      </c>
      <c r="Y449">
        <f t="shared" si="61"/>
        <v>49</v>
      </c>
      <c r="Z449">
        <f t="shared" si="62"/>
        <v>476.95833333332848</v>
      </c>
      <c r="AA449">
        <f t="shared" si="63"/>
        <v>993.29524305555242</v>
      </c>
      <c r="AB449">
        <f t="shared" si="64"/>
        <v>516.33690972222394</v>
      </c>
      <c r="AC449">
        <f>IFERROR(_xlfn.XLOOKUP(B449, HoldSummary!$A:$A, HoldSummary!B:B), 0)</f>
        <v>0</v>
      </c>
      <c r="AD449">
        <f>IFERROR(_xlfn.XLOOKUP(B449, HoldSummary!$A:$A, HoldSummary!C:C), 0)</f>
        <v>0</v>
      </c>
      <c r="AE449">
        <f>IFERROR(_xlfn.XLOOKUP(B449, HoldSummary!$A:$A, HoldSummary!D:D), 0)</f>
        <v>0</v>
      </c>
      <c r="AF449">
        <f>IFERROR(_xlfn.XLOOKUP(B449, HoldSummary!$A:$A, HoldSummary!E:E), 0)</f>
        <v>0</v>
      </c>
      <c r="AG449">
        <f>IFERROR(_xlfn.XLOOKUP(B449, HoldSummary!$A:$A, HoldSummary!F:F), 0)</f>
        <v>0</v>
      </c>
      <c r="AH449">
        <f>IFERROR(_xlfn.XLOOKUP(B449, HoldSummary!$A:$A, HoldSummary!G:G), 0)</f>
        <v>0</v>
      </c>
      <c r="AI449">
        <f>IFERROR(_xlfn.XLOOKUP(B449, HoldSummary!$A:$A, HoldSummary!H:H), 0)</f>
        <v>0</v>
      </c>
      <c r="AJ449">
        <f>IFERROR(_xlfn.XLOOKUP(B449, HoldSummary!$A:$A, HoldSummary!I:I), 0)</f>
        <v>0</v>
      </c>
      <c r="AK449">
        <f t="shared" si="65"/>
        <v>0</v>
      </c>
      <c r="AL449">
        <f t="shared" si="66"/>
        <v>993.29524305555242</v>
      </c>
      <c r="AM449">
        <f t="shared" si="67"/>
        <v>516.33690972222394</v>
      </c>
      <c r="AN449" s="12">
        <f t="shared" si="68"/>
        <v>502.83333333333576</v>
      </c>
      <c r="AO449">
        <f t="shared" si="69"/>
        <v>0</v>
      </c>
    </row>
    <row r="450" spans="1:41" x14ac:dyDescent="0.35">
      <c r="A450" t="s">
        <v>23</v>
      </c>
      <c r="B450" t="s">
        <v>1047</v>
      </c>
      <c r="C450" t="s">
        <v>36</v>
      </c>
      <c r="D450" t="s">
        <v>44</v>
      </c>
      <c r="E450" t="s">
        <v>45</v>
      </c>
      <c r="F450" t="s">
        <v>28</v>
      </c>
      <c r="H450" t="s">
        <v>1048</v>
      </c>
      <c r="I450" t="s">
        <v>30</v>
      </c>
      <c r="J450" t="s">
        <v>70</v>
      </c>
      <c r="K450" t="s">
        <v>48</v>
      </c>
      <c r="L450" t="s">
        <v>49</v>
      </c>
      <c r="N450" s="2">
        <v>44935.037349537037</v>
      </c>
      <c r="O450" s="2">
        <v>45712.208333333336</v>
      </c>
      <c r="P450" s="2">
        <v>45712.208333333336</v>
      </c>
      <c r="Q450" s="2">
        <v>45708</v>
      </c>
      <c r="R450" s="2">
        <v>45709.773681388891</v>
      </c>
      <c r="T450" s="2"/>
      <c r="U450" s="2"/>
      <c r="V450" s="2"/>
      <c r="W450" s="2"/>
      <c r="X450" s="3" t="str">
        <f t="shared" si="60"/>
        <v/>
      </c>
      <c r="Y450" t="str">
        <f t="shared" si="61"/>
        <v/>
      </c>
      <c r="Z450">
        <f t="shared" si="62"/>
        <v>0</v>
      </c>
      <c r="AA450">
        <f t="shared" si="63"/>
        <v>772.96265046296321</v>
      </c>
      <c r="AB450">
        <f t="shared" si="64"/>
        <v>772.96265046296321</v>
      </c>
      <c r="AC450">
        <f>IFERROR(_xlfn.XLOOKUP(B450, HoldSummary!$A:$A, HoldSummary!B:B), 0)</f>
        <v>0</v>
      </c>
      <c r="AD450">
        <f>IFERROR(_xlfn.XLOOKUP(B450, HoldSummary!$A:$A, HoldSummary!C:C), 0)</f>
        <v>0</v>
      </c>
      <c r="AE450">
        <f>IFERROR(_xlfn.XLOOKUP(B450, HoldSummary!$A:$A, HoldSummary!D:D), 0)</f>
        <v>0</v>
      </c>
      <c r="AF450">
        <f>IFERROR(_xlfn.XLOOKUP(B450, HoldSummary!$A:$A, HoldSummary!E:E), 0)</f>
        <v>0</v>
      </c>
      <c r="AG450">
        <f>IFERROR(_xlfn.XLOOKUP(B450, HoldSummary!$A:$A, HoldSummary!F:F), 0)</f>
        <v>0</v>
      </c>
      <c r="AH450">
        <f>IFERROR(_xlfn.XLOOKUP(B450, HoldSummary!$A:$A, HoldSummary!G:G), 0)</f>
        <v>0</v>
      </c>
      <c r="AI450">
        <f>IFERROR(_xlfn.XLOOKUP(B450, HoldSummary!$A:$A, HoldSummary!H:H), 0)</f>
        <v>0</v>
      </c>
      <c r="AJ450">
        <f>IFERROR(_xlfn.XLOOKUP(B450, HoldSummary!$A:$A, HoldSummary!I:I), 0)</f>
        <v>0</v>
      </c>
      <c r="AK450">
        <f t="shared" si="65"/>
        <v>0</v>
      </c>
      <c r="AL450">
        <f t="shared" si="66"/>
        <v>772.96265046296321</v>
      </c>
      <c r="AM450">
        <f t="shared" si="67"/>
        <v>772.96265046296321</v>
      </c>
      <c r="AN450" s="12">
        <f t="shared" si="68"/>
        <v>-4.2083333333357587</v>
      </c>
      <c r="AO450">
        <f t="shared" si="69"/>
        <v>1</v>
      </c>
    </row>
    <row r="451" spans="1:41" x14ac:dyDescent="0.35">
      <c r="A451" t="s">
        <v>23</v>
      </c>
      <c r="B451" t="s">
        <v>1049</v>
      </c>
      <c r="C451" t="s">
        <v>43</v>
      </c>
      <c r="D451" t="s">
        <v>44</v>
      </c>
      <c r="E451" t="s">
        <v>45</v>
      </c>
      <c r="F451" t="s">
        <v>28</v>
      </c>
      <c r="H451" t="s">
        <v>1050</v>
      </c>
      <c r="I451" t="s">
        <v>30</v>
      </c>
      <c r="J451" t="s">
        <v>31</v>
      </c>
      <c r="K451" t="s">
        <v>48</v>
      </c>
      <c r="L451" t="s">
        <v>192</v>
      </c>
      <c r="N451" s="2">
        <v>44959.796284722222</v>
      </c>
      <c r="O451" s="2">
        <v>45016.166666666664</v>
      </c>
      <c r="P451" s="2">
        <v>45331.208333333336</v>
      </c>
      <c r="Q451" s="2">
        <v>45329</v>
      </c>
      <c r="R451" s="2">
        <v>45329.817341249996</v>
      </c>
      <c r="S451" t="s">
        <v>1051</v>
      </c>
      <c r="T451" s="2"/>
      <c r="U451" s="2"/>
      <c r="V451" s="2"/>
      <c r="W451" s="2"/>
      <c r="X451" s="3" t="str">
        <f t="shared" ref="X451:X514" si="70">IF(OR(ISBLANK(T451), ISBLANK(U451)), "", U451 - T451)</f>
        <v/>
      </c>
      <c r="Y451" t="str">
        <f t="shared" ref="Y451:Y514" si="71">IF(OR(ISBLANK(V451), ISBLANK(W451)), "", W451 - V451)</f>
        <v/>
      </c>
      <c r="Z451">
        <f t="shared" ref="Z451:Z514" si="72">N(X451) + N(Y451)</f>
        <v>0</v>
      </c>
      <c r="AA451">
        <f t="shared" ref="AA451:AA514" si="73">IF(OR(ISBLANK(N451), ISBLANK(Q451)), "", Q451 - N451)</f>
        <v>369.20371527777752</v>
      </c>
      <c r="AB451">
        <f t="shared" ref="AB451:AB514" si="74">IF(AA451="", "", AA451 - Z451)</f>
        <v>369.20371527777752</v>
      </c>
      <c r="AC451">
        <f>IFERROR(_xlfn.XLOOKUP(B451, HoldSummary!$A:$A, HoldSummary!B:B), 0)</f>
        <v>0</v>
      </c>
      <c r="AD451">
        <f>IFERROR(_xlfn.XLOOKUP(B451, HoldSummary!$A:$A, HoldSummary!C:C), 0)</f>
        <v>0</v>
      </c>
      <c r="AE451">
        <f>IFERROR(_xlfn.XLOOKUP(B451, HoldSummary!$A:$A, HoldSummary!D:D), 0)</f>
        <v>0</v>
      </c>
      <c r="AF451">
        <f>IFERROR(_xlfn.XLOOKUP(B451, HoldSummary!$A:$A, HoldSummary!E:E), 0)</f>
        <v>0</v>
      </c>
      <c r="AG451">
        <f>IFERROR(_xlfn.XLOOKUP(B451, HoldSummary!$A:$A, HoldSummary!F:F), 0)</f>
        <v>0</v>
      </c>
      <c r="AH451">
        <f>IFERROR(_xlfn.XLOOKUP(B451, HoldSummary!$A:$A, HoldSummary!G:G), 0)</f>
        <v>0</v>
      </c>
      <c r="AI451">
        <f>IFERROR(_xlfn.XLOOKUP(B451, HoldSummary!$A:$A, HoldSummary!H:H), 0)</f>
        <v>0</v>
      </c>
      <c r="AJ451">
        <f>IFERROR(_xlfn.XLOOKUP(B451, HoldSummary!$A:$A, HoldSummary!I:I), 0)</f>
        <v>0</v>
      </c>
      <c r="AK451">
        <f t="shared" ref="AK451:AK514" si="75">SUM(AC451:AJ451)</f>
        <v>0</v>
      </c>
      <c r="AL451">
        <f t="shared" ref="AL451:AL514" si="76">IF(AA451="", "", AA451 - AK451)</f>
        <v>369.20371527777752</v>
      </c>
      <c r="AM451">
        <f t="shared" ref="AM451:AM514" si="77">IF(OR(AK451="", AB451=""), "", AB451 - AK451)</f>
        <v>369.20371527777752</v>
      </c>
      <c r="AN451" s="12">
        <f t="shared" ref="AN451:AN514" si="78">Q451-O451</f>
        <v>312.83333333333576</v>
      </c>
      <c r="AO451">
        <f t="shared" ref="AO451:AO514" si="79">IF(OR(ISBLANK(O451), ISBLANK(Q451)), 1, IF(AN451&lt;=0,1,0))</f>
        <v>0</v>
      </c>
    </row>
    <row r="452" spans="1:41" x14ac:dyDescent="0.35">
      <c r="A452" t="s">
        <v>23</v>
      </c>
      <c r="B452" t="s">
        <v>1052</v>
      </c>
      <c r="C452" t="s">
        <v>113</v>
      </c>
      <c r="D452" t="s">
        <v>44</v>
      </c>
      <c r="E452" t="s">
        <v>45</v>
      </c>
      <c r="F452" t="s">
        <v>28</v>
      </c>
      <c r="H452" t="s">
        <v>1053</v>
      </c>
      <c r="I452" t="s">
        <v>30</v>
      </c>
      <c r="J452" t="s">
        <v>31</v>
      </c>
      <c r="K452" t="s">
        <v>38</v>
      </c>
      <c r="L452" t="s">
        <v>39</v>
      </c>
      <c r="N452" s="2">
        <v>44980.606840277775</v>
      </c>
      <c r="O452" s="2">
        <v>45069.166666666664</v>
      </c>
      <c r="P452" s="2">
        <v>45310.208333333336</v>
      </c>
      <c r="Q452" s="2">
        <v>45296</v>
      </c>
      <c r="R452" s="2">
        <v>45299.559544884258</v>
      </c>
      <c r="T452" s="2">
        <v>45138.166666666664</v>
      </c>
      <c r="U452" s="2">
        <v>45278.208333333336</v>
      </c>
      <c r="V452" s="2">
        <v>45278.208333333336</v>
      </c>
      <c r="W452" s="2">
        <v>45278.208333333336</v>
      </c>
      <c r="X452" s="3">
        <f t="shared" si="70"/>
        <v>140.04166666667152</v>
      </c>
      <c r="Y452">
        <f t="shared" si="71"/>
        <v>0</v>
      </c>
      <c r="Z452">
        <f t="shared" si="72"/>
        <v>140.04166666667152</v>
      </c>
      <c r="AA452">
        <f t="shared" si="73"/>
        <v>315.39315972222539</v>
      </c>
      <c r="AB452">
        <f t="shared" si="74"/>
        <v>175.35149305555387</v>
      </c>
      <c r="AC452">
        <f>IFERROR(_xlfn.XLOOKUP(B452, HoldSummary!$A:$A, HoldSummary!B:B), 0)</f>
        <v>0</v>
      </c>
      <c r="AD452">
        <f>IFERROR(_xlfn.XLOOKUP(B452, HoldSummary!$A:$A, HoldSummary!C:C), 0)</f>
        <v>0</v>
      </c>
      <c r="AE452">
        <f>IFERROR(_xlfn.XLOOKUP(B452, HoldSummary!$A:$A, HoldSummary!D:D), 0)</f>
        <v>0</v>
      </c>
      <c r="AF452">
        <f>IFERROR(_xlfn.XLOOKUP(B452, HoldSummary!$A:$A, HoldSummary!E:E), 0)</f>
        <v>0</v>
      </c>
      <c r="AG452">
        <f>IFERROR(_xlfn.XLOOKUP(B452, HoldSummary!$A:$A, HoldSummary!F:F), 0)</f>
        <v>0</v>
      </c>
      <c r="AH452">
        <f>IFERROR(_xlfn.XLOOKUP(B452, HoldSummary!$A:$A, HoldSummary!G:G), 0)</f>
        <v>26</v>
      </c>
      <c r="AI452">
        <f>IFERROR(_xlfn.XLOOKUP(B452, HoldSummary!$A:$A, HoldSummary!H:H), 0)</f>
        <v>0</v>
      </c>
      <c r="AJ452">
        <f>IFERROR(_xlfn.XLOOKUP(B452, HoldSummary!$A:$A, HoldSummary!I:I), 0)</f>
        <v>0</v>
      </c>
      <c r="AK452">
        <f t="shared" si="75"/>
        <v>26</v>
      </c>
      <c r="AL452">
        <f t="shared" si="76"/>
        <v>289.39315972222539</v>
      </c>
      <c r="AM452">
        <f t="shared" si="77"/>
        <v>149.35149305555387</v>
      </c>
      <c r="AN452" s="12">
        <f t="shared" si="78"/>
        <v>226.83333333333576</v>
      </c>
      <c r="AO452">
        <f t="shared" si="79"/>
        <v>0</v>
      </c>
    </row>
    <row r="453" spans="1:41" x14ac:dyDescent="0.35">
      <c r="A453" t="s">
        <v>23</v>
      </c>
      <c r="B453" t="s">
        <v>1054</v>
      </c>
      <c r="C453" t="s">
        <v>135</v>
      </c>
      <c r="D453" t="s">
        <v>44</v>
      </c>
      <c r="E453" t="s">
        <v>45</v>
      </c>
      <c r="F453" t="s">
        <v>28</v>
      </c>
      <c r="H453" t="s">
        <v>1055</v>
      </c>
      <c r="I453" t="s">
        <v>30</v>
      </c>
      <c r="J453" t="s">
        <v>70</v>
      </c>
      <c r="K453" t="s">
        <v>32</v>
      </c>
      <c r="M453" t="s">
        <v>33</v>
      </c>
      <c r="N453" s="2">
        <v>44999.717164351852</v>
      </c>
      <c r="O453" s="2">
        <v>45639.208333333336</v>
      </c>
      <c r="P453" s="2">
        <v>45681.208333333336</v>
      </c>
      <c r="Q453" s="2">
        <v>45665</v>
      </c>
      <c r="R453" s="2">
        <v>45671.753044398145</v>
      </c>
      <c r="T453" s="2"/>
      <c r="U453" s="2"/>
      <c r="V453" s="2"/>
      <c r="W453" s="2"/>
      <c r="X453" s="3" t="str">
        <f t="shared" si="70"/>
        <v/>
      </c>
      <c r="Y453" t="str">
        <f t="shared" si="71"/>
        <v/>
      </c>
      <c r="Z453">
        <f t="shared" si="72"/>
        <v>0</v>
      </c>
      <c r="AA453">
        <f t="shared" si="73"/>
        <v>665.28283564814774</v>
      </c>
      <c r="AB453">
        <f t="shared" si="74"/>
        <v>665.28283564814774</v>
      </c>
      <c r="AC453">
        <f>IFERROR(_xlfn.XLOOKUP(B453, HoldSummary!$A:$A, HoldSummary!B:B), 0)</f>
        <v>0</v>
      </c>
      <c r="AD453">
        <f>IFERROR(_xlfn.XLOOKUP(B453, HoldSummary!$A:$A, HoldSummary!C:C), 0)</f>
        <v>0</v>
      </c>
      <c r="AE453">
        <f>IFERROR(_xlfn.XLOOKUP(B453, HoldSummary!$A:$A, HoldSummary!D:D), 0)</f>
        <v>0</v>
      </c>
      <c r="AF453">
        <f>IFERROR(_xlfn.XLOOKUP(B453, HoldSummary!$A:$A, HoldSummary!E:E), 0)</f>
        <v>0</v>
      </c>
      <c r="AG453">
        <f>IFERROR(_xlfn.XLOOKUP(B453, HoldSummary!$A:$A, HoldSummary!F:F), 0)</f>
        <v>375</v>
      </c>
      <c r="AH453">
        <f>IFERROR(_xlfn.XLOOKUP(B453, HoldSummary!$A:$A, HoldSummary!G:G), 0)</f>
        <v>0</v>
      </c>
      <c r="AI453">
        <f>IFERROR(_xlfn.XLOOKUP(B453, HoldSummary!$A:$A, HoldSummary!H:H), 0)</f>
        <v>0</v>
      </c>
      <c r="AJ453">
        <f>IFERROR(_xlfn.XLOOKUP(B453, HoldSummary!$A:$A, HoldSummary!I:I), 0)</f>
        <v>0</v>
      </c>
      <c r="AK453">
        <f t="shared" si="75"/>
        <v>375</v>
      </c>
      <c r="AL453">
        <f t="shared" si="76"/>
        <v>290.28283564814774</v>
      </c>
      <c r="AM453">
        <f t="shared" si="77"/>
        <v>290.28283564814774</v>
      </c>
      <c r="AN453" s="12">
        <f t="shared" si="78"/>
        <v>25.791666666664241</v>
      </c>
      <c r="AO453">
        <f t="shared" si="79"/>
        <v>0</v>
      </c>
    </row>
    <row r="454" spans="1:41" x14ac:dyDescent="0.35">
      <c r="A454" t="s">
        <v>23</v>
      </c>
      <c r="B454" t="s">
        <v>1056</v>
      </c>
      <c r="C454" t="s">
        <v>135</v>
      </c>
      <c r="D454" t="s">
        <v>44</v>
      </c>
      <c r="E454" t="s">
        <v>45</v>
      </c>
      <c r="F454" t="s">
        <v>28</v>
      </c>
      <c r="H454" t="s">
        <v>1057</v>
      </c>
      <c r="I454" t="s">
        <v>30</v>
      </c>
      <c r="J454" t="s">
        <v>31</v>
      </c>
      <c r="K454" t="s">
        <v>32</v>
      </c>
      <c r="L454" t="s">
        <v>32</v>
      </c>
      <c r="N454" s="2">
        <v>44804.395671296297</v>
      </c>
      <c r="O454" s="2">
        <v>45212.166666666664</v>
      </c>
      <c r="P454" s="2">
        <v>45716.208333333336</v>
      </c>
      <c r="Q454" s="2">
        <v>45706</v>
      </c>
      <c r="R454" s="2">
        <v>45707.119751666665</v>
      </c>
      <c r="T454" s="2">
        <v>45133.166666666664</v>
      </c>
      <c r="U454" s="2">
        <v>45182.166666666664</v>
      </c>
      <c r="V454" s="2">
        <v>45182.166666666664</v>
      </c>
      <c r="W454" s="2">
        <v>45554.166666666664</v>
      </c>
      <c r="X454" s="3">
        <f t="shared" si="70"/>
        <v>49</v>
      </c>
      <c r="Y454">
        <f t="shared" si="71"/>
        <v>372</v>
      </c>
      <c r="Z454">
        <f t="shared" si="72"/>
        <v>421</v>
      </c>
      <c r="AA454">
        <f t="shared" si="73"/>
        <v>901.60432870370278</v>
      </c>
      <c r="AB454">
        <f t="shared" si="74"/>
        <v>480.60432870370278</v>
      </c>
      <c r="AC454">
        <f>IFERROR(_xlfn.XLOOKUP(B454, HoldSummary!$A:$A, HoldSummary!B:B), 0)</f>
        <v>0</v>
      </c>
      <c r="AD454">
        <f>IFERROR(_xlfn.XLOOKUP(B454, HoldSummary!$A:$A, HoldSummary!C:C), 0)</f>
        <v>0</v>
      </c>
      <c r="AE454">
        <f>IFERROR(_xlfn.XLOOKUP(B454, HoldSummary!$A:$A, HoldSummary!D:D), 0)</f>
        <v>0</v>
      </c>
      <c r="AF454">
        <f>IFERROR(_xlfn.XLOOKUP(B454, HoldSummary!$A:$A, HoldSummary!E:E), 0)</f>
        <v>0</v>
      </c>
      <c r="AG454">
        <f>IFERROR(_xlfn.XLOOKUP(B454, HoldSummary!$A:$A, HoldSummary!F:F), 0)</f>
        <v>0</v>
      </c>
      <c r="AH454">
        <f>IFERROR(_xlfn.XLOOKUP(B454, HoldSummary!$A:$A, HoldSummary!G:G), 0)</f>
        <v>0</v>
      </c>
      <c r="AI454">
        <f>IFERROR(_xlfn.XLOOKUP(B454, HoldSummary!$A:$A, HoldSummary!H:H), 0)</f>
        <v>0</v>
      </c>
      <c r="AJ454">
        <f>IFERROR(_xlfn.XLOOKUP(B454, HoldSummary!$A:$A, HoldSummary!I:I), 0)</f>
        <v>0</v>
      </c>
      <c r="AK454">
        <f t="shared" si="75"/>
        <v>0</v>
      </c>
      <c r="AL454">
        <f t="shared" si="76"/>
        <v>901.60432870370278</v>
      </c>
      <c r="AM454">
        <f t="shared" si="77"/>
        <v>480.60432870370278</v>
      </c>
      <c r="AN454" s="12">
        <f t="shared" si="78"/>
        <v>493.83333333333576</v>
      </c>
      <c r="AO454">
        <f t="shared" si="79"/>
        <v>0</v>
      </c>
    </row>
    <row r="455" spans="1:41" x14ac:dyDescent="0.35">
      <c r="A455" t="s">
        <v>23</v>
      </c>
      <c r="B455" t="s">
        <v>1058</v>
      </c>
      <c r="C455" t="s">
        <v>135</v>
      </c>
      <c r="D455" t="s">
        <v>44</v>
      </c>
      <c r="E455" t="s">
        <v>45</v>
      </c>
      <c r="F455" t="s">
        <v>28</v>
      </c>
      <c r="H455" t="s">
        <v>1059</v>
      </c>
      <c r="I455" t="s">
        <v>30</v>
      </c>
      <c r="J455" t="s">
        <v>31</v>
      </c>
      <c r="K455" t="s">
        <v>32</v>
      </c>
      <c r="L455" t="s">
        <v>32</v>
      </c>
      <c r="N455" s="2">
        <v>45085.766331018516</v>
      </c>
      <c r="O455" s="2">
        <v>45156.166666666664</v>
      </c>
      <c r="P455" s="2">
        <v>45499.166666666664</v>
      </c>
      <c r="Q455" s="2">
        <v>45489</v>
      </c>
      <c r="R455" s="2">
        <v>45493.113768229166</v>
      </c>
      <c r="S455" t="s">
        <v>215</v>
      </c>
      <c r="T455" s="2">
        <v>45118.166666666664</v>
      </c>
      <c r="U455" s="2">
        <v>45274.208333333336</v>
      </c>
      <c r="V455" s="2">
        <v>45274.208333333336</v>
      </c>
      <c r="W455" s="2">
        <v>45401.166666666664</v>
      </c>
      <c r="X455" s="3">
        <f t="shared" si="70"/>
        <v>156.04166666667152</v>
      </c>
      <c r="Y455">
        <f t="shared" si="71"/>
        <v>126.95833333332848</v>
      </c>
      <c r="Z455">
        <f t="shared" si="72"/>
        <v>283</v>
      </c>
      <c r="AA455">
        <f t="shared" si="73"/>
        <v>403.23366898148379</v>
      </c>
      <c r="AB455">
        <f t="shared" si="74"/>
        <v>120.23366898148379</v>
      </c>
      <c r="AC455">
        <f>IFERROR(_xlfn.XLOOKUP(B455, HoldSummary!$A:$A, HoldSummary!B:B), 0)</f>
        <v>0</v>
      </c>
      <c r="AD455">
        <f>IFERROR(_xlfn.XLOOKUP(B455, HoldSummary!$A:$A, HoldSummary!C:C), 0)</f>
        <v>0</v>
      </c>
      <c r="AE455">
        <f>IFERROR(_xlfn.XLOOKUP(B455, HoldSummary!$A:$A, HoldSummary!D:D), 0)</f>
        <v>0</v>
      </c>
      <c r="AF455">
        <f>IFERROR(_xlfn.XLOOKUP(B455, HoldSummary!$A:$A, HoldSummary!E:E), 0)</f>
        <v>0</v>
      </c>
      <c r="AG455">
        <f>IFERROR(_xlfn.XLOOKUP(B455, HoldSummary!$A:$A, HoldSummary!F:F), 0)</f>
        <v>0</v>
      </c>
      <c r="AH455">
        <f>IFERROR(_xlfn.XLOOKUP(B455, HoldSummary!$A:$A, HoldSummary!G:G), 0)</f>
        <v>104</v>
      </c>
      <c r="AI455">
        <f>IFERROR(_xlfn.XLOOKUP(B455, HoldSummary!$A:$A, HoldSummary!H:H), 0)</f>
        <v>0</v>
      </c>
      <c r="AJ455">
        <f>IFERROR(_xlfn.XLOOKUP(B455, HoldSummary!$A:$A, HoldSummary!I:I), 0)</f>
        <v>0</v>
      </c>
      <c r="AK455">
        <f t="shared" si="75"/>
        <v>104</v>
      </c>
      <c r="AL455">
        <f t="shared" si="76"/>
        <v>299.23366898148379</v>
      </c>
      <c r="AM455">
        <f t="shared" si="77"/>
        <v>16.233668981483788</v>
      </c>
      <c r="AN455" s="12">
        <f t="shared" si="78"/>
        <v>332.83333333333576</v>
      </c>
      <c r="AO455">
        <f t="shared" si="79"/>
        <v>0</v>
      </c>
    </row>
    <row r="456" spans="1:41" x14ac:dyDescent="0.35">
      <c r="A456" t="s">
        <v>23</v>
      </c>
      <c r="B456" t="s">
        <v>1060</v>
      </c>
      <c r="C456" t="s">
        <v>135</v>
      </c>
      <c r="D456" t="s">
        <v>44</v>
      </c>
      <c r="E456" t="s">
        <v>45</v>
      </c>
      <c r="F456" t="s">
        <v>28</v>
      </c>
      <c r="H456" t="s">
        <v>1061</v>
      </c>
      <c r="I456" t="s">
        <v>30</v>
      </c>
      <c r="J456" t="s">
        <v>31</v>
      </c>
      <c r="K456" t="s">
        <v>32</v>
      </c>
      <c r="L456" t="s">
        <v>32</v>
      </c>
      <c r="M456" t="s">
        <v>33</v>
      </c>
      <c r="N456" s="2">
        <v>45142.510844907411</v>
      </c>
      <c r="O456" s="2">
        <v>45716.208333333336</v>
      </c>
      <c r="P456" s="2">
        <v>45716.208333333336</v>
      </c>
      <c r="Q456" s="2">
        <v>45708</v>
      </c>
      <c r="R456" s="2">
        <v>45713.551893101852</v>
      </c>
      <c r="T456" s="2">
        <v>45700.208333333336</v>
      </c>
      <c r="U456" s="2">
        <v>45700.208333333336</v>
      </c>
      <c r="V456" s="2">
        <v>45700.208333333336</v>
      </c>
      <c r="W456" s="2">
        <v>45700.208333333336</v>
      </c>
      <c r="X456" s="3">
        <f t="shared" si="70"/>
        <v>0</v>
      </c>
      <c r="Y456">
        <f t="shared" si="71"/>
        <v>0</v>
      </c>
      <c r="Z456">
        <f t="shared" si="72"/>
        <v>0</v>
      </c>
      <c r="AA456">
        <f t="shared" si="73"/>
        <v>565.4891550925895</v>
      </c>
      <c r="AB456">
        <f t="shared" si="74"/>
        <v>565.4891550925895</v>
      </c>
      <c r="AC456">
        <f>IFERROR(_xlfn.XLOOKUP(B456, HoldSummary!$A:$A, HoldSummary!B:B), 0)</f>
        <v>0</v>
      </c>
      <c r="AD456">
        <f>IFERROR(_xlfn.XLOOKUP(B456, HoldSummary!$A:$A, HoldSummary!C:C), 0)</f>
        <v>0</v>
      </c>
      <c r="AE456">
        <f>IFERROR(_xlfn.XLOOKUP(B456, HoldSummary!$A:$A, HoldSummary!D:D), 0)</f>
        <v>0</v>
      </c>
      <c r="AF456">
        <f>IFERROR(_xlfn.XLOOKUP(B456, HoldSummary!$A:$A, HoldSummary!E:E), 0)</f>
        <v>0</v>
      </c>
      <c r="AG456">
        <f>IFERROR(_xlfn.XLOOKUP(B456, HoldSummary!$A:$A, HoldSummary!F:F), 0)</f>
        <v>0</v>
      </c>
      <c r="AH456">
        <f>IFERROR(_xlfn.XLOOKUP(B456, HoldSummary!$A:$A, HoldSummary!G:G), 0)</f>
        <v>0</v>
      </c>
      <c r="AI456">
        <f>IFERROR(_xlfn.XLOOKUP(B456, HoldSummary!$A:$A, HoldSummary!H:H), 0)</f>
        <v>0</v>
      </c>
      <c r="AJ456">
        <f>IFERROR(_xlfn.XLOOKUP(B456, HoldSummary!$A:$A, HoldSummary!I:I), 0)</f>
        <v>0</v>
      </c>
      <c r="AK456">
        <f t="shared" si="75"/>
        <v>0</v>
      </c>
      <c r="AL456">
        <f t="shared" si="76"/>
        <v>565.4891550925895</v>
      </c>
      <c r="AM456">
        <f t="shared" si="77"/>
        <v>565.4891550925895</v>
      </c>
      <c r="AN456" s="12">
        <f t="shared" si="78"/>
        <v>-8.2083333333357587</v>
      </c>
      <c r="AO456">
        <f t="shared" si="79"/>
        <v>1</v>
      </c>
    </row>
    <row r="457" spans="1:41" x14ac:dyDescent="0.35">
      <c r="A457" t="s">
        <v>23</v>
      </c>
      <c r="B457" t="s">
        <v>1062</v>
      </c>
      <c r="C457" t="s">
        <v>135</v>
      </c>
      <c r="D457" t="s">
        <v>44</v>
      </c>
      <c r="E457" t="s">
        <v>45</v>
      </c>
      <c r="F457" t="s">
        <v>28</v>
      </c>
      <c r="H457" t="s">
        <v>1063</v>
      </c>
      <c r="I457" t="s">
        <v>30</v>
      </c>
      <c r="J457" t="s">
        <v>31</v>
      </c>
      <c r="K457" t="s">
        <v>32</v>
      </c>
      <c r="L457" t="s">
        <v>32</v>
      </c>
      <c r="N457" s="2">
        <v>45173.54488425926</v>
      </c>
      <c r="O457" s="2">
        <v>45260.208333333336</v>
      </c>
      <c r="P457" s="2">
        <v>45408.166666666664</v>
      </c>
      <c r="Q457" s="2">
        <v>45405</v>
      </c>
      <c r="R457" s="2">
        <v>45407.121819548614</v>
      </c>
      <c r="S457" t="s">
        <v>198</v>
      </c>
      <c r="T457" s="2">
        <v>45183.166666666664</v>
      </c>
      <c r="U457" s="2">
        <v>45188.166666666664</v>
      </c>
      <c r="V457" s="2">
        <v>45188.166666666664</v>
      </c>
      <c r="W457" s="2">
        <v>45247.208333333336</v>
      </c>
      <c r="X457" s="3">
        <f t="shared" si="70"/>
        <v>5</v>
      </c>
      <c r="Y457">
        <f t="shared" si="71"/>
        <v>59.041666666671517</v>
      </c>
      <c r="Z457">
        <f t="shared" si="72"/>
        <v>64.041666666671517</v>
      </c>
      <c r="AA457">
        <f t="shared" si="73"/>
        <v>231.45511574074044</v>
      </c>
      <c r="AB457">
        <f t="shared" si="74"/>
        <v>167.41344907406892</v>
      </c>
      <c r="AC457">
        <f>IFERROR(_xlfn.XLOOKUP(B457, HoldSummary!$A:$A, HoldSummary!B:B), 0)</f>
        <v>0</v>
      </c>
      <c r="AD457">
        <f>IFERROR(_xlfn.XLOOKUP(B457, HoldSummary!$A:$A, HoldSummary!C:C), 0)</f>
        <v>0</v>
      </c>
      <c r="AE457">
        <f>IFERROR(_xlfn.XLOOKUP(B457, HoldSummary!$A:$A, HoldSummary!D:D), 0)</f>
        <v>0</v>
      </c>
      <c r="AF457">
        <f>IFERROR(_xlfn.XLOOKUP(B457, HoldSummary!$A:$A, HoldSummary!E:E), 0)</f>
        <v>0</v>
      </c>
      <c r="AG457">
        <f>IFERROR(_xlfn.XLOOKUP(B457, HoldSummary!$A:$A, HoldSummary!F:F), 0)</f>
        <v>0</v>
      </c>
      <c r="AH457">
        <f>IFERROR(_xlfn.XLOOKUP(B457, HoldSummary!$A:$A, HoldSummary!G:G), 0)</f>
        <v>0</v>
      </c>
      <c r="AI457">
        <f>IFERROR(_xlfn.XLOOKUP(B457, HoldSummary!$A:$A, HoldSummary!H:H), 0)</f>
        <v>0</v>
      </c>
      <c r="AJ457">
        <f>IFERROR(_xlfn.XLOOKUP(B457, HoldSummary!$A:$A, HoldSummary!I:I), 0)</f>
        <v>0</v>
      </c>
      <c r="AK457">
        <f t="shared" si="75"/>
        <v>0</v>
      </c>
      <c r="AL457">
        <f t="shared" si="76"/>
        <v>231.45511574074044</v>
      </c>
      <c r="AM457">
        <f t="shared" si="77"/>
        <v>167.41344907406892</v>
      </c>
      <c r="AN457" s="12">
        <f t="shared" si="78"/>
        <v>144.79166666666424</v>
      </c>
      <c r="AO457">
        <f t="shared" si="79"/>
        <v>0</v>
      </c>
    </row>
    <row r="458" spans="1:41" x14ac:dyDescent="0.35">
      <c r="A458" t="s">
        <v>23</v>
      </c>
      <c r="B458" t="s">
        <v>1064</v>
      </c>
      <c r="C458" t="s">
        <v>113</v>
      </c>
      <c r="D458" t="s">
        <v>44</v>
      </c>
      <c r="E458" t="s">
        <v>45</v>
      </c>
      <c r="F458" t="s">
        <v>28</v>
      </c>
      <c r="H458" t="s">
        <v>1065</v>
      </c>
      <c r="I458" t="s">
        <v>30</v>
      </c>
      <c r="J458" t="s">
        <v>31</v>
      </c>
      <c r="K458" t="s">
        <v>38</v>
      </c>
      <c r="L458" t="s">
        <v>39</v>
      </c>
      <c r="N458" s="2">
        <v>45208.85260416667</v>
      </c>
      <c r="O458" s="2">
        <v>45345.208333333336</v>
      </c>
      <c r="P458" s="2">
        <v>45365.166666666664</v>
      </c>
      <c r="Q458" s="2">
        <v>45359</v>
      </c>
      <c r="R458" s="2">
        <v>45362.590764502318</v>
      </c>
      <c r="S458" t="s">
        <v>511</v>
      </c>
      <c r="T458" s="2">
        <v>45222.166666666664</v>
      </c>
      <c r="U458" s="2">
        <v>45280.208333333336</v>
      </c>
      <c r="V458" s="2">
        <v>45280.208333333336</v>
      </c>
      <c r="W458" s="2">
        <v>45322.208333333336</v>
      </c>
      <c r="X458" s="3">
        <f t="shared" si="70"/>
        <v>58.041666666671517</v>
      </c>
      <c r="Y458">
        <f t="shared" si="71"/>
        <v>42</v>
      </c>
      <c r="Z458">
        <f t="shared" si="72"/>
        <v>100.04166666667152</v>
      </c>
      <c r="AA458">
        <f t="shared" si="73"/>
        <v>150.14739583332994</v>
      </c>
      <c r="AB458">
        <f t="shared" si="74"/>
        <v>50.105729166658421</v>
      </c>
      <c r="AC458">
        <f>IFERROR(_xlfn.XLOOKUP(B458, HoldSummary!$A:$A, HoldSummary!B:B), 0)</f>
        <v>0</v>
      </c>
      <c r="AD458">
        <f>IFERROR(_xlfn.XLOOKUP(B458, HoldSummary!$A:$A, HoldSummary!C:C), 0)</f>
        <v>0</v>
      </c>
      <c r="AE458">
        <f>IFERROR(_xlfn.XLOOKUP(B458, HoldSummary!$A:$A, HoldSummary!D:D), 0)</f>
        <v>0</v>
      </c>
      <c r="AF458">
        <f>IFERROR(_xlfn.XLOOKUP(B458, HoldSummary!$A:$A, HoldSummary!E:E), 0)</f>
        <v>0</v>
      </c>
      <c r="AG458">
        <f>IFERROR(_xlfn.XLOOKUP(B458, HoldSummary!$A:$A, HoldSummary!F:F), 0)</f>
        <v>0</v>
      </c>
      <c r="AH458">
        <f>IFERROR(_xlfn.XLOOKUP(B458, HoldSummary!$A:$A, HoldSummary!G:G), 0)</f>
        <v>0</v>
      </c>
      <c r="AI458">
        <f>IFERROR(_xlfn.XLOOKUP(B458, HoldSummary!$A:$A, HoldSummary!H:H), 0)</f>
        <v>0</v>
      </c>
      <c r="AJ458">
        <f>IFERROR(_xlfn.XLOOKUP(B458, HoldSummary!$A:$A, HoldSummary!I:I), 0)</f>
        <v>0</v>
      </c>
      <c r="AK458">
        <f t="shared" si="75"/>
        <v>0</v>
      </c>
      <c r="AL458">
        <f t="shared" si="76"/>
        <v>150.14739583332994</v>
      </c>
      <c r="AM458">
        <f t="shared" si="77"/>
        <v>50.105729166658421</v>
      </c>
      <c r="AN458" s="12">
        <f t="shared" si="78"/>
        <v>13.791666666664241</v>
      </c>
      <c r="AO458">
        <f t="shared" si="79"/>
        <v>0</v>
      </c>
    </row>
    <row r="459" spans="1:41" x14ac:dyDescent="0.35">
      <c r="A459" t="s">
        <v>23</v>
      </c>
      <c r="B459" t="s">
        <v>1066</v>
      </c>
      <c r="C459" t="s">
        <v>135</v>
      </c>
      <c r="D459" t="s">
        <v>44</v>
      </c>
      <c r="E459" t="s">
        <v>45</v>
      </c>
      <c r="F459" t="s">
        <v>28</v>
      </c>
      <c r="H459" t="s">
        <v>1067</v>
      </c>
      <c r="I459" t="s">
        <v>30</v>
      </c>
      <c r="J459" t="s">
        <v>70</v>
      </c>
      <c r="K459" t="s">
        <v>32</v>
      </c>
      <c r="L459" t="s">
        <v>32</v>
      </c>
      <c r="N459" s="2">
        <v>45205.858252314814</v>
      </c>
      <c r="O459" s="2">
        <v>45380.166666666664</v>
      </c>
      <c r="P459" s="2">
        <v>45380.166666666664</v>
      </c>
      <c r="Q459" s="2">
        <v>45350</v>
      </c>
      <c r="R459" s="2">
        <v>45362.494256053244</v>
      </c>
      <c r="S459" t="s">
        <v>1068</v>
      </c>
      <c r="T459" s="2">
        <v>45306.208333333336</v>
      </c>
      <c r="U459" s="2">
        <v>45307.208333333336</v>
      </c>
      <c r="V459" s="2">
        <v>45307.208333333336</v>
      </c>
      <c r="W459" s="2">
        <v>45307.208333333336</v>
      </c>
      <c r="X459" s="3">
        <f t="shared" si="70"/>
        <v>1</v>
      </c>
      <c r="Y459">
        <f t="shared" si="71"/>
        <v>0</v>
      </c>
      <c r="Z459">
        <f t="shared" si="72"/>
        <v>1</v>
      </c>
      <c r="AA459">
        <f t="shared" si="73"/>
        <v>144.14174768518569</v>
      </c>
      <c r="AB459">
        <f t="shared" si="74"/>
        <v>143.14174768518569</v>
      </c>
      <c r="AC459">
        <f>IFERROR(_xlfn.XLOOKUP(B459, HoldSummary!$A:$A, HoldSummary!B:B), 0)</f>
        <v>0</v>
      </c>
      <c r="AD459">
        <f>IFERROR(_xlfn.XLOOKUP(B459, HoldSummary!$A:$A, HoldSummary!C:C), 0)</f>
        <v>0</v>
      </c>
      <c r="AE459">
        <f>IFERROR(_xlfn.XLOOKUP(B459, HoldSummary!$A:$A, HoldSummary!D:D), 0)</f>
        <v>0</v>
      </c>
      <c r="AF459">
        <f>IFERROR(_xlfn.XLOOKUP(B459, HoldSummary!$A:$A, HoldSummary!E:E), 0)</f>
        <v>0</v>
      </c>
      <c r="AG459">
        <f>IFERROR(_xlfn.XLOOKUP(B459, HoldSummary!$A:$A, HoldSummary!F:F), 0)</f>
        <v>0</v>
      </c>
      <c r="AH459">
        <f>IFERROR(_xlfn.XLOOKUP(B459, HoldSummary!$A:$A, HoldSummary!G:G), 0)</f>
        <v>0</v>
      </c>
      <c r="AI459">
        <f>IFERROR(_xlfn.XLOOKUP(B459, HoldSummary!$A:$A, HoldSummary!H:H), 0)</f>
        <v>0</v>
      </c>
      <c r="AJ459">
        <f>IFERROR(_xlfn.XLOOKUP(B459, HoldSummary!$A:$A, HoldSummary!I:I), 0)</f>
        <v>0</v>
      </c>
      <c r="AK459">
        <f t="shared" si="75"/>
        <v>0</v>
      </c>
      <c r="AL459">
        <f t="shared" si="76"/>
        <v>144.14174768518569</v>
      </c>
      <c r="AM459">
        <f t="shared" si="77"/>
        <v>143.14174768518569</v>
      </c>
      <c r="AN459" s="12">
        <f t="shared" si="78"/>
        <v>-30.166666666664241</v>
      </c>
      <c r="AO459">
        <f t="shared" si="79"/>
        <v>1</v>
      </c>
    </row>
    <row r="460" spans="1:41" x14ac:dyDescent="0.35">
      <c r="A460" t="s">
        <v>23</v>
      </c>
      <c r="B460" t="s">
        <v>1069</v>
      </c>
      <c r="C460" t="s">
        <v>76</v>
      </c>
      <c r="D460" t="s">
        <v>44</v>
      </c>
      <c r="E460" t="s">
        <v>45</v>
      </c>
      <c r="F460" t="s">
        <v>28</v>
      </c>
      <c r="H460" t="s">
        <v>1070</v>
      </c>
      <c r="I460" t="s">
        <v>30</v>
      </c>
      <c r="J460" t="s">
        <v>31</v>
      </c>
      <c r="K460" t="s">
        <v>32</v>
      </c>
      <c r="L460" t="s">
        <v>39</v>
      </c>
      <c r="N460" s="2">
        <v>45236.680254629631</v>
      </c>
      <c r="O460" s="2">
        <v>45317.208333333336</v>
      </c>
      <c r="P460" s="2">
        <v>45342.208333333336</v>
      </c>
      <c r="Q460" s="2">
        <v>45330</v>
      </c>
      <c r="R460" s="2">
        <v>45341.945419502314</v>
      </c>
      <c r="S460" t="s">
        <v>383</v>
      </c>
      <c r="T460" s="2">
        <v>45279.208333333336</v>
      </c>
      <c r="U460" s="2">
        <v>45282.208333333336</v>
      </c>
      <c r="V460" s="2">
        <v>45282.208333333336</v>
      </c>
      <c r="W460" s="2">
        <v>45310.208333333336</v>
      </c>
      <c r="X460" s="3">
        <f t="shared" si="70"/>
        <v>3</v>
      </c>
      <c r="Y460">
        <f t="shared" si="71"/>
        <v>28</v>
      </c>
      <c r="Z460">
        <f t="shared" si="72"/>
        <v>31</v>
      </c>
      <c r="AA460">
        <f t="shared" si="73"/>
        <v>93.319745370368764</v>
      </c>
      <c r="AB460">
        <f t="shared" si="74"/>
        <v>62.319745370368764</v>
      </c>
      <c r="AC460">
        <f>IFERROR(_xlfn.XLOOKUP(B460, HoldSummary!$A:$A, HoldSummary!B:B), 0)</f>
        <v>0</v>
      </c>
      <c r="AD460">
        <f>IFERROR(_xlfn.XLOOKUP(B460, HoldSummary!$A:$A, HoldSummary!C:C), 0)</f>
        <v>0</v>
      </c>
      <c r="AE460">
        <f>IFERROR(_xlfn.XLOOKUP(B460, HoldSummary!$A:$A, HoldSummary!D:D), 0)</f>
        <v>0</v>
      </c>
      <c r="AF460">
        <f>IFERROR(_xlfn.XLOOKUP(B460, HoldSummary!$A:$A, HoldSummary!E:E), 0)</f>
        <v>0</v>
      </c>
      <c r="AG460">
        <f>IFERROR(_xlfn.XLOOKUP(B460, HoldSummary!$A:$A, HoldSummary!F:F), 0)</f>
        <v>0</v>
      </c>
      <c r="AH460">
        <f>IFERROR(_xlfn.XLOOKUP(B460, HoldSummary!$A:$A, HoldSummary!G:G), 0)</f>
        <v>0</v>
      </c>
      <c r="AI460">
        <f>IFERROR(_xlfn.XLOOKUP(B460, HoldSummary!$A:$A, HoldSummary!H:H), 0)</f>
        <v>0</v>
      </c>
      <c r="AJ460">
        <f>IFERROR(_xlfn.XLOOKUP(B460, HoldSummary!$A:$A, HoldSummary!I:I), 0)</f>
        <v>0</v>
      </c>
      <c r="AK460">
        <f t="shared" si="75"/>
        <v>0</v>
      </c>
      <c r="AL460">
        <f t="shared" si="76"/>
        <v>93.319745370368764</v>
      </c>
      <c r="AM460">
        <f t="shared" si="77"/>
        <v>62.319745370368764</v>
      </c>
      <c r="AN460" s="12">
        <f t="shared" si="78"/>
        <v>12.791666666664241</v>
      </c>
      <c r="AO460">
        <f t="shared" si="79"/>
        <v>0</v>
      </c>
    </row>
    <row r="461" spans="1:41" x14ac:dyDescent="0.35">
      <c r="A461" t="s">
        <v>23</v>
      </c>
      <c r="B461" t="s">
        <v>1071</v>
      </c>
      <c r="C461" t="s">
        <v>135</v>
      </c>
      <c r="D461" t="s">
        <v>44</v>
      </c>
      <c r="E461" t="s">
        <v>45</v>
      </c>
      <c r="F461" t="s">
        <v>28</v>
      </c>
      <c r="H461" t="s">
        <v>1072</v>
      </c>
      <c r="I461" t="s">
        <v>30</v>
      </c>
      <c r="J461" t="s">
        <v>31</v>
      </c>
      <c r="K461" t="s">
        <v>32</v>
      </c>
      <c r="L461" t="s">
        <v>32</v>
      </c>
      <c r="N461" s="2">
        <v>45240.662395833337</v>
      </c>
      <c r="O461" s="2">
        <v>45371.166666666664</v>
      </c>
      <c r="P461" s="2">
        <v>45415.166666666664</v>
      </c>
      <c r="Q461" s="2">
        <v>45414</v>
      </c>
      <c r="R461" s="2">
        <v>45416.15436922454</v>
      </c>
      <c r="S461" t="s">
        <v>226</v>
      </c>
      <c r="T461" s="2">
        <v>45306.208333333336</v>
      </c>
      <c r="U461" s="2">
        <v>45314.208333333336</v>
      </c>
      <c r="V461" s="2">
        <v>45314.208333333336</v>
      </c>
      <c r="W461" s="2">
        <v>45324.208333333336</v>
      </c>
      <c r="X461" s="3">
        <f t="shared" si="70"/>
        <v>8</v>
      </c>
      <c r="Y461">
        <f t="shared" si="71"/>
        <v>10</v>
      </c>
      <c r="Z461">
        <f t="shared" si="72"/>
        <v>18</v>
      </c>
      <c r="AA461">
        <f t="shared" si="73"/>
        <v>173.33760416666337</v>
      </c>
      <c r="AB461">
        <f t="shared" si="74"/>
        <v>155.33760416666337</v>
      </c>
      <c r="AC461">
        <f>IFERROR(_xlfn.XLOOKUP(B461, HoldSummary!$A:$A, HoldSummary!B:B), 0)</f>
        <v>0</v>
      </c>
      <c r="AD461">
        <f>IFERROR(_xlfn.XLOOKUP(B461, HoldSummary!$A:$A, HoldSummary!C:C), 0)</f>
        <v>0</v>
      </c>
      <c r="AE461">
        <f>IFERROR(_xlfn.XLOOKUP(B461, HoldSummary!$A:$A, HoldSummary!D:D), 0)</f>
        <v>0</v>
      </c>
      <c r="AF461">
        <f>IFERROR(_xlfn.XLOOKUP(B461, HoldSummary!$A:$A, HoldSummary!E:E), 0)</f>
        <v>0</v>
      </c>
      <c r="AG461">
        <f>IFERROR(_xlfn.XLOOKUP(B461, HoldSummary!$A:$A, HoldSummary!F:F), 0)</f>
        <v>0</v>
      </c>
      <c r="AH461">
        <f>IFERROR(_xlfn.XLOOKUP(B461, HoldSummary!$A:$A, HoldSummary!G:G), 0)</f>
        <v>0</v>
      </c>
      <c r="AI461">
        <f>IFERROR(_xlfn.XLOOKUP(B461, HoldSummary!$A:$A, HoldSummary!H:H), 0)</f>
        <v>0</v>
      </c>
      <c r="AJ461">
        <f>IFERROR(_xlfn.XLOOKUP(B461, HoldSummary!$A:$A, HoldSummary!I:I), 0)</f>
        <v>0</v>
      </c>
      <c r="AK461">
        <f t="shared" si="75"/>
        <v>0</v>
      </c>
      <c r="AL461">
        <f t="shared" si="76"/>
        <v>173.33760416666337</v>
      </c>
      <c r="AM461">
        <f t="shared" si="77"/>
        <v>155.33760416666337</v>
      </c>
      <c r="AN461" s="12">
        <f t="shared" si="78"/>
        <v>42.833333333335759</v>
      </c>
      <c r="AO461">
        <f t="shared" si="79"/>
        <v>0</v>
      </c>
    </row>
    <row r="462" spans="1:41" x14ac:dyDescent="0.35">
      <c r="A462" t="s">
        <v>23</v>
      </c>
      <c r="B462" t="s">
        <v>1073</v>
      </c>
      <c r="C462" t="s">
        <v>135</v>
      </c>
      <c r="D462" t="s">
        <v>44</v>
      </c>
      <c r="E462" t="s">
        <v>45</v>
      </c>
      <c r="F462" t="s">
        <v>28</v>
      </c>
      <c r="H462" t="s">
        <v>1074</v>
      </c>
      <c r="I462" t="s">
        <v>30</v>
      </c>
      <c r="J462" t="s">
        <v>31</v>
      </c>
      <c r="K462" t="s">
        <v>32</v>
      </c>
      <c r="L462" t="s">
        <v>32</v>
      </c>
      <c r="N462" s="2">
        <v>45215.520995370367</v>
      </c>
      <c r="O462" s="2">
        <v>45397.166666666664</v>
      </c>
      <c r="P462" s="2">
        <v>45412.166666666664</v>
      </c>
      <c r="Q462" s="2">
        <v>45399</v>
      </c>
      <c r="R462" s="2">
        <v>45401.851181990743</v>
      </c>
      <c r="S462" t="s">
        <v>198</v>
      </c>
      <c r="T462" s="2">
        <v>45274.208333333336</v>
      </c>
      <c r="U462" s="2">
        <v>45310.208333333336</v>
      </c>
      <c r="V462" s="2">
        <v>45310.208333333336</v>
      </c>
      <c r="W462" s="2">
        <v>45394.166666666664</v>
      </c>
      <c r="X462" s="3">
        <f t="shared" si="70"/>
        <v>36</v>
      </c>
      <c r="Y462">
        <f t="shared" si="71"/>
        <v>83.958333333328483</v>
      </c>
      <c r="Z462">
        <f t="shared" si="72"/>
        <v>119.95833333332848</v>
      </c>
      <c r="AA462">
        <f t="shared" si="73"/>
        <v>183.47900462963298</v>
      </c>
      <c r="AB462">
        <f t="shared" si="74"/>
        <v>63.520671296304499</v>
      </c>
      <c r="AC462">
        <f>IFERROR(_xlfn.XLOOKUP(B462, HoldSummary!$A:$A, HoldSummary!B:B), 0)</f>
        <v>0</v>
      </c>
      <c r="AD462">
        <f>IFERROR(_xlfn.XLOOKUP(B462, HoldSummary!$A:$A, HoldSummary!C:C), 0)</f>
        <v>0</v>
      </c>
      <c r="AE462">
        <f>IFERROR(_xlfn.XLOOKUP(B462, HoldSummary!$A:$A, HoldSummary!D:D), 0)</f>
        <v>0</v>
      </c>
      <c r="AF462">
        <f>IFERROR(_xlfn.XLOOKUP(B462, HoldSummary!$A:$A, HoldSummary!E:E), 0)</f>
        <v>0</v>
      </c>
      <c r="AG462">
        <f>IFERROR(_xlfn.XLOOKUP(B462, HoldSummary!$A:$A, HoldSummary!F:F), 0)</f>
        <v>0</v>
      </c>
      <c r="AH462">
        <f>IFERROR(_xlfn.XLOOKUP(B462, HoldSummary!$A:$A, HoldSummary!G:G), 0)</f>
        <v>8</v>
      </c>
      <c r="AI462">
        <f>IFERROR(_xlfn.XLOOKUP(B462, HoldSummary!$A:$A, HoldSummary!H:H), 0)</f>
        <v>0</v>
      </c>
      <c r="AJ462">
        <f>IFERROR(_xlfn.XLOOKUP(B462, HoldSummary!$A:$A, HoldSummary!I:I), 0)</f>
        <v>0</v>
      </c>
      <c r="AK462">
        <f t="shared" si="75"/>
        <v>8</v>
      </c>
      <c r="AL462">
        <f t="shared" si="76"/>
        <v>175.47900462963298</v>
      </c>
      <c r="AM462">
        <f t="shared" si="77"/>
        <v>55.520671296304499</v>
      </c>
      <c r="AN462" s="12">
        <f t="shared" si="78"/>
        <v>1.8333333333357587</v>
      </c>
      <c r="AO462">
        <f t="shared" si="79"/>
        <v>0</v>
      </c>
    </row>
    <row r="463" spans="1:41" x14ac:dyDescent="0.35">
      <c r="A463" t="s">
        <v>23</v>
      </c>
      <c r="B463" t="s">
        <v>1075</v>
      </c>
      <c r="C463" t="s">
        <v>43</v>
      </c>
      <c r="D463" t="s">
        <v>44</v>
      </c>
      <c r="E463" t="s">
        <v>45</v>
      </c>
      <c r="F463" t="s">
        <v>28</v>
      </c>
      <c r="H463" t="s">
        <v>1076</v>
      </c>
      <c r="I463" t="s">
        <v>30</v>
      </c>
      <c r="J463" t="s">
        <v>31</v>
      </c>
      <c r="K463" t="s">
        <v>48</v>
      </c>
      <c r="L463" t="s">
        <v>695</v>
      </c>
      <c r="N463" s="2">
        <v>45293.657222222224</v>
      </c>
      <c r="O463" s="2">
        <v>45303.208333333336</v>
      </c>
      <c r="P463" s="2">
        <v>45303.208333333336</v>
      </c>
      <c r="Q463" s="2">
        <v>45301</v>
      </c>
      <c r="R463" s="2">
        <v>45301.80878579861</v>
      </c>
      <c r="T463" s="2">
        <v>45293.208333333336</v>
      </c>
      <c r="U463" s="2">
        <v>45293.208333333336</v>
      </c>
      <c r="V463" s="2">
        <v>45293.208333333336</v>
      </c>
      <c r="W463" s="2">
        <v>45293.208333333336</v>
      </c>
      <c r="X463" s="3">
        <f t="shared" si="70"/>
        <v>0</v>
      </c>
      <c r="Y463">
        <f t="shared" si="71"/>
        <v>0</v>
      </c>
      <c r="Z463">
        <f t="shared" si="72"/>
        <v>0</v>
      </c>
      <c r="AA463">
        <f t="shared" si="73"/>
        <v>7.3427777777760639</v>
      </c>
      <c r="AB463">
        <f t="shared" si="74"/>
        <v>7.3427777777760639</v>
      </c>
      <c r="AC463">
        <f>IFERROR(_xlfn.XLOOKUP(B463, HoldSummary!$A:$A, HoldSummary!B:B), 0)</f>
        <v>0</v>
      </c>
      <c r="AD463">
        <f>IFERROR(_xlfn.XLOOKUP(B463, HoldSummary!$A:$A, HoldSummary!C:C), 0)</f>
        <v>0</v>
      </c>
      <c r="AE463">
        <f>IFERROR(_xlfn.XLOOKUP(B463, HoldSummary!$A:$A, HoldSummary!D:D), 0)</f>
        <v>0</v>
      </c>
      <c r="AF463">
        <f>IFERROR(_xlfn.XLOOKUP(B463, HoldSummary!$A:$A, HoldSummary!E:E), 0)</f>
        <v>0</v>
      </c>
      <c r="AG463">
        <f>IFERROR(_xlfn.XLOOKUP(B463, HoldSummary!$A:$A, HoldSummary!F:F), 0)</f>
        <v>0</v>
      </c>
      <c r="AH463">
        <f>IFERROR(_xlfn.XLOOKUP(B463, HoldSummary!$A:$A, HoldSummary!G:G), 0)</f>
        <v>0</v>
      </c>
      <c r="AI463">
        <f>IFERROR(_xlfn.XLOOKUP(B463, HoldSummary!$A:$A, HoldSummary!H:H), 0)</f>
        <v>0</v>
      </c>
      <c r="AJ463">
        <f>IFERROR(_xlfn.XLOOKUP(B463, HoldSummary!$A:$A, HoldSummary!I:I), 0)</f>
        <v>0</v>
      </c>
      <c r="AK463">
        <f t="shared" si="75"/>
        <v>0</v>
      </c>
      <c r="AL463">
        <f t="shared" si="76"/>
        <v>7.3427777777760639</v>
      </c>
      <c r="AM463">
        <f t="shared" si="77"/>
        <v>7.3427777777760639</v>
      </c>
      <c r="AN463" s="12">
        <f t="shared" si="78"/>
        <v>-2.2083333333357587</v>
      </c>
      <c r="AO463">
        <f t="shared" si="79"/>
        <v>1</v>
      </c>
    </row>
    <row r="464" spans="1:41" x14ac:dyDescent="0.35">
      <c r="A464" t="s">
        <v>23</v>
      </c>
      <c r="B464" t="s">
        <v>1077</v>
      </c>
      <c r="C464" t="s">
        <v>135</v>
      </c>
      <c r="D464" t="s">
        <v>44</v>
      </c>
      <c r="E464" t="s">
        <v>45</v>
      </c>
      <c r="F464" t="s">
        <v>28</v>
      </c>
      <c r="H464" t="s">
        <v>1078</v>
      </c>
      <c r="I464" t="s">
        <v>30</v>
      </c>
      <c r="J464" t="s">
        <v>31</v>
      </c>
      <c r="K464" t="s">
        <v>32</v>
      </c>
      <c r="L464" t="s">
        <v>32</v>
      </c>
      <c r="N464" s="2">
        <v>45300.42591435185</v>
      </c>
      <c r="O464" s="2">
        <v>45345.208333333336</v>
      </c>
      <c r="P464" s="2">
        <v>45345.208333333336</v>
      </c>
      <c r="Q464" s="2">
        <v>45328</v>
      </c>
      <c r="R464" s="2">
        <v>45329.822951504633</v>
      </c>
      <c r="S464" t="s">
        <v>189</v>
      </c>
      <c r="T464" s="2"/>
      <c r="U464" s="2"/>
      <c r="V464" s="2"/>
      <c r="W464" s="2"/>
      <c r="X464" s="3" t="str">
        <f t="shared" si="70"/>
        <v/>
      </c>
      <c r="Y464" t="str">
        <f t="shared" si="71"/>
        <v/>
      </c>
      <c r="Z464">
        <f t="shared" si="72"/>
        <v>0</v>
      </c>
      <c r="AA464">
        <f t="shared" si="73"/>
        <v>27.574085648149776</v>
      </c>
      <c r="AB464">
        <f t="shared" si="74"/>
        <v>27.574085648149776</v>
      </c>
      <c r="AC464">
        <f>IFERROR(_xlfn.XLOOKUP(B464, HoldSummary!$A:$A, HoldSummary!B:B), 0)</f>
        <v>0</v>
      </c>
      <c r="AD464">
        <f>IFERROR(_xlfn.XLOOKUP(B464, HoldSummary!$A:$A, HoldSummary!C:C), 0)</f>
        <v>0</v>
      </c>
      <c r="AE464">
        <f>IFERROR(_xlfn.XLOOKUP(B464, HoldSummary!$A:$A, HoldSummary!D:D), 0)</f>
        <v>0</v>
      </c>
      <c r="AF464">
        <f>IFERROR(_xlfn.XLOOKUP(B464, HoldSummary!$A:$A, HoldSummary!E:E), 0)</f>
        <v>0</v>
      </c>
      <c r="AG464">
        <f>IFERROR(_xlfn.XLOOKUP(B464, HoldSummary!$A:$A, HoldSummary!F:F), 0)</f>
        <v>0</v>
      </c>
      <c r="AH464">
        <f>IFERROR(_xlfn.XLOOKUP(B464, HoldSummary!$A:$A, HoldSummary!G:G), 0)</f>
        <v>0</v>
      </c>
      <c r="AI464">
        <f>IFERROR(_xlfn.XLOOKUP(B464, HoldSummary!$A:$A, HoldSummary!H:H), 0)</f>
        <v>0</v>
      </c>
      <c r="AJ464">
        <f>IFERROR(_xlfn.XLOOKUP(B464, HoldSummary!$A:$A, HoldSummary!I:I), 0)</f>
        <v>0</v>
      </c>
      <c r="AK464">
        <f t="shared" si="75"/>
        <v>0</v>
      </c>
      <c r="AL464">
        <f t="shared" si="76"/>
        <v>27.574085648149776</v>
      </c>
      <c r="AM464">
        <f t="shared" si="77"/>
        <v>27.574085648149776</v>
      </c>
      <c r="AN464" s="12">
        <f t="shared" si="78"/>
        <v>-17.208333333335759</v>
      </c>
      <c r="AO464">
        <f t="shared" si="79"/>
        <v>1</v>
      </c>
    </row>
    <row r="465" spans="1:41" x14ac:dyDescent="0.35">
      <c r="A465" t="s">
        <v>23</v>
      </c>
      <c r="B465">
        <v>103703</v>
      </c>
      <c r="C465" t="s">
        <v>54</v>
      </c>
      <c r="D465" t="s">
        <v>44</v>
      </c>
      <c r="E465" t="s">
        <v>55</v>
      </c>
      <c r="F465" t="s">
        <v>28</v>
      </c>
      <c r="H465" t="s">
        <v>1079</v>
      </c>
      <c r="I465" t="s">
        <v>30</v>
      </c>
      <c r="J465" t="s">
        <v>31</v>
      </c>
      <c r="K465" t="s">
        <v>57</v>
      </c>
      <c r="L465" t="s">
        <v>58</v>
      </c>
      <c r="N465" s="2">
        <v>45317.208333333336</v>
      </c>
      <c r="O465" s="2">
        <v>45352.208333333336</v>
      </c>
      <c r="P465" s="2">
        <v>45352.208333333336</v>
      </c>
      <c r="Q465" s="2">
        <v>45342</v>
      </c>
      <c r="R465" s="2">
        <v>45344.844310023145</v>
      </c>
      <c r="T465" s="2">
        <v>45320.208333333336</v>
      </c>
      <c r="U465" s="2">
        <v>45321.208333333336</v>
      </c>
      <c r="V465" s="2">
        <v>45321.208333333336</v>
      </c>
      <c r="W465" s="2">
        <v>45337.208333333336</v>
      </c>
      <c r="X465" s="3">
        <f t="shared" si="70"/>
        <v>1</v>
      </c>
      <c r="Y465">
        <f t="shared" si="71"/>
        <v>16</v>
      </c>
      <c r="Z465">
        <f t="shared" si="72"/>
        <v>17</v>
      </c>
      <c r="AA465">
        <f t="shared" si="73"/>
        <v>24.791666666664241</v>
      </c>
      <c r="AB465">
        <f t="shared" si="74"/>
        <v>7.7916666666642413</v>
      </c>
      <c r="AC465">
        <f>IFERROR(_xlfn.XLOOKUP(B465, HoldSummary!$A:$A, HoldSummary!B:B), 0)</f>
        <v>0</v>
      </c>
      <c r="AD465">
        <f>IFERROR(_xlfn.XLOOKUP(B465, HoldSummary!$A:$A, HoldSummary!C:C), 0)</f>
        <v>0</v>
      </c>
      <c r="AE465">
        <f>IFERROR(_xlfn.XLOOKUP(B465, HoldSummary!$A:$A, HoldSummary!D:D), 0)</f>
        <v>0</v>
      </c>
      <c r="AF465">
        <f>IFERROR(_xlfn.XLOOKUP(B465, HoldSummary!$A:$A, HoldSummary!E:E), 0)</f>
        <v>0</v>
      </c>
      <c r="AG465">
        <f>IFERROR(_xlfn.XLOOKUP(B465, HoldSummary!$A:$A, HoldSummary!F:F), 0)</f>
        <v>0</v>
      </c>
      <c r="AH465">
        <f>IFERROR(_xlfn.XLOOKUP(B465, HoldSummary!$A:$A, HoldSummary!G:G), 0)</f>
        <v>0</v>
      </c>
      <c r="AI465">
        <f>IFERROR(_xlfn.XLOOKUP(B465, HoldSummary!$A:$A, HoldSummary!H:H), 0)</f>
        <v>0</v>
      </c>
      <c r="AJ465">
        <f>IFERROR(_xlfn.XLOOKUP(B465, HoldSummary!$A:$A, HoldSummary!I:I), 0)</f>
        <v>0</v>
      </c>
      <c r="AK465">
        <f t="shared" si="75"/>
        <v>0</v>
      </c>
      <c r="AL465">
        <f t="shared" si="76"/>
        <v>24.791666666664241</v>
      </c>
      <c r="AM465">
        <f t="shared" si="77"/>
        <v>7.7916666666642413</v>
      </c>
      <c r="AN465" s="12">
        <f t="shared" si="78"/>
        <v>-10.208333333335759</v>
      </c>
      <c r="AO465">
        <f t="shared" si="79"/>
        <v>1</v>
      </c>
    </row>
    <row r="466" spans="1:41" x14ac:dyDescent="0.35">
      <c r="A466" t="s">
        <v>23</v>
      </c>
      <c r="B466" t="s">
        <v>1080</v>
      </c>
      <c r="C466" t="s">
        <v>76</v>
      </c>
      <c r="D466" t="s">
        <v>44</v>
      </c>
      <c r="E466" t="s">
        <v>45</v>
      </c>
      <c r="F466" t="s">
        <v>28</v>
      </c>
      <c r="H466" t="s">
        <v>1081</v>
      </c>
      <c r="I466" t="s">
        <v>30</v>
      </c>
      <c r="J466" t="s">
        <v>31</v>
      </c>
      <c r="K466" t="s">
        <v>32</v>
      </c>
      <c r="L466" t="s">
        <v>39</v>
      </c>
      <c r="N466" s="2">
        <v>45320.68167824074</v>
      </c>
      <c r="O466" s="2">
        <v>45518.166666666664</v>
      </c>
      <c r="P466" s="2">
        <v>45580.166666666664</v>
      </c>
      <c r="Q466" s="2">
        <v>45576</v>
      </c>
      <c r="R466" s="2">
        <v>45579.733622083331</v>
      </c>
      <c r="S466" t="s">
        <v>834</v>
      </c>
      <c r="T466" s="2">
        <v>45463.166666666664</v>
      </c>
      <c r="U466" s="2">
        <v>45463.166666666664</v>
      </c>
      <c r="V466" s="2">
        <v>45463.166666666664</v>
      </c>
      <c r="W466" s="2">
        <v>45504.166666666664</v>
      </c>
      <c r="X466" s="3">
        <f t="shared" si="70"/>
        <v>0</v>
      </c>
      <c r="Y466">
        <f t="shared" si="71"/>
        <v>41</v>
      </c>
      <c r="Z466">
        <f t="shared" si="72"/>
        <v>41</v>
      </c>
      <c r="AA466">
        <f t="shared" si="73"/>
        <v>255.31832175925956</v>
      </c>
      <c r="AB466">
        <f t="shared" si="74"/>
        <v>214.31832175925956</v>
      </c>
      <c r="AC466">
        <f>IFERROR(_xlfn.XLOOKUP(B466, HoldSummary!$A:$A, HoldSummary!B:B), 0)</f>
        <v>0</v>
      </c>
      <c r="AD466">
        <f>IFERROR(_xlfn.XLOOKUP(B466, HoldSummary!$A:$A, HoldSummary!C:C), 0)</f>
        <v>0</v>
      </c>
      <c r="AE466">
        <f>IFERROR(_xlfn.XLOOKUP(B466, HoldSummary!$A:$A, HoldSummary!D:D), 0)</f>
        <v>0</v>
      </c>
      <c r="AF466">
        <f>IFERROR(_xlfn.XLOOKUP(B466, HoldSummary!$A:$A, HoldSummary!E:E), 0)</f>
        <v>0</v>
      </c>
      <c r="AG466">
        <f>IFERROR(_xlfn.XLOOKUP(B466, HoldSummary!$A:$A, HoldSummary!F:F), 0)</f>
        <v>0</v>
      </c>
      <c r="AH466">
        <f>IFERROR(_xlfn.XLOOKUP(B466, HoldSummary!$A:$A, HoldSummary!G:G), 0)</f>
        <v>0</v>
      </c>
      <c r="AI466">
        <f>IFERROR(_xlfn.XLOOKUP(B466, HoldSummary!$A:$A, HoldSummary!H:H), 0)</f>
        <v>0</v>
      </c>
      <c r="AJ466">
        <f>IFERROR(_xlfn.XLOOKUP(B466, HoldSummary!$A:$A, HoldSummary!I:I), 0)</f>
        <v>0</v>
      </c>
      <c r="AK466">
        <f t="shared" si="75"/>
        <v>0</v>
      </c>
      <c r="AL466">
        <f t="shared" si="76"/>
        <v>255.31832175925956</v>
      </c>
      <c r="AM466">
        <f t="shared" si="77"/>
        <v>214.31832175925956</v>
      </c>
      <c r="AN466" s="12">
        <f t="shared" si="78"/>
        <v>57.833333333335759</v>
      </c>
      <c r="AO466">
        <f t="shared" si="79"/>
        <v>0</v>
      </c>
    </row>
    <row r="467" spans="1:41" x14ac:dyDescent="0.35">
      <c r="A467" t="s">
        <v>23</v>
      </c>
      <c r="B467" t="s">
        <v>1082</v>
      </c>
      <c r="C467" t="s">
        <v>76</v>
      </c>
      <c r="D467" t="s">
        <v>44</v>
      </c>
      <c r="E467" t="s">
        <v>45</v>
      </c>
      <c r="F467" t="s">
        <v>28</v>
      </c>
      <c r="H467" t="s">
        <v>1083</v>
      </c>
      <c r="I467" t="s">
        <v>30</v>
      </c>
      <c r="J467" t="s">
        <v>31</v>
      </c>
      <c r="K467" t="s">
        <v>38</v>
      </c>
      <c r="L467" t="s">
        <v>39</v>
      </c>
      <c r="N467" s="2">
        <v>45323.690798611111</v>
      </c>
      <c r="O467" s="2">
        <v>45574.166666666664</v>
      </c>
      <c r="P467" s="2">
        <v>45593.166666666664</v>
      </c>
      <c r="Q467" s="2">
        <v>45587</v>
      </c>
      <c r="R467" s="2">
        <v>45587.685273391202</v>
      </c>
      <c r="T467" s="2">
        <v>45330.208333333336</v>
      </c>
      <c r="U467" s="2">
        <v>45420.166666666664</v>
      </c>
      <c r="V467" s="2">
        <v>45420.166666666664</v>
      </c>
      <c r="W467" s="2">
        <v>45496.166666666664</v>
      </c>
      <c r="X467" s="3">
        <f t="shared" si="70"/>
        <v>89.958333333328483</v>
      </c>
      <c r="Y467">
        <f t="shared" si="71"/>
        <v>76</v>
      </c>
      <c r="Z467">
        <f t="shared" si="72"/>
        <v>165.95833333332848</v>
      </c>
      <c r="AA467">
        <f t="shared" si="73"/>
        <v>263.30920138888905</v>
      </c>
      <c r="AB467">
        <f t="shared" si="74"/>
        <v>97.350868055560568</v>
      </c>
      <c r="AC467">
        <f>IFERROR(_xlfn.XLOOKUP(B467, HoldSummary!$A:$A, HoldSummary!B:B), 0)</f>
        <v>0</v>
      </c>
      <c r="AD467">
        <f>IFERROR(_xlfn.XLOOKUP(B467, HoldSummary!$A:$A, HoldSummary!C:C), 0)</f>
        <v>0</v>
      </c>
      <c r="AE467">
        <f>IFERROR(_xlfn.XLOOKUP(B467, HoldSummary!$A:$A, HoldSummary!D:D), 0)</f>
        <v>0</v>
      </c>
      <c r="AF467">
        <f>IFERROR(_xlfn.XLOOKUP(B467, HoldSummary!$A:$A, HoldSummary!E:E), 0)</f>
        <v>0</v>
      </c>
      <c r="AG467">
        <f>IFERROR(_xlfn.XLOOKUP(B467, HoldSummary!$A:$A, HoldSummary!F:F), 0)</f>
        <v>0</v>
      </c>
      <c r="AH467">
        <f>IFERROR(_xlfn.XLOOKUP(B467, HoldSummary!$A:$A, HoldSummary!G:G), 0)</f>
        <v>13</v>
      </c>
      <c r="AI467">
        <f>IFERROR(_xlfn.XLOOKUP(B467, HoldSummary!$A:$A, HoldSummary!H:H), 0)</f>
        <v>0</v>
      </c>
      <c r="AJ467">
        <f>IFERROR(_xlfn.XLOOKUP(B467, HoldSummary!$A:$A, HoldSummary!I:I), 0)</f>
        <v>0</v>
      </c>
      <c r="AK467">
        <f t="shared" si="75"/>
        <v>13</v>
      </c>
      <c r="AL467">
        <f t="shared" si="76"/>
        <v>250.30920138888905</v>
      </c>
      <c r="AM467">
        <f t="shared" si="77"/>
        <v>84.350868055560568</v>
      </c>
      <c r="AN467" s="12">
        <f t="shared" si="78"/>
        <v>12.833333333335759</v>
      </c>
      <c r="AO467">
        <f t="shared" si="79"/>
        <v>0</v>
      </c>
    </row>
    <row r="468" spans="1:41" x14ac:dyDescent="0.35">
      <c r="A468" t="s">
        <v>23</v>
      </c>
      <c r="B468" t="s">
        <v>1084</v>
      </c>
      <c r="C468" t="s">
        <v>43</v>
      </c>
      <c r="D468" t="s">
        <v>44</v>
      </c>
      <c r="E468" t="s">
        <v>45</v>
      </c>
      <c r="F468" t="s">
        <v>28</v>
      </c>
      <c r="H468" t="s">
        <v>1085</v>
      </c>
      <c r="I468" t="s">
        <v>30</v>
      </c>
      <c r="J468" t="s">
        <v>31</v>
      </c>
      <c r="K468" t="s">
        <v>48</v>
      </c>
      <c r="L468" t="s">
        <v>695</v>
      </c>
      <c r="N468" s="2">
        <v>45322.874039351853</v>
      </c>
      <c r="O468" s="2">
        <v>45378.166666666664</v>
      </c>
      <c r="P468" s="2">
        <v>45378.166666666664</v>
      </c>
      <c r="Q468" s="2">
        <v>45378</v>
      </c>
      <c r="R468" s="2">
        <v>45378.885276331021</v>
      </c>
      <c r="S468" t="s">
        <v>399</v>
      </c>
      <c r="T468" s="2">
        <v>45328.208333333336</v>
      </c>
      <c r="U468" s="2">
        <v>45371.166666666664</v>
      </c>
      <c r="V468" s="2">
        <v>45371.166666666664</v>
      </c>
      <c r="W468" s="2">
        <v>45371.166666666664</v>
      </c>
      <c r="X468" s="3">
        <f t="shared" si="70"/>
        <v>42.958333333328483</v>
      </c>
      <c r="Y468">
        <f t="shared" si="71"/>
        <v>0</v>
      </c>
      <c r="Z468">
        <f t="shared" si="72"/>
        <v>42.958333333328483</v>
      </c>
      <c r="AA468">
        <f t="shared" si="73"/>
        <v>55.125960648147156</v>
      </c>
      <c r="AB468">
        <f t="shared" si="74"/>
        <v>12.167627314818674</v>
      </c>
      <c r="AC468">
        <f>IFERROR(_xlfn.XLOOKUP(B468, HoldSummary!$A:$A, HoldSummary!B:B), 0)</f>
        <v>0</v>
      </c>
      <c r="AD468">
        <f>IFERROR(_xlfn.XLOOKUP(B468, HoldSummary!$A:$A, HoldSummary!C:C), 0)</f>
        <v>0</v>
      </c>
      <c r="AE468">
        <f>IFERROR(_xlfn.XLOOKUP(B468, HoldSummary!$A:$A, HoldSummary!D:D), 0)</f>
        <v>0</v>
      </c>
      <c r="AF468">
        <f>IFERROR(_xlfn.XLOOKUP(B468, HoldSummary!$A:$A, HoldSummary!E:E), 0)</f>
        <v>0</v>
      </c>
      <c r="AG468">
        <f>IFERROR(_xlfn.XLOOKUP(B468, HoldSummary!$A:$A, HoldSummary!F:F), 0)</f>
        <v>0</v>
      </c>
      <c r="AH468">
        <f>IFERROR(_xlfn.XLOOKUP(B468, HoldSummary!$A:$A, HoldSummary!G:G), 0)</f>
        <v>27.723012615744665</v>
      </c>
      <c r="AI468">
        <f>IFERROR(_xlfn.XLOOKUP(B468, HoldSummary!$A:$A, HoldSummary!H:H), 0)</f>
        <v>0</v>
      </c>
      <c r="AJ468">
        <f>IFERROR(_xlfn.XLOOKUP(B468, HoldSummary!$A:$A, HoldSummary!I:I), 0)</f>
        <v>0</v>
      </c>
      <c r="AK468">
        <f t="shared" si="75"/>
        <v>27.723012615744665</v>
      </c>
      <c r="AL468">
        <f t="shared" si="76"/>
        <v>27.402948032402492</v>
      </c>
      <c r="AM468">
        <f t="shared" si="77"/>
        <v>-15.555385300925991</v>
      </c>
      <c r="AN468" s="12">
        <f t="shared" si="78"/>
        <v>-0.16666666666424135</v>
      </c>
      <c r="AO468">
        <f t="shared" si="79"/>
        <v>1</v>
      </c>
    </row>
    <row r="469" spans="1:41" x14ac:dyDescent="0.35">
      <c r="A469" t="s">
        <v>23</v>
      </c>
      <c r="B469" t="s">
        <v>1086</v>
      </c>
      <c r="C469" t="s">
        <v>43</v>
      </c>
      <c r="D469" t="s">
        <v>44</v>
      </c>
      <c r="E469" t="s">
        <v>44</v>
      </c>
      <c r="F469" t="s">
        <v>28</v>
      </c>
      <c r="H469" t="s">
        <v>1087</v>
      </c>
      <c r="I469" t="s">
        <v>30</v>
      </c>
      <c r="J469" t="s">
        <v>70</v>
      </c>
      <c r="K469" t="s">
        <v>174</v>
      </c>
      <c r="L469" t="s">
        <v>174</v>
      </c>
      <c r="N469" s="2">
        <v>45329.208333333336</v>
      </c>
      <c r="O469" s="2">
        <v>45373.166666666664</v>
      </c>
      <c r="P469" s="2">
        <v>45421.166666666664</v>
      </c>
      <c r="Q469" s="2">
        <v>45413</v>
      </c>
      <c r="R469" s="2">
        <v>45420.536484502314</v>
      </c>
      <c r="S469" t="s">
        <v>1088</v>
      </c>
      <c r="T469" s="2">
        <v>45385.166666666664</v>
      </c>
      <c r="U469" s="2">
        <v>45387.166666666664</v>
      </c>
      <c r="V469" s="2">
        <v>45387.166666666664</v>
      </c>
      <c r="W469" s="2">
        <v>45390.166666666664</v>
      </c>
      <c r="X469" s="3">
        <f t="shared" si="70"/>
        <v>2</v>
      </c>
      <c r="Y469">
        <f t="shared" si="71"/>
        <v>3</v>
      </c>
      <c r="Z469">
        <f t="shared" si="72"/>
        <v>5</v>
      </c>
      <c r="AA469">
        <f t="shared" si="73"/>
        <v>83.791666666664241</v>
      </c>
      <c r="AB469">
        <f t="shared" si="74"/>
        <v>78.791666666664241</v>
      </c>
      <c r="AC469">
        <f>IFERROR(_xlfn.XLOOKUP(B469, HoldSummary!$A:$A, HoldSummary!B:B), 0)</f>
        <v>0</v>
      </c>
      <c r="AD469">
        <f>IFERROR(_xlfn.XLOOKUP(B469, HoldSummary!$A:$A, HoldSummary!C:C), 0)</f>
        <v>0</v>
      </c>
      <c r="AE469">
        <f>IFERROR(_xlfn.XLOOKUP(B469, HoldSummary!$A:$A, HoldSummary!D:D), 0)</f>
        <v>0</v>
      </c>
      <c r="AF469">
        <f>IFERROR(_xlfn.XLOOKUP(B469, HoldSummary!$A:$A, HoldSummary!E:E), 0)</f>
        <v>0</v>
      </c>
      <c r="AG469">
        <f>IFERROR(_xlfn.XLOOKUP(B469, HoldSummary!$A:$A, HoldSummary!F:F), 0)</f>
        <v>0</v>
      </c>
      <c r="AH469">
        <f>IFERROR(_xlfn.XLOOKUP(B469, HoldSummary!$A:$A, HoldSummary!G:G), 0)</f>
        <v>0</v>
      </c>
      <c r="AI469">
        <f>IFERROR(_xlfn.XLOOKUP(B469, HoldSummary!$A:$A, HoldSummary!H:H), 0)</f>
        <v>0</v>
      </c>
      <c r="AJ469">
        <f>IFERROR(_xlfn.XLOOKUP(B469, HoldSummary!$A:$A, HoldSummary!I:I), 0)</f>
        <v>0</v>
      </c>
      <c r="AK469">
        <f t="shared" si="75"/>
        <v>0</v>
      </c>
      <c r="AL469">
        <f t="shared" si="76"/>
        <v>83.791666666664241</v>
      </c>
      <c r="AM469">
        <f t="shared" si="77"/>
        <v>78.791666666664241</v>
      </c>
      <c r="AN469" s="12">
        <f t="shared" si="78"/>
        <v>39.833333333335759</v>
      </c>
      <c r="AO469">
        <f t="shared" si="79"/>
        <v>0</v>
      </c>
    </row>
    <row r="470" spans="1:41" x14ac:dyDescent="0.35">
      <c r="A470" t="s">
        <v>23</v>
      </c>
      <c r="B470" t="s">
        <v>1089</v>
      </c>
      <c r="C470" t="s">
        <v>43</v>
      </c>
      <c r="D470" t="s">
        <v>44</v>
      </c>
      <c r="E470" t="s">
        <v>44</v>
      </c>
      <c r="F470" t="s">
        <v>28</v>
      </c>
      <c r="H470" t="s">
        <v>1090</v>
      </c>
      <c r="I470" t="s">
        <v>30</v>
      </c>
      <c r="J470" t="s">
        <v>70</v>
      </c>
      <c r="K470" t="s">
        <v>38</v>
      </c>
      <c r="L470" t="s">
        <v>53</v>
      </c>
      <c r="N470" s="2">
        <v>45313.208333333336</v>
      </c>
      <c r="O470" s="2">
        <v>45380.166666666664</v>
      </c>
      <c r="P470" s="2">
        <v>45462.166666666664</v>
      </c>
      <c r="Q470" s="2">
        <v>45461</v>
      </c>
      <c r="R470" s="2">
        <v>45464.743382905093</v>
      </c>
      <c r="S470" t="s">
        <v>1091</v>
      </c>
      <c r="T470" s="2">
        <v>45364.166666666664</v>
      </c>
      <c r="U470" s="2">
        <v>45422.166666666664</v>
      </c>
      <c r="V470" s="2">
        <v>45422.166666666664</v>
      </c>
      <c r="W470" s="2">
        <v>45443.166666666664</v>
      </c>
      <c r="X470" s="3">
        <f t="shared" si="70"/>
        <v>58</v>
      </c>
      <c r="Y470">
        <f t="shared" si="71"/>
        <v>21</v>
      </c>
      <c r="Z470">
        <f t="shared" si="72"/>
        <v>79</v>
      </c>
      <c r="AA470">
        <f t="shared" si="73"/>
        <v>147.79166666666424</v>
      </c>
      <c r="AB470">
        <f t="shared" si="74"/>
        <v>68.791666666664241</v>
      </c>
      <c r="AC470">
        <f>IFERROR(_xlfn.XLOOKUP(B470, HoldSummary!$A:$A, HoldSummary!B:B), 0)</f>
        <v>0</v>
      </c>
      <c r="AD470">
        <f>IFERROR(_xlfn.XLOOKUP(B470, HoldSummary!$A:$A, HoldSummary!C:C), 0)</f>
        <v>0</v>
      </c>
      <c r="AE470">
        <f>IFERROR(_xlfn.XLOOKUP(B470, HoldSummary!$A:$A, HoldSummary!D:D), 0)</f>
        <v>0</v>
      </c>
      <c r="AF470">
        <f>IFERROR(_xlfn.XLOOKUP(B470, HoldSummary!$A:$A, HoldSummary!E:E), 0)</f>
        <v>0</v>
      </c>
      <c r="AG470">
        <f>IFERROR(_xlfn.XLOOKUP(B470, HoldSummary!$A:$A, HoldSummary!F:F), 0)</f>
        <v>0</v>
      </c>
      <c r="AH470">
        <f>IFERROR(_xlfn.XLOOKUP(B470, HoldSummary!$A:$A, HoldSummary!G:G), 0)</f>
        <v>0</v>
      </c>
      <c r="AI470">
        <f>IFERROR(_xlfn.XLOOKUP(B470, HoldSummary!$A:$A, HoldSummary!H:H), 0)</f>
        <v>0</v>
      </c>
      <c r="AJ470">
        <f>IFERROR(_xlfn.XLOOKUP(B470, HoldSummary!$A:$A, HoldSummary!I:I), 0)</f>
        <v>0</v>
      </c>
      <c r="AK470">
        <f t="shared" si="75"/>
        <v>0</v>
      </c>
      <c r="AL470">
        <f t="shared" si="76"/>
        <v>147.79166666666424</v>
      </c>
      <c r="AM470">
        <f t="shared" si="77"/>
        <v>68.791666666664241</v>
      </c>
      <c r="AN470" s="12">
        <f t="shared" si="78"/>
        <v>80.833333333335759</v>
      </c>
      <c r="AO470">
        <f t="shared" si="79"/>
        <v>0</v>
      </c>
    </row>
    <row r="471" spans="1:41" x14ac:dyDescent="0.35">
      <c r="A471" t="s">
        <v>23</v>
      </c>
      <c r="B471" t="s">
        <v>1092</v>
      </c>
      <c r="C471" t="s">
        <v>51</v>
      </c>
      <c r="D471" t="s">
        <v>44</v>
      </c>
      <c r="E471" t="s">
        <v>45</v>
      </c>
      <c r="F471" t="s">
        <v>28</v>
      </c>
      <c r="H471" t="s">
        <v>1093</v>
      </c>
      <c r="I471" t="s">
        <v>30</v>
      </c>
      <c r="J471" t="s">
        <v>31</v>
      </c>
      <c r="K471" t="s">
        <v>174</v>
      </c>
      <c r="L471" t="s">
        <v>174</v>
      </c>
      <c r="M471" t="s">
        <v>33</v>
      </c>
      <c r="N471" s="2">
        <v>45334.632395833331</v>
      </c>
      <c r="O471" s="2">
        <v>45399.166666666664</v>
      </c>
      <c r="P471" s="2">
        <v>45639.208333333336</v>
      </c>
      <c r="Q471" s="2">
        <v>45622</v>
      </c>
      <c r="R471" s="2">
        <v>45628.655859918981</v>
      </c>
      <c r="S471" t="s">
        <v>1094</v>
      </c>
      <c r="T471" s="2">
        <v>45586.166666666664</v>
      </c>
      <c r="U471" s="2">
        <v>45586.166666666664</v>
      </c>
      <c r="V471" s="2">
        <v>45586.166666666664</v>
      </c>
      <c r="W471" s="2">
        <v>45601.208333333336</v>
      </c>
      <c r="X471" s="3">
        <f t="shared" si="70"/>
        <v>0</v>
      </c>
      <c r="Y471">
        <f t="shared" si="71"/>
        <v>15.041666666671517</v>
      </c>
      <c r="Z471">
        <f t="shared" si="72"/>
        <v>15.041666666671517</v>
      </c>
      <c r="AA471">
        <f t="shared" si="73"/>
        <v>287.36760416666948</v>
      </c>
      <c r="AB471">
        <f t="shared" si="74"/>
        <v>272.32593749999796</v>
      </c>
      <c r="AC471">
        <f>IFERROR(_xlfn.XLOOKUP(B471, HoldSummary!$A:$A, HoldSummary!B:B), 0)</f>
        <v>0</v>
      </c>
      <c r="AD471">
        <f>IFERROR(_xlfn.XLOOKUP(B471, HoldSummary!$A:$A, HoldSummary!C:C), 0)</f>
        <v>0</v>
      </c>
      <c r="AE471">
        <f>IFERROR(_xlfn.XLOOKUP(B471, HoldSummary!$A:$A, HoldSummary!D:D), 0)</f>
        <v>0</v>
      </c>
      <c r="AF471">
        <f>IFERROR(_xlfn.XLOOKUP(B471, HoldSummary!$A:$A, HoldSummary!E:E), 0)</f>
        <v>0</v>
      </c>
      <c r="AG471">
        <f>IFERROR(_xlfn.XLOOKUP(B471, HoldSummary!$A:$A, HoldSummary!F:F), 0)</f>
        <v>161</v>
      </c>
      <c r="AH471">
        <f>IFERROR(_xlfn.XLOOKUP(B471, HoldSummary!$A:$A, HoldSummary!G:G), 0)</f>
        <v>0</v>
      </c>
      <c r="AI471">
        <f>IFERROR(_xlfn.XLOOKUP(B471, HoldSummary!$A:$A, HoldSummary!H:H), 0)</f>
        <v>0</v>
      </c>
      <c r="AJ471">
        <f>IFERROR(_xlfn.XLOOKUP(B471, HoldSummary!$A:$A, HoldSummary!I:I), 0)</f>
        <v>0</v>
      </c>
      <c r="AK471">
        <f t="shared" si="75"/>
        <v>161</v>
      </c>
      <c r="AL471">
        <f t="shared" si="76"/>
        <v>126.36760416666948</v>
      </c>
      <c r="AM471">
        <f t="shared" si="77"/>
        <v>111.32593749999796</v>
      </c>
      <c r="AN471" s="12">
        <f t="shared" si="78"/>
        <v>222.83333333333576</v>
      </c>
      <c r="AO471">
        <f t="shared" si="79"/>
        <v>0</v>
      </c>
    </row>
    <row r="472" spans="1:41" x14ac:dyDescent="0.35">
      <c r="A472" t="s">
        <v>23</v>
      </c>
      <c r="B472" t="s">
        <v>1095</v>
      </c>
      <c r="C472" t="s">
        <v>43</v>
      </c>
      <c r="D472" t="s">
        <v>44</v>
      </c>
      <c r="E472" t="s">
        <v>44</v>
      </c>
      <c r="F472" t="s">
        <v>28</v>
      </c>
      <c r="H472" t="s">
        <v>1096</v>
      </c>
      <c r="I472" t="s">
        <v>30</v>
      </c>
      <c r="J472" t="s">
        <v>70</v>
      </c>
      <c r="K472" t="s">
        <v>48</v>
      </c>
      <c r="L472" t="s">
        <v>185</v>
      </c>
      <c r="N472" s="2">
        <v>45344.208333333336</v>
      </c>
      <c r="O472" s="2">
        <v>45450.166666666664</v>
      </c>
      <c r="P472" s="2">
        <v>45439.166666666664</v>
      </c>
      <c r="Q472" s="2">
        <v>45436</v>
      </c>
      <c r="R472" s="2">
        <v>45436.720077349535</v>
      </c>
      <c r="T472" s="2">
        <v>45371.166666666664</v>
      </c>
      <c r="U472" s="2">
        <v>45397.166666666664</v>
      </c>
      <c r="V472" s="2">
        <v>45397.166666666664</v>
      </c>
      <c r="W472" s="2">
        <v>45404.166666666664</v>
      </c>
      <c r="X472" s="3">
        <f t="shared" si="70"/>
        <v>26</v>
      </c>
      <c r="Y472">
        <f t="shared" si="71"/>
        <v>7</v>
      </c>
      <c r="Z472">
        <f t="shared" si="72"/>
        <v>33</v>
      </c>
      <c r="AA472">
        <f t="shared" si="73"/>
        <v>91.791666666664241</v>
      </c>
      <c r="AB472">
        <f t="shared" si="74"/>
        <v>58.791666666664241</v>
      </c>
      <c r="AC472">
        <f>IFERROR(_xlfn.XLOOKUP(B472, HoldSummary!$A:$A, HoldSummary!B:B), 0)</f>
        <v>0</v>
      </c>
      <c r="AD472">
        <f>IFERROR(_xlfn.XLOOKUP(B472, HoldSummary!$A:$A, HoldSummary!C:C), 0)</f>
        <v>0</v>
      </c>
      <c r="AE472">
        <f>IFERROR(_xlfn.XLOOKUP(B472, HoldSummary!$A:$A, HoldSummary!D:D), 0)</f>
        <v>0</v>
      </c>
      <c r="AF472">
        <f>IFERROR(_xlfn.XLOOKUP(B472, HoldSummary!$A:$A, HoldSummary!E:E), 0)</f>
        <v>0</v>
      </c>
      <c r="AG472">
        <f>IFERROR(_xlfn.XLOOKUP(B472, HoldSummary!$A:$A, HoldSummary!F:F), 0)</f>
        <v>0</v>
      </c>
      <c r="AH472">
        <f>IFERROR(_xlfn.XLOOKUP(B472, HoldSummary!$A:$A, HoldSummary!G:G), 0)</f>
        <v>0</v>
      </c>
      <c r="AI472">
        <f>IFERROR(_xlfn.XLOOKUP(B472, HoldSummary!$A:$A, HoldSummary!H:H), 0)</f>
        <v>0</v>
      </c>
      <c r="AJ472">
        <f>IFERROR(_xlfn.XLOOKUP(B472, HoldSummary!$A:$A, HoldSummary!I:I), 0)</f>
        <v>0</v>
      </c>
      <c r="AK472">
        <f t="shared" si="75"/>
        <v>0</v>
      </c>
      <c r="AL472">
        <f t="shared" si="76"/>
        <v>91.791666666664241</v>
      </c>
      <c r="AM472">
        <f t="shared" si="77"/>
        <v>58.791666666664241</v>
      </c>
      <c r="AN472" s="12">
        <f t="shared" si="78"/>
        <v>-14.166666666664241</v>
      </c>
      <c r="AO472">
        <f t="shared" si="79"/>
        <v>1</v>
      </c>
    </row>
    <row r="473" spans="1:41" x14ac:dyDescent="0.35">
      <c r="A473" t="s">
        <v>23</v>
      </c>
      <c r="B473" t="s">
        <v>1097</v>
      </c>
      <c r="C473" t="s">
        <v>43</v>
      </c>
      <c r="D473" t="s">
        <v>44</v>
      </c>
      <c r="E473" t="s">
        <v>45</v>
      </c>
      <c r="F473" t="s">
        <v>28</v>
      </c>
      <c r="H473" t="s">
        <v>1098</v>
      </c>
      <c r="I473" t="s">
        <v>30</v>
      </c>
      <c r="J473" t="s">
        <v>31</v>
      </c>
      <c r="K473" t="s">
        <v>48</v>
      </c>
      <c r="L473" t="s">
        <v>695</v>
      </c>
      <c r="N473" s="2">
        <v>45357.842847222222</v>
      </c>
      <c r="O473" s="2">
        <v>45378.166666666664</v>
      </c>
      <c r="P473" s="2">
        <v>45378.166666666664</v>
      </c>
      <c r="Q473" s="2">
        <v>45379</v>
      </c>
      <c r="R473" s="2">
        <v>45379.794786921295</v>
      </c>
      <c r="T473" s="2">
        <v>45364.166666666664</v>
      </c>
      <c r="U473" s="2">
        <v>45366.166666666664</v>
      </c>
      <c r="V473" s="2">
        <v>45366.166666666664</v>
      </c>
      <c r="W473" s="2">
        <v>45366.166666666664</v>
      </c>
      <c r="X473" s="3">
        <f t="shared" si="70"/>
        <v>2</v>
      </c>
      <c r="Y473">
        <f t="shared" si="71"/>
        <v>0</v>
      </c>
      <c r="Z473">
        <f t="shared" si="72"/>
        <v>2</v>
      </c>
      <c r="AA473">
        <f t="shared" si="73"/>
        <v>21.15715277777781</v>
      </c>
      <c r="AB473">
        <f t="shared" si="74"/>
        <v>19.15715277777781</v>
      </c>
      <c r="AC473">
        <f>IFERROR(_xlfn.XLOOKUP(B473, HoldSummary!$A:$A, HoldSummary!B:B), 0)</f>
        <v>0</v>
      </c>
      <c r="AD473">
        <f>IFERROR(_xlfn.XLOOKUP(B473, HoldSummary!$A:$A, HoldSummary!C:C), 0)</f>
        <v>0</v>
      </c>
      <c r="AE473">
        <f>IFERROR(_xlfn.XLOOKUP(B473, HoldSummary!$A:$A, HoldSummary!D:D), 0)</f>
        <v>0</v>
      </c>
      <c r="AF473">
        <f>IFERROR(_xlfn.XLOOKUP(B473, HoldSummary!$A:$A, HoldSummary!E:E), 0)</f>
        <v>0</v>
      </c>
      <c r="AG473">
        <f>IFERROR(_xlfn.XLOOKUP(B473, HoldSummary!$A:$A, HoldSummary!F:F), 0)</f>
        <v>0</v>
      </c>
      <c r="AH473">
        <f>IFERROR(_xlfn.XLOOKUP(B473, HoldSummary!$A:$A, HoldSummary!G:G), 0)</f>
        <v>0</v>
      </c>
      <c r="AI473">
        <f>IFERROR(_xlfn.XLOOKUP(B473, HoldSummary!$A:$A, HoldSummary!H:H), 0)</f>
        <v>0</v>
      </c>
      <c r="AJ473">
        <f>IFERROR(_xlfn.XLOOKUP(B473, HoldSummary!$A:$A, HoldSummary!I:I), 0)</f>
        <v>0</v>
      </c>
      <c r="AK473">
        <f t="shared" si="75"/>
        <v>0</v>
      </c>
      <c r="AL473">
        <f t="shared" si="76"/>
        <v>21.15715277777781</v>
      </c>
      <c r="AM473">
        <f t="shared" si="77"/>
        <v>19.15715277777781</v>
      </c>
      <c r="AN473" s="12">
        <f t="shared" si="78"/>
        <v>0.83333333333575865</v>
      </c>
      <c r="AO473">
        <f t="shared" si="79"/>
        <v>0</v>
      </c>
    </row>
    <row r="474" spans="1:41" x14ac:dyDescent="0.35">
      <c r="A474" t="s">
        <v>23</v>
      </c>
      <c r="B474" t="s">
        <v>1099</v>
      </c>
      <c r="C474" t="s">
        <v>244</v>
      </c>
      <c r="D474" t="s">
        <v>44</v>
      </c>
      <c r="E474" t="s">
        <v>45</v>
      </c>
      <c r="F474" t="s">
        <v>28</v>
      </c>
      <c r="H474" t="s">
        <v>1100</v>
      </c>
      <c r="I474" t="s">
        <v>30</v>
      </c>
      <c r="J474" t="s">
        <v>31</v>
      </c>
      <c r="K474" t="s">
        <v>38</v>
      </c>
      <c r="L474" t="s">
        <v>39</v>
      </c>
      <c r="N474" s="2">
        <v>45224.378194444442</v>
      </c>
      <c r="O474" s="2">
        <v>45588.166666666664</v>
      </c>
      <c r="P474" s="2">
        <v>45601.208333333336</v>
      </c>
      <c r="Q474" s="2">
        <v>45581</v>
      </c>
      <c r="R474" s="2">
        <v>45582.076316736115</v>
      </c>
      <c r="S474" t="s">
        <v>657</v>
      </c>
      <c r="T474" s="2">
        <v>45435.166666666664</v>
      </c>
      <c r="U474" s="2">
        <v>45566.166666666664</v>
      </c>
      <c r="V474" s="2">
        <v>45566.166666666664</v>
      </c>
      <c r="W474" s="2">
        <v>45569.166666666664</v>
      </c>
      <c r="X474" s="3">
        <f t="shared" si="70"/>
        <v>131</v>
      </c>
      <c r="Y474">
        <f t="shared" si="71"/>
        <v>3</v>
      </c>
      <c r="Z474">
        <f t="shared" si="72"/>
        <v>134</v>
      </c>
      <c r="AA474">
        <f t="shared" si="73"/>
        <v>356.62180555555824</v>
      </c>
      <c r="AB474">
        <f t="shared" si="74"/>
        <v>222.62180555555824</v>
      </c>
      <c r="AC474">
        <f>IFERROR(_xlfn.XLOOKUP(B474, HoldSummary!$A:$A, HoldSummary!B:B), 0)</f>
        <v>0</v>
      </c>
      <c r="AD474">
        <f>IFERROR(_xlfn.XLOOKUP(B474, HoldSummary!$A:$A, HoldSummary!C:C), 0)</f>
        <v>0</v>
      </c>
      <c r="AE474">
        <f>IFERROR(_xlfn.XLOOKUP(B474, HoldSummary!$A:$A, HoldSummary!D:D), 0)</f>
        <v>16</v>
      </c>
      <c r="AF474">
        <f>IFERROR(_xlfn.XLOOKUP(B474, HoldSummary!$A:$A, HoldSummary!E:E), 0)</f>
        <v>68</v>
      </c>
      <c r="AG474">
        <f>IFERROR(_xlfn.XLOOKUP(B474, HoldSummary!$A:$A, HoldSummary!F:F), 0)</f>
        <v>0</v>
      </c>
      <c r="AH474">
        <f>IFERROR(_xlfn.XLOOKUP(B474, HoldSummary!$A:$A, HoldSummary!G:G), 0)</f>
        <v>0</v>
      </c>
      <c r="AI474">
        <f>IFERROR(_xlfn.XLOOKUP(B474, HoldSummary!$A:$A, HoldSummary!H:H), 0)</f>
        <v>0</v>
      </c>
      <c r="AJ474">
        <f>IFERROR(_xlfn.XLOOKUP(B474, HoldSummary!$A:$A, HoldSummary!I:I), 0)</f>
        <v>0</v>
      </c>
      <c r="AK474">
        <f t="shared" si="75"/>
        <v>84</v>
      </c>
      <c r="AL474">
        <f t="shared" si="76"/>
        <v>272.62180555555824</v>
      </c>
      <c r="AM474">
        <f t="shared" si="77"/>
        <v>138.62180555555824</v>
      </c>
      <c r="AN474" s="12">
        <f t="shared" si="78"/>
        <v>-7.1666666666642413</v>
      </c>
      <c r="AO474">
        <f t="shared" si="79"/>
        <v>1</v>
      </c>
    </row>
    <row r="475" spans="1:41" x14ac:dyDescent="0.35">
      <c r="A475" t="s">
        <v>23</v>
      </c>
      <c r="B475" t="s">
        <v>1101</v>
      </c>
      <c r="C475" t="s">
        <v>43</v>
      </c>
      <c r="D475" t="s">
        <v>44</v>
      </c>
      <c r="E475" t="s">
        <v>45</v>
      </c>
      <c r="F475" t="s">
        <v>28</v>
      </c>
      <c r="H475" t="s">
        <v>1102</v>
      </c>
      <c r="I475" t="s">
        <v>30</v>
      </c>
      <c r="J475" t="s">
        <v>31</v>
      </c>
      <c r="K475" t="s">
        <v>48</v>
      </c>
      <c r="L475" t="s">
        <v>695</v>
      </c>
      <c r="N475" s="2">
        <v>45372.497245370374</v>
      </c>
      <c r="O475" s="2">
        <v>45583.166666666664</v>
      </c>
      <c r="P475" s="2">
        <v>45583.166666666664</v>
      </c>
      <c r="Q475" s="2">
        <v>45584</v>
      </c>
      <c r="R475" s="2">
        <v>45586.539371296298</v>
      </c>
      <c r="S475" t="s">
        <v>399</v>
      </c>
      <c r="T475" s="2">
        <v>45566.166666666664</v>
      </c>
      <c r="U475" s="2">
        <v>45572.166666666664</v>
      </c>
      <c r="V475" s="2">
        <v>45572.166666666664</v>
      </c>
      <c r="W475" s="2">
        <v>45572.166666666664</v>
      </c>
      <c r="X475" s="3">
        <f t="shared" si="70"/>
        <v>6</v>
      </c>
      <c r="Y475">
        <f t="shared" si="71"/>
        <v>0</v>
      </c>
      <c r="Z475">
        <f t="shared" si="72"/>
        <v>6</v>
      </c>
      <c r="AA475">
        <f t="shared" si="73"/>
        <v>211.502754629626</v>
      </c>
      <c r="AB475">
        <f t="shared" si="74"/>
        <v>205.502754629626</v>
      </c>
      <c r="AC475">
        <f>IFERROR(_xlfn.XLOOKUP(B475, HoldSummary!$A:$A, HoldSummary!B:B), 0)</f>
        <v>0</v>
      </c>
      <c r="AD475">
        <f>IFERROR(_xlfn.XLOOKUP(B475, HoldSummary!$A:$A, HoldSummary!C:C), 0)</f>
        <v>0</v>
      </c>
      <c r="AE475">
        <f>IFERROR(_xlfn.XLOOKUP(B475, HoldSummary!$A:$A, HoldSummary!D:D), 0)</f>
        <v>0</v>
      </c>
      <c r="AF475">
        <f>IFERROR(_xlfn.XLOOKUP(B475, HoldSummary!$A:$A, HoldSummary!E:E), 0)</f>
        <v>0</v>
      </c>
      <c r="AG475">
        <f>IFERROR(_xlfn.XLOOKUP(B475, HoldSummary!$A:$A, HoldSummary!F:F), 0)</f>
        <v>0</v>
      </c>
      <c r="AH475">
        <f>IFERROR(_xlfn.XLOOKUP(B475, HoldSummary!$A:$A, HoldSummary!G:G), 0)</f>
        <v>0</v>
      </c>
      <c r="AI475">
        <f>IFERROR(_xlfn.XLOOKUP(B475, HoldSummary!$A:$A, HoldSummary!H:H), 0)</f>
        <v>0</v>
      </c>
      <c r="AJ475">
        <f>IFERROR(_xlfn.XLOOKUP(B475, HoldSummary!$A:$A, HoldSummary!I:I), 0)</f>
        <v>0</v>
      </c>
      <c r="AK475">
        <f t="shared" si="75"/>
        <v>0</v>
      </c>
      <c r="AL475">
        <f t="shared" si="76"/>
        <v>211.502754629626</v>
      </c>
      <c r="AM475">
        <f t="shared" si="77"/>
        <v>205.502754629626</v>
      </c>
      <c r="AN475" s="12">
        <f t="shared" si="78"/>
        <v>0.83333333333575865</v>
      </c>
      <c r="AO475">
        <f t="shared" si="79"/>
        <v>0</v>
      </c>
    </row>
    <row r="476" spans="1:41" x14ac:dyDescent="0.35">
      <c r="A476" t="s">
        <v>23</v>
      </c>
      <c r="B476" t="s">
        <v>1103</v>
      </c>
      <c r="C476" t="s">
        <v>51</v>
      </c>
      <c r="D476" t="s">
        <v>44</v>
      </c>
      <c r="E476" t="s">
        <v>45</v>
      </c>
      <c r="F476" t="s">
        <v>28</v>
      </c>
      <c r="H476" t="s">
        <v>1104</v>
      </c>
      <c r="I476" t="s">
        <v>30</v>
      </c>
      <c r="J476" t="s">
        <v>70</v>
      </c>
      <c r="K476" t="s">
        <v>38</v>
      </c>
      <c r="N476" s="2">
        <v>45384.208310185182</v>
      </c>
      <c r="O476" s="2">
        <v>45552.166666666664</v>
      </c>
      <c r="P476" s="2">
        <v>45471.166666666664</v>
      </c>
      <c r="Q476" s="2">
        <v>45467</v>
      </c>
      <c r="R476" s="2">
        <v>45474.753962106479</v>
      </c>
      <c r="S476" t="s">
        <v>1105</v>
      </c>
      <c r="T476" s="2">
        <v>45406.166666666664</v>
      </c>
      <c r="U476" s="2">
        <v>45408.166666666664</v>
      </c>
      <c r="V476" s="2">
        <v>45408.166666666664</v>
      </c>
      <c r="W476" s="2">
        <v>45426.166666666664</v>
      </c>
      <c r="X476" s="3">
        <f t="shared" si="70"/>
        <v>2</v>
      </c>
      <c r="Y476">
        <f t="shared" si="71"/>
        <v>18</v>
      </c>
      <c r="Z476">
        <f t="shared" si="72"/>
        <v>20</v>
      </c>
      <c r="AA476">
        <f t="shared" si="73"/>
        <v>82.791689814817801</v>
      </c>
      <c r="AB476">
        <f t="shared" si="74"/>
        <v>62.791689814817801</v>
      </c>
      <c r="AC476">
        <f>IFERROR(_xlfn.XLOOKUP(B476, HoldSummary!$A:$A, HoldSummary!B:B), 0)</f>
        <v>0</v>
      </c>
      <c r="AD476">
        <f>IFERROR(_xlfn.XLOOKUP(B476, HoldSummary!$A:$A, HoldSummary!C:C), 0)</f>
        <v>0</v>
      </c>
      <c r="AE476">
        <f>IFERROR(_xlfn.XLOOKUP(B476, HoldSummary!$A:$A, HoldSummary!D:D), 0)</f>
        <v>0</v>
      </c>
      <c r="AF476">
        <f>IFERROR(_xlfn.XLOOKUP(B476, HoldSummary!$A:$A, HoldSummary!E:E), 0)</f>
        <v>0</v>
      </c>
      <c r="AG476">
        <f>IFERROR(_xlfn.XLOOKUP(B476, HoldSummary!$A:$A, HoldSummary!F:F), 0)</f>
        <v>0</v>
      </c>
      <c r="AH476">
        <f>IFERROR(_xlfn.XLOOKUP(B476, HoldSummary!$A:$A, HoldSummary!G:G), 0)</f>
        <v>0</v>
      </c>
      <c r="AI476">
        <f>IFERROR(_xlfn.XLOOKUP(B476, HoldSummary!$A:$A, HoldSummary!H:H), 0)</f>
        <v>0</v>
      </c>
      <c r="AJ476">
        <f>IFERROR(_xlfn.XLOOKUP(B476, HoldSummary!$A:$A, HoldSummary!I:I), 0)</f>
        <v>0</v>
      </c>
      <c r="AK476">
        <f t="shared" si="75"/>
        <v>0</v>
      </c>
      <c r="AL476">
        <f t="shared" si="76"/>
        <v>82.791689814817801</v>
      </c>
      <c r="AM476">
        <f t="shared" si="77"/>
        <v>62.791689814817801</v>
      </c>
      <c r="AN476" s="12">
        <f t="shared" si="78"/>
        <v>-85.166666666664241</v>
      </c>
      <c r="AO476">
        <f t="shared" si="79"/>
        <v>1</v>
      </c>
    </row>
    <row r="477" spans="1:41" x14ac:dyDescent="0.35">
      <c r="A477" t="s">
        <v>23</v>
      </c>
      <c r="B477" t="s">
        <v>1106</v>
      </c>
      <c r="C477" t="s">
        <v>130</v>
      </c>
      <c r="D477" t="s">
        <v>44</v>
      </c>
      <c r="E477" t="s">
        <v>45</v>
      </c>
      <c r="F477" t="s">
        <v>28</v>
      </c>
      <c r="H477" t="s">
        <v>1107</v>
      </c>
      <c r="I477" t="s">
        <v>30</v>
      </c>
      <c r="J477" t="s">
        <v>31</v>
      </c>
      <c r="K477" t="s">
        <v>48</v>
      </c>
      <c r="L477" t="s">
        <v>39</v>
      </c>
      <c r="N477" s="2">
        <v>45380.61246527778</v>
      </c>
      <c r="O477" s="2">
        <v>45460.166666666664</v>
      </c>
      <c r="P477" s="2">
        <v>45460.166666666664</v>
      </c>
      <c r="Q477" s="2">
        <v>45433</v>
      </c>
      <c r="R477" s="2">
        <v>45435.720836284723</v>
      </c>
      <c r="S477" t="s">
        <v>1108</v>
      </c>
      <c r="T477" s="2">
        <v>45407.166666666664</v>
      </c>
      <c r="U477" s="2">
        <v>45413.166666666664</v>
      </c>
      <c r="V477" s="2">
        <v>45413.166666666664</v>
      </c>
      <c r="W477" s="2">
        <v>45413.166666666664</v>
      </c>
      <c r="X477" s="3">
        <f t="shared" si="70"/>
        <v>6</v>
      </c>
      <c r="Y477">
        <f t="shared" si="71"/>
        <v>0</v>
      </c>
      <c r="Z477">
        <f t="shared" si="72"/>
        <v>6</v>
      </c>
      <c r="AA477">
        <f t="shared" si="73"/>
        <v>52.387534722220153</v>
      </c>
      <c r="AB477">
        <f t="shared" si="74"/>
        <v>46.387534722220153</v>
      </c>
      <c r="AC477">
        <f>IFERROR(_xlfn.XLOOKUP(B477, HoldSummary!$A:$A, HoldSummary!B:B), 0)</f>
        <v>0</v>
      </c>
      <c r="AD477">
        <f>IFERROR(_xlfn.XLOOKUP(B477, HoldSummary!$A:$A, HoldSummary!C:C), 0)</f>
        <v>0</v>
      </c>
      <c r="AE477">
        <f>IFERROR(_xlfn.XLOOKUP(B477, HoldSummary!$A:$A, HoldSummary!D:D), 0)</f>
        <v>0</v>
      </c>
      <c r="AF477">
        <f>IFERROR(_xlfn.XLOOKUP(B477, HoldSummary!$A:$A, HoldSummary!E:E), 0)</f>
        <v>0</v>
      </c>
      <c r="AG477">
        <f>IFERROR(_xlfn.XLOOKUP(B477, HoldSummary!$A:$A, HoldSummary!F:F), 0)</f>
        <v>0</v>
      </c>
      <c r="AH477">
        <f>IFERROR(_xlfn.XLOOKUP(B477, HoldSummary!$A:$A, HoldSummary!G:G), 0)</f>
        <v>0</v>
      </c>
      <c r="AI477">
        <f>IFERROR(_xlfn.XLOOKUP(B477, HoldSummary!$A:$A, HoldSummary!H:H), 0)</f>
        <v>0</v>
      </c>
      <c r="AJ477">
        <f>IFERROR(_xlfn.XLOOKUP(B477, HoldSummary!$A:$A, HoldSummary!I:I), 0)</f>
        <v>0</v>
      </c>
      <c r="AK477">
        <f t="shared" si="75"/>
        <v>0</v>
      </c>
      <c r="AL477">
        <f t="shared" si="76"/>
        <v>52.387534722220153</v>
      </c>
      <c r="AM477">
        <f t="shared" si="77"/>
        <v>46.387534722220153</v>
      </c>
      <c r="AN477" s="12">
        <f t="shared" si="78"/>
        <v>-27.166666666664241</v>
      </c>
      <c r="AO477">
        <f t="shared" si="79"/>
        <v>1</v>
      </c>
    </row>
    <row r="478" spans="1:41" x14ac:dyDescent="0.35">
      <c r="A478" t="s">
        <v>23</v>
      </c>
      <c r="B478" t="s">
        <v>1109</v>
      </c>
      <c r="C478" t="s">
        <v>76</v>
      </c>
      <c r="D478" t="s">
        <v>44</v>
      </c>
      <c r="E478" t="s">
        <v>45</v>
      </c>
      <c r="F478" t="s">
        <v>28</v>
      </c>
      <c r="H478" t="s">
        <v>1110</v>
      </c>
      <c r="I478" t="s">
        <v>30</v>
      </c>
      <c r="J478" t="s">
        <v>31</v>
      </c>
      <c r="K478" t="s">
        <v>38</v>
      </c>
      <c r="L478" t="s">
        <v>39</v>
      </c>
      <c r="N478" s="2">
        <v>45398.77447916667</v>
      </c>
      <c r="O478" s="2">
        <v>45734.166666666664</v>
      </c>
      <c r="P478" s="2">
        <v>45734.166666666664</v>
      </c>
      <c r="Q478" s="2">
        <v>45715</v>
      </c>
      <c r="R478" s="2">
        <v>45715.83354511574</v>
      </c>
      <c r="T478" s="2">
        <v>45415.166666666664</v>
      </c>
      <c r="U478" s="2">
        <v>45679.208333333336</v>
      </c>
      <c r="V478" s="2">
        <v>45679.208333333336</v>
      </c>
      <c r="W478" s="2">
        <v>45712.208333333336</v>
      </c>
      <c r="X478" s="3">
        <f t="shared" si="70"/>
        <v>264.04166666667152</v>
      </c>
      <c r="Y478">
        <f t="shared" si="71"/>
        <v>33</v>
      </c>
      <c r="Z478">
        <f t="shared" si="72"/>
        <v>297.04166666667152</v>
      </c>
      <c r="AA478">
        <f t="shared" si="73"/>
        <v>316.22552083332994</v>
      </c>
      <c r="AB478">
        <f t="shared" si="74"/>
        <v>19.183854166658421</v>
      </c>
      <c r="AC478">
        <f>IFERROR(_xlfn.XLOOKUP(B478, HoldSummary!$A:$A, HoldSummary!B:B), 0)</f>
        <v>0</v>
      </c>
      <c r="AD478">
        <f>IFERROR(_xlfn.XLOOKUP(B478, HoldSummary!$A:$A, HoldSummary!C:C), 0)</f>
        <v>0</v>
      </c>
      <c r="AE478">
        <f>IFERROR(_xlfn.XLOOKUP(B478, HoldSummary!$A:$A, HoldSummary!D:D), 0)</f>
        <v>0</v>
      </c>
      <c r="AF478">
        <f>IFERROR(_xlfn.XLOOKUP(B478, HoldSummary!$A:$A, HoldSummary!E:E), 0)</f>
        <v>13</v>
      </c>
      <c r="AG478">
        <f>IFERROR(_xlfn.XLOOKUP(B478, HoldSummary!$A:$A, HoldSummary!F:F), 0)</f>
        <v>0</v>
      </c>
      <c r="AH478">
        <f>IFERROR(_xlfn.XLOOKUP(B478, HoldSummary!$A:$A, HoldSummary!G:G), 0)</f>
        <v>15</v>
      </c>
      <c r="AI478">
        <f>IFERROR(_xlfn.XLOOKUP(B478, HoldSummary!$A:$A, HoldSummary!H:H), 0)</f>
        <v>0</v>
      </c>
      <c r="AJ478">
        <f>IFERROR(_xlfn.XLOOKUP(B478, HoldSummary!$A:$A, HoldSummary!I:I), 0)</f>
        <v>0</v>
      </c>
      <c r="AK478">
        <f t="shared" si="75"/>
        <v>28</v>
      </c>
      <c r="AL478">
        <f t="shared" si="76"/>
        <v>288.22552083332994</v>
      </c>
      <c r="AM478">
        <f t="shared" si="77"/>
        <v>-8.8161458333415794</v>
      </c>
      <c r="AN478" s="12">
        <f t="shared" si="78"/>
        <v>-19.166666666664241</v>
      </c>
      <c r="AO478">
        <f t="shared" si="79"/>
        <v>1</v>
      </c>
    </row>
    <row r="479" spans="1:41" x14ac:dyDescent="0.35">
      <c r="A479" t="s">
        <v>23</v>
      </c>
      <c r="B479">
        <v>105355</v>
      </c>
      <c r="C479" t="s">
        <v>54</v>
      </c>
      <c r="D479" t="s">
        <v>44</v>
      </c>
      <c r="E479" t="s">
        <v>55</v>
      </c>
      <c r="F479" t="s">
        <v>28</v>
      </c>
      <c r="H479" t="s">
        <v>1111</v>
      </c>
      <c r="I479" t="s">
        <v>30</v>
      </c>
      <c r="J479" t="s">
        <v>31</v>
      </c>
      <c r="K479" t="s">
        <v>57</v>
      </c>
      <c r="L479" t="s">
        <v>58</v>
      </c>
      <c r="N479" s="2">
        <v>45399.166666666664</v>
      </c>
      <c r="O479" s="2">
        <v>45492.166666666664</v>
      </c>
      <c r="P479" s="2">
        <v>45492.166666666664</v>
      </c>
      <c r="Q479" s="2">
        <v>45429</v>
      </c>
      <c r="R479" s="2">
        <v>45434.562133912033</v>
      </c>
      <c r="T479" s="2">
        <v>45406.166666666664</v>
      </c>
      <c r="U479" s="2">
        <v>45414.166666666664</v>
      </c>
      <c r="V479" s="2">
        <v>45414.166666666664</v>
      </c>
      <c r="W479" s="2">
        <v>45429.166666666664</v>
      </c>
      <c r="X479" s="3">
        <f t="shared" si="70"/>
        <v>8</v>
      </c>
      <c r="Y479">
        <f t="shared" si="71"/>
        <v>15</v>
      </c>
      <c r="Z479">
        <f t="shared" si="72"/>
        <v>23</v>
      </c>
      <c r="AA479">
        <f t="shared" si="73"/>
        <v>29.833333333335759</v>
      </c>
      <c r="AB479">
        <f t="shared" si="74"/>
        <v>6.8333333333357587</v>
      </c>
      <c r="AC479">
        <f>IFERROR(_xlfn.XLOOKUP(B479, HoldSummary!$A:$A, HoldSummary!B:B), 0)</f>
        <v>0</v>
      </c>
      <c r="AD479">
        <f>IFERROR(_xlfn.XLOOKUP(B479, HoldSummary!$A:$A, HoldSummary!C:C), 0)</f>
        <v>0</v>
      </c>
      <c r="AE479">
        <f>IFERROR(_xlfn.XLOOKUP(B479, HoldSummary!$A:$A, HoldSummary!D:D), 0)</f>
        <v>0</v>
      </c>
      <c r="AF479">
        <f>IFERROR(_xlfn.XLOOKUP(B479, HoldSummary!$A:$A, HoldSummary!E:E), 0)</f>
        <v>0</v>
      </c>
      <c r="AG479">
        <f>IFERROR(_xlfn.XLOOKUP(B479, HoldSummary!$A:$A, HoldSummary!F:F), 0)</f>
        <v>0</v>
      </c>
      <c r="AH479">
        <f>IFERROR(_xlfn.XLOOKUP(B479, HoldSummary!$A:$A, HoldSummary!G:G), 0)</f>
        <v>0</v>
      </c>
      <c r="AI479">
        <f>IFERROR(_xlfn.XLOOKUP(B479, HoldSummary!$A:$A, HoldSummary!H:H), 0)</f>
        <v>0</v>
      </c>
      <c r="AJ479">
        <f>IFERROR(_xlfn.XLOOKUP(B479, HoldSummary!$A:$A, HoldSummary!I:I), 0)</f>
        <v>0</v>
      </c>
      <c r="AK479">
        <f t="shared" si="75"/>
        <v>0</v>
      </c>
      <c r="AL479">
        <f t="shared" si="76"/>
        <v>29.833333333335759</v>
      </c>
      <c r="AM479">
        <f t="shared" si="77"/>
        <v>6.8333333333357587</v>
      </c>
      <c r="AN479" s="12">
        <f t="shared" si="78"/>
        <v>-63.166666666664241</v>
      </c>
      <c r="AO479">
        <f t="shared" si="79"/>
        <v>1</v>
      </c>
    </row>
    <row r="480" spans="1:41" x14ac:dyDescent="0.35">
      <c r="A480" t="s">
        <v>23</v>
      </c>
      <c r="B480" t="s">
        <v>1112</v>
      </c>
      <c r="C480" t="s">
        <v>130</v>
      </c>
      <c r="D480" t="s">
        <v>44</v>
      </c>
      <c r="E480" t="s">
        <v>45</v>
      </c>
      <c r="F480" t="s">
        <v>28</v>
      </c>
      <c r="H480" t="s">
        <v>1113</v>
      </c>
      <c r="I480" t="s">
        <v>30</v>
      </c>
      <c r="J480" t="s">
        <v>31</v>
      </c>
      <c r="K480" t="s">
        <v>38</v>
      </c>
      <c r="L480" t="s">
        <v>39</v>
      </c>
      <c r="N480" s="2">
        <v>45366.06858796296</v>
      </c>
      <c r="O480" s="2">
        <v>45694.208333333336</v>
      </c>
      <c r="P480" s="2">
        <v>45702.208333333336</v>
      </c>
      <c r="Q480" s="2">
        <v>45695</v>
      </c>
      <c r="R480" s="2">
        <v>45698.128430520832</v>
      </c>
      <c r="S480" t="s">
        <v>1114</v>
      </c>
      <c r="T480" s="2">
        <v>45572.166666666664</v>
      </c>
      <c r="U480" s="2">
        <v>45673.208333333336</v>
      </c>
      <c r="V480" s="2">
        <v>45673.208333333336</v>
      </c>
      <c r="W480" s="2">
        <v>45673.208333333336</v>
      </c>
      <c r="X480" s="3">
        <f t="shared" si="70"/>
        <v>101.04166666667152</v>
      </c>
      <c r="Y480">
        <f t="shared" si="71"/>
        <v>0</v>
      </c>
      <c r="Z480">
        <f t="shared" si="72"/>
        <v>101.04166666667152</v>
      </c>
      <c r="AA480">
        <f t="shared" si="73"/>
        <v>328.93141203703999</v>
      </c>
      <c r="AB480">
        <f t="shared" si="74"/>
        <v>227.88974537036847</v>
      </c>
      <c r="AC480">
        <f>IFERROR(_xlfn.XLOOKUP(B480, HoldSummary!$A:$A, HoldSummary!B:B), 0)</f>
        <v>0</v>
      </c>
      <c r="AD480">
        <f>IFERROR(_xlfn.XLOOKUP(B480, HoldSummary!$A:$A, HoldSummary!C:C), 0)</f>
        <v>0</v>
      </c>
      <c r="AE480">
        <f>IFERROR(_xlfn.XLOOKUP(B480, HoldSummary!$A:$A, HoldSummary!D:D), 0)</f>
        <v>4</v>
      </c>
      <c r="AF480">
        <f>IFERROR(_xlfn.XLOOKUP(B480, HoldSummary!$A:$A, HoldSummary!E:E), 0)</f>
        <v>200</v>
      </c>
      <c r="AG480">
        <f>IFERROR(_xlfn.XLOOKUP(B480, HoldSummary!$A:$A, HoldSummary!F:F), 0)</f>
        <v>0</v>
      </c>
      <c r="AH480">
        <f>IFERROR(_xlfn.XLOOKUP(B480, HoldSummary!$A:$A, HoldSummary!G:G), 0)</f>
        <v>0</v>
      </c>
      <c r="AI480">
        <f>IFERROR(_xlfn.XLOOKUP(B480, HoldSummary!$A:$A, HoldSummary!H:H), 0)</f>
        <v>0</v>
      </c>
      <c r="AJ480">
        <f>IFERROR(_xlfn.XLOOKUP(B480, HoldSummary!$A:$A, HoldSummary!I:I), 0)</f>
        <v>0</v>
      </c>
      <c r="AK480">
        <f t="shared" si="75"/>
        <v>204</v>
      </c>
      <c r="AL480">
        <f t="shared" si="76"/>
        <v>124.93141203703999</v>
      </c>
      <c r="AM480">
        <f t="shared" si="77"/>
        <v>23.889745370368473</v>
      </c>
      <c r="AN480" s="12">
        <f t="shared" si="78"/>
        <v>0.79166666666424135</v>
      </c>
      <c r="AO480">
        <f t="shared" si="79"/>
        <v>0</v>
      </c>
    </row>
    <row r="481" spans="1:41" x14ac:dyDescent="0.35">
      <c r="A481" t="s">
        <v>23</v>
      </c>
      <c r="B481" t="s">
        <v>1115</v>
      </c>
      <c r="C481" t="s">
        <v>135</v>
      </c>
      <c r="D481" t="s">
        <v>44</v>
      </c>
      <c r="E481" t="s">
        <v>45</v>
      </c>
      <c r="F481" t="s">
        <v>28</v>
      </c>
      <c r="H481" t="s">
        <v>1116</v>
      </c>
      <c r="I481" t="s">
        <v>30</v>
      </c>
      <c r="J481" t="s">
        <v>31</v>
      </c>
      <c r="K481" t="s">
        <v>32</v>
      </c>
      <c r="L481" t="s">
        <v>32</v>
      </c>
      <c r="N481" s="2">
        <v>45411.784756944442</v>
      </c>
      <c r="O481" s="2">
        <v>45471.166666666664</v>
      </c>
      <c r="P481" s="2">
        <v>45471.166666666664</v>
      </c>
      <c r="Q481" s="2">
        <v>45471</v>
      </c>
      <c r="R481" s="2">
        <v>45475.619870763891</v>
      </c>
      <c r="S481" t="s">
        <v>215</v>
      </c>
      <c r="T481" s="2"/>
      <c r="U481" s="2"/>
      <c r="V481" s="2"/>
      <c r="W481" s="2"/>
      <c r="X481" s="3" t="str">
        <f t="shared" si="70"/>
        <v/>
      </c>
      <c r="Y481" t="str">
        <f t="shared" si="71"/>
        <v/>
      </c>
      <c r="Z481">
        <f t="shared" si="72"/>
        <v>0</v>
      </c>
      <c r="AA481">
        <f t="shared" si="73"/>
        <v>59.215243055557949</v>
      </c>
      <c r="AB481">
        <f t="shared" si="74"/>
        <v>59.215243055557949</v>
      </c>
      <c r="AC481">
        <f>IFERROR(_xlfn.XLOOKUP(B481, HoldSummary!$A:$A, HoldSummary!B:B), 0)</f>
        <v>0</v>
      </c>
      <c r="AD481">
        <f>IFERROR(_xlfn.XLOOKUP(B481, HoldSummary!$A:$A, HoldSummary!C:C), 0)</f>
        <v>0</v>
      </c>
      <c r="AE481">
        <f>IFERROR(_xlfn.XLOOKUP(B481, HoldSummary!$A:$A, HoldSummary!D:D), 0)</f>
        <v>0</v>
      </c>
      <c r="AF481">
        <f>IFERROR(_xlfn.XLOOKUP(B481, HoldSummary!$A:$A, HoldSummary!E:E), 0)</f>
        <v>0</v>
      </c>
      <c r="AG481">
        <f>IFERROR(_xlfn.XLOOKUP(B481, HoldSummary!$A:$A, HoldSummary!F:F), 0)</f>
        <v>0</v>
      </c>
      <c r="AH481">
        <f>IFERROR(_xlfn.XLOOKUP(B481, HoldSummary!$A:$A, HoldSummary!G:G), 0)</f>
        <v>0</v>
      </c>
      <c r="AI481">
        <f>IFERROR(_xlfn.XLOOKUP(B481, HoldSummary!$A:$A, HoldSummary!H:H), 0)</f>
        <v>0</v>
      </c>
      <c r="AJ481">
        <f>IFERROR(_xlfn.XLOOKUP(B481, HoldSummary!$A:$A, HoldSummary!I:I), 0)</f>
        <v>0</v>
      </c>
      <c r="AK481">
        <f t="shared" si="75"/>
        <v>0</v>
      </c>
      <c r="AL481">
        <f t="shared" si="76"/>
        <v>59.215243055557949</v>
      </c>
      <c r="AM481">
        <f t="shared" si="77"/>
        <v>59.215243055557949</v>
      </c>
      <c r="AN481" s="12">
        <f t="shared" si="78"/>
        <v>-0.16666666666424135</v>
      </c>
      <c r="AO481">
        <f t="shared" si="79"/>
        <v>1</v>
      </c>
    </row>
    <row r="482" spans="1:41" x14ac:dyDescent="0.35">
      <c r="A482" t="s">
        <v>23</v>
      </c>
      <c r="B482" t="s">
        <v>1117</v>
      </c>
      <c r="C482" t="s">
        <v>43</v>
      </c>
      <c r="D482" t="s">
        <v>44</v>
      </c>
      <c r="E482" t="s">
        <v>45</v>
      </c>
      <c r="F482" t="s">
        <v>28</v>
      </c>
      <c r="H482" t="s">
        <v>1118</v>
      </c>
      <c r="I482" t="s">
        <v>30</v>
      </c>
      <c r="J482" t="s">
        <v>300</v>
      </c>
      <c r="K482" t="s">
        <v>38</v>
      </c>
      <c r="L482" t="s">
        <v>39</v>
      </c>
      <c r="N482" s="2">
        <v>45405.624178240738</v>
      </c>
      <c r="O482" s="2">
        <v>45527.166666666664</v>
      </c>
      <c r="P482" s="2">
        <v>45527.166666666664</v>
      </c>
      <c r="Q482" s="2">
        <v>45520</v>
      </c>
      <c r="R482" s="2">
        <v>45523.734376701388</v>
      </c>
      <c r="S482" t="s">
        <v>63</v>
      </c>
      <c r="T482" s="2"/>
      <c r="U482" s="2"/>
      <c r="V482" s="2"/>
      <c r="W482" s="2"/>
      <c r="X482" s="3" t="str">
        <f t="shared" si="70"/>
        <v/>
      </c>
      <c r="Y482" t="str">
        <f t="shared" si="71"/>
        <v/>
      </c>
      <c r="Z482">
        <f t="shared" si="72"/>
        <v>0</v>
      </c>
      <c r="AA482">
        <f t="shared" si="73"/>
        <v>114.37582175926218</v>
      </c>
      <c r="AB482">
        <f t="shared" si="74"/>
        <v>114.37582175926218</v>
      </c>
      <c r="AC482">
        <f>IFERROR(_xlfn.XLOOKUP(B482, HoldSummary!$A:$A, HoldSummary!B:B), 0)</f>
        <v>0</v>
      </c>
      <c r="AD482">
        <f>IFERROR(_xlfn.XLOOKUP(B482, HoldSummary!$A:$A, HoldSummary!C:C), 0)</f>
        <v>0</v>
      </c>
      <c r="AE482">
        <f>IFERROR(_xlfn.XLOOKUP(B482, HoldSummary!$A:$A, HoldSummary!D:D), 0)</f>
        <v>0</v>
      </c>
      <c r="AF482">
        <f>IFERROR(_xlfn.XLOOKUP(B482, HoldSummary!$A:$A, HoldSummary!E:E), 0)</f>
        <v>0</v>
      </c>
      <c r="AG482">
        <f>IFERROR(_xlfn.XLOOKUP(B482, HoldSummary!$A:$A, HoldSummary!F:F), 0)</f>
        <v>0</v>
      </c>
      <c r="AH482">
        <f>IFERROR(_xlfn.XLOOKUP(B482, HoldSummary!$A:$A, HoldSummary!G:G), 0)</f>
        <v>0</v>
      </c>
      <c r="AI482">
        <f>IFERROR(_xlfn.XLOOKUP(B482, HoldSummary!$A:$A, HoldSummary!H:H), 0)</f>
        <v>0</v>
      </c>
      <c r="AJ482">
        <f>IFERROR(_xlfn.XLOOKUP(B482, HoldSummary!$A:$A, HoldSummary!I:I), 0)</f>
        <v>0</v>
      </c>
      <c r="AK482">
        <f t="shared" si="75"/>
        <v>0</v>
      </c>
      <c r="AL482">
        <f t="shared" si="76"/>
        <v>114.37582175926218</v>
      </c>
      <c r="AM482">
        <f t="shared" si="77"/>
        <v>114.37582175926218</v>
      </c>
      <c r="AN482" s="12">
        <f t="shared" si="78"/>
        <v>-7.1666666666642413</v>
      </c>
      <c r="AO482">
        <f t="shared" si="79"/>
        <v>1</v>
      </c>
    </row>
    <row r="483" spans="1:41" x14ac:dyDescent="0.35">
      <c r="A483" t="s">
        <v>23</v>
      </c>
      <c r="B483" t="s">
        <v>1119</v>
      </c>
      <c r="C483" t="s">
        <v>43</v>
      </c>
      <c r="D483" t="s">
        <v>44</v>
      </c>
      <c r="E483" t="s">
        <v>45</v>
      </c>
      <c r="F483" t="s">
        <v>28</v>
      </c>
      <c r="H483" t="s">
        <v>1120</v>
      </c>
      <c r="I483" t="s">
        <v>30</v>
      </c>
      <c r="J483" t="s">
        <v>300</v>
      </c>
      <c r="K483" t="s">
        <v>38</v>
      </c>
      <c r="L483" t="s">
        <v>39</v>
      </c>
      <c r="M483" t="s">
        <v>33</v>
      </c>
      <c r="N483" s="2">
        <v>45405.632488425923</v>
      </c>
      <c r="O483" s="2">
        <v>45502.166666666664</v>
      </c>
      <c r="P483" s="2">
        <v>45541.166666666664</v>
      </c>
      <c r="Q483" s="2">
        <v>45534</v>
      </c>
      <c r="R483" s="2">
        <v>45534.664748946758</v>
      </c>
      <c r="S483" t="s">
        <v>63</v>
      </c>
      <c r="T483" s="2"/>
      <c r="U483" s="2"/>
      <c r="V483" s="2"/>
      <c r="W483" s="2"/>
      <c r="X483" s="3" t="str">
        <f t="shared" si="70"/>
        <v/>
      </c>
      <c r="Y483" t="str">
        <f t="shared" si="71"/>
        <v/>
      </c>
      <c r="Z483">
        <f t="shared" si="72"/>
        <v>0</v>
      </c>
      <c r="AA483">
        <f t="shared" si="73"/>
        <v>128.36751157407707</v>
      </c>
      <c r="AB483">
        <f t="shared" si="74"/>
        <v>128.36751157407707</v>
      </c>
      <c r="AC483">
        <f>IFERROR(_xlfn.XLOOKUP(B483, HoldSummary!$A:$A, HoldSummary!B:B), 0)</f>
        <v>0</v>
      </c>
      <c r="AD483">
        <f>IFERROR(_xlfn.XLOOKUP(B483, HoldSummary!$A:$A, HoldSummary!C:C), 0)</f>
        <v>0</v>
      </c>
      <c r="AE483">
        <f>IFERROR(_xlfn.XLOOKUP(B483, HoldSummary!$A:$A, HoldSummary!D:D), 0)</f>
        <v>0</v>
      </c>
      <c r="AF483">
        <f>IFERROR(_xlfn.XLOOKUP(B483, HoldSummary!$A:$A, HoldSummary!E:E), 0)</f>
        <v>0</v>
      </c>
      <c r="AG483">
        <f>IFERROR(_xlfn.XLOOKUP(B483, HoldSummary!$A:$A, HoldSummary!F:F), 0)</f>
        <v>0</v>
      </c>
      <c r="AH483">
        <f>IFERROR(_xlfn.XLOOKUP(B483, HoldSummary!$A:$A, HoldSummary!G:G), 0)</f>
        <v>0</v>
      </c>
      <c r="AI483">
        <f>IFERROR(_xlfn.XLOOKUP(B483, HoldSummary!$A:$A, HoldSummary!H:H), 0)</f>
        <v>0</v>
      </c>
      <c r="AJ483">
        <f>IFERROR(_xlfn.XLOOKUP(B483, HoldSummary!$A:$A, HoldSummary!I:I), 0)</f>
        <v>0</v>
      </c>
      <c r="AK483">
        <f t="shared" si="75"/>
        <v>0</v>
      </c>
      <c r="AL483">
        <f t="shared" si="76"/>
        <v>128.36751157407707</v>
      </c>
      <c r="AM483">
        <f t="shared" si="77"/>
        <v>128.36751157407707</v>
      </c>
      <c r="AN483" s="12">
        <f t="shared" si="78"/>
        <v>31.833333333335759</v>
      </c>
      <c r="AO483">
        <f t="shared" si="79"/>
        <v>0</v>
      </c>
    </row>
    <row r="484" spans="1:41" x14ac:dyDescent="0.35">
      <c r="A484" t="s">
        <v>23</v>
      </c>
      <c r="B484" t="s">
        <v>1121</v>
      </c>
      <c r="C484" t="s">
        <v>135</v>
      </c>
      <c r="D484" t="s">
        <v>44</v>
      </c>
      <c r="E484" t="s">
        <v>45</v>
      </c>
      <c r="F484" t="s">
        <v>28</v>
      </c>
      <c r="H484" t="s">
        <v>1122</v>
      </c>
      <c r="I484" t="s">
        <v>30</v>
      </c>
      <c r="J484" t="s">
        <v>31</v>
      </c>
      <c r="K484" t="s">
        <v>32</v>
      </c>
      <c r="L484" t="s">
        <v>32</v>
      </c>
      <c r="M484" t="s">
        <v>33</v>
      </c>
      <c r="N484" s="2">
        <v>45324.762939814813</v>
      </c>
      <c r="O484" s="2">
        <v>45548.166666666664</v>
      </c>
      <c r="P484" s="2">
        <v>45503.166666666664</v>
      </c>
      <c r="Q484" s="2">
        <v>45502</v>
      </c>
      <c r="R484" s="2">
        <v>45503.066035069445</v>
      </c>
      <c r="T484" s="2">
        <v>45489.166666666664</v>
      </c>
      <c r="U484" s="2">
        <v>45489.166666666664</v>
      </c>
      <c r="V484" s="2">
        <v>45489.166666666664</v>
      </c>
      <c r="W484" s="2">
        <v>45492.166666666664</v>
      </c>
      <c r="X484" s="3">
        <f t="shared" si="70"/>
        <v>0</v>
      </c>
      <c r="Y484">
        <f t="shared" si="71"/>
        <v>3</v>
      </c>
      <c r="Z484">
        <f t="shared" si="72"/>
        <v>3</v>
      </c>
      <c r="AA484">
        <f t="shared" si="73"/>
        <v>177.23706018518715</v>
      </c>
      <c r="AB484">
        <f t="shared" si="74"/>
        <v>174.23706018518715</v>
      </c>
      <c r="AC484">
        <f>IFERROR(_xlfn.XLOOKUP(B484, HoldSummary!$A:$A, HoldSummary!B:B), 0)</f>
        <v>0</v>
      </c>
      <c r="AD484">
        <f>IFERROR(_xlfn.XLOOKUP(B484, HoldSummary!$A:$A, HoldSummary!C:C), 0)</f>
        <v>48</v>
      </c>
      <c r="AE484">
        <f>IFERROR(_xlfn.XLOOKUP(B484, HoldSummary!$A:$A, HoldSummary!D:D), 0)</f>
        <v>0</v>
      </c>
      <c r="AF484">
        <f>IFERROR(_xlfn.XLOOKUP(B484, HoldSummary!$A:$A, HoldSummary!E:E), 0)</f>
        <v>0</v>
      </c>
      <c r="AG484">
        <f>IFERROR(_xlfn.XLOOKUP(B484, HoldSummary!$A:$A, HoldSummary!F:F), 0)</f>
        <v>0</v>
      </c>
      <c r="AH484">
        <f>IFERROR(_xlfn.XLOOKUP(B484, HoldSummary!$A:$A, HoldSummary!G:G), 0)</f>
        <v>0</v>
      </c>
      <c r="AI484">
        <f>IFERROR(_xlfn.XLOOKUP(B484, HoldSummary!$A:$A, HoldSummary!H:H), 0)</f>
        <v>0</v>
      </c>
      <c r="AJ484">
        <f>IFERROR(_xlfn.XLOOKUP(B484, HoldSummary!$A:$A, HoldSummary!I:I), 0)</f>
        <v>0</v>
      </c>
      <c r="AK484">
        <f t="shared" si="75"/>
        <v>48</v>
      </c>
      <c r="AL484">
        <f t="shared" si="76"/>
        <v>129.23706018518715</v>
      </c>
      <c r="AM484">
        <f t="shared" si="77"/>
        <v>126.23706018518715</v>
      </c>
      <c r="AN484" s="12">
        <f t="shared" si="78"/>
        <v>-46.166666666664241</v>
      </c>
      <c r="AO484">
        <f t="shared" si="79"/>
        <v>1</v>
      </c>
    </row>
    <row r="485" spans="1:41" x14ac:dyDescent="0.35">
      <c r="A485" t="s">
        <v>23</v>
      </c>
      <c r="B485" t="s">
        <v>1123</v>
      </c>
      <c r="C485" t="s">
        <v>130</v>
      </c>
      <c r="D485" t="s">
        <v>44</v>
      </c>
      <c r="E485" t="s">
        <v>45</v>
      </c>
      <c r="F485" t="s">
        <v>28</v>
      </c>
      <c r="H485" t="s">
        <v>1124</v>
      </c>
      <c r="I485" t="s">
        <v>30</v>
      </c>
      <c r="J485" t="s">
        <v>31</v>
      </c>
      <c r="K485" t="s">
        <v>57</v>
      </c>
      <c r="L485" t="s">
        <v>39</v>
      </c>
      <c r="M485" t="s">
        <v>33</v>
      </c>
      <c r="N485" s="2">
        <v>45412.846006944441</v>
      </c>
      <c r="O485" s="2">
        <v>45518.166666666664</v>
      </c>
      <c r="P485" s="2">
        <v>45590.166666666664</v>
      </c>
      <c r="Q485" s="2">
        <v>45581</v>
      </c>
      <c r="R485" s="2">
        <v>45581.811080069441</v>
      </c>
      <c r="S485" t="s">
        <v>834</v>
      </c>
      <c r="T485" s="2">
        <v>45450.166666666664</v>
      </c>
      <c r="U485" s="2">
        <v>45517.166666666664</v>
      </c>
      <c r="V485" s="2">
        <v>45517.166666666664</v>
      </c>
      <c r="W485" s="2">
        <v>45531.166666666664</v>
      </c>
      <c r="X485" s="3">
        <f t="shared" si="70"/>
        <v>67</v>
      </c>
      <c r="Y485">
        <f t="shared" si="71"/>
        <v>14</v>
      </c>
      <c r="Z485">
        <f t="shared" si="72"/>
        <v>81</v>
      </c>
      <c r="AA485">
        <f t="shared" si="73"/>
        <v>168.15399305555911</v>
      </c>
      <c r="AB485">
        <f t="shared" si="74"/>
        <v>87.153993055559113</v>
      </c>
      <c r="AC485">
        <f>IFERROR(_xlfn.XLOOKUP(B485, HoldSummary!$A:$A, HoldSummary!B:B), 0)</f>
        <v>6</v>
      </c>
      <c r="AD485">
        <f>IFERROR(_xlfn.XLOOKUP(B485, HoldSummary!$A:$A, HoldSummary!C:C), 0)</f>
        <v>0</v>
      </c>
      <c r="AE485">
        <f>IFERROR(_xlfn.XLOOKUP(B485, HoldSummary!$A:$A, HoldSummary!D:D), 0)</f>
        <v>0</v>
      </c>
      <c r="AF485">
        <f>IFERROR(_xlfn.XLOOKUP(B485, HoldSummary!$A:$A, HoldSummary!E:E), 0)</f>
        <v>0</v>
      </c>
      <c r="AG485">
        <f>IFERROR(_xlfn.XLOOKUP(B485, HoldSummary!$A:$A, HoldSummary!F:F), 0)</f>
        <v>0</v>
      </c>
      <c r="AH485">
        <f>IFERROR(_xlfn.XLOOKUP(B485, HoldSummary!$A:$A, HoldSummary!G:G), 0)</f>
        <v>7</v>
      </c>
      <c r="AI485">
        <f>IFERROR(_xlfn.XLOOKUP(B485, HoldSummary!$A:$A, HoldSummary!H:H), 0)</f>
        <v>0</v>
      </c>
      <c r="AJ485">
        <f>IFERROR(_xlfn.XLOOKUP(B485, HoldSummary!$A:$A, HoldSummary!I:I), 0)</f>
        <v>0</v>
      </c>
      <c r="AK485">
        <f t="shared" si="75"/>
        <v>13</v>
      </c>
      <c r="AL485">
        <f t="shared" si="76"/>
        <v>155.15399305555911</v>
      </c>
      <c r="AM485">
        <f t="shared" si="77"/>
        <v>74.153993055559113</v>
      </c>
      <c r="AN485" s="12">
        <f t="shared" si="78"/>
        <v>62.833333333335759</v>
      </c>
      <c r="AO485">
        <f t="shared" si="79"/>
        <v>0</v>
      </c>
    </row>
    <row r="486" spans="1:41" x14ac:dyDescent="0.35">
      <c r="A486" t="s">
        <v>23</v>
      </c>
      <c r="B486" t="s">
        <v>1125</v>
      </c>
      <c r="C486" t="s">
        <v>43</v>
      </c>
      <c r="D486" t="s">
        <v>44</v>
      </c>
      <c r="E486" t="s">
        <v>45</v>
      </c>
      <c r="F486" t="s">
        <v>28</v>
      </c>
      <c r="H486" t="s">
        <v>1126</v>
      </c>
      <c r="I486" t="s">
        <v>30</v>
      </c>
      <c r="J486" t="s">
        <v>70</v>
      </c>
      <c r="K486" t="s">
        <v>48</v>
      </c>
      <c r="L486" t="s">
        <v>192</v>
      </c>
      <c r="M486" t="s">
        <v>33</v>
      </c>
      <c r="N486" s="2">
        <v>45454.366782407407</v>
      </c>
      <c r="O486" s="2">
        <v>45534.166666666664</v>
      </c>
      <c r="P486" s="2">
        <v>45520.166666666664</v>
      </c>
      <c r="Q486" s="2">
        <v>45519</v>
      </c>
      <c r="R486" s="2">
        <v>45520.445891249998</v>
      </c>
      <c r="S486" t="s">
        <v>399</v>
      </c>
      <c r="T486" s="2"/>
      <c r="U486" s="2"/>
      <c r="V486" s="2"/>
      <c r="W486" s="2"/>
      <c r="X486" s="3" t="str">
        <f t="shared" si="70"/>
        <v/>
      </c>
      <c r="Y486" t="str">
        <f t="shared" si="71"/>
        <v/>
      </c>
      <c r="Z486">
        <f t="shared" si="72"/>
        <v>0</v>
      </c>
      <c r="AA486">
        <f t="shared" si="73"/>
        <v>64.6332175925927</v>
      </c>
      <c r="AB486">
        <f t="shared" si="74"/>
        <v>64.6332175925927</v>
      </c>
      <c r="AC486">
        <f>IFERROR(_xlfn.XLOOKUP(B486, HoldSummary!$A:$A, HoldSummary!B:B), 0)</f>
        <v>0</v>
      </c>
      <c r="AD486">
        <f>IFERROR(_xlfn.XLOOKUP(B486, HoldSummary!$A:$A, HoldSummary!C:C), 0)</f>
        <v>0</v>
      </c>
      <c r="AE486">
        <f>IFERROR(_xlfn.XLOOKUP(B486, HoldSummary!$A:$A, HoldSummary!D:D), 0)</f>
        <v>0</v>
      </c>
      <c r="AF486">
        <f>IFERROR(_xlfn.XLOOKUP(B486, HoldSummary!$A:$A, HoldSummary!E:E), 0)</f>
        <v>0</v>
      </c>
      <c r="AG486">
        <f>IFERROR(_xlfn.XLOOKUP(B486, HoldSummary!$A:$A, HoldSummary!F:F), 0)</f>
        <v>0</v>
      </c>
      <c r="AH486">
        <f>IFERROR(_xlfn.XLOOKUP(B486, HoldSummary!$A:$A, HoldSummary!G:G), 0)</f>
        <v>0</v>
      </c>
      <c r="AI486">
        <f>IFERROR(_xlfn.XLOOKUP(B486, HoldSummary!$A:$A, HoldSummary!H:H), 0)</f>
        <v>0</v>
      </c>
      <c r="AJ486">
        <f>IFERROR(_xlfn.XLOOKUP(B486, HoldSummary!$A:$A, HoldSummary!I:I), 0)</f>
        <v>0</v>
      </c>
      <c r="AK486">
        <f t="shared" si="75"/>
        <v>0</v>
      </c>
      <c r="AL486">
        <f t="shared" si="76"/>
        <v>64.6332175925927</v>
      </c>
      <c r="AM486">
        <f t="shared" si="77"/>
        <v>64.6332175925927</v>
      </c>
      <c r="AN486" s="12">
        <f t="shared" si="78"/>
        <v>-15.166666666664241</v>
      </c>
      <c r="AO486">
        <f t="shared" si="79"/>
        <v>1</v>
      </c>
    </row>
    <row r="487" spans="1:41" x14ac:dyDescent="0.35">
      <c r="A487" t="s">
        <v>23</v>
      </c>
      <c r="B487" t="s">
        <v>1127</v>
      </c>
      <c r="C487" t="s">
        <v>409</v>
      </c>
      <c r="D487" t="s">
        <v>44</v>
      </c>
      <c r="E487" t="s">
        <v>45</v>
      </c>
      <c r="F487" t="s">
        <v>28</v>
      </c>
      <c r="H487" t="s">
        <v>1128</v>
      </c>
      <c r="I487" t="s">
        <v>30</v>
      </c>
      <c r="J487" t="s">
        <v>31</v>
      </c>
      <c r="K487" t="s">
        <v>48</v>
      </c>
      <c r="L487" t="s">
        <v>49</v>
      </c>
      <c r="M487" t="s">
        <v>33</v>
      </c>
      <c r="N487" s="2">
        <v>45429.844629629632</v>
      </c>
      <c r="O487" s="2">
        <v>45777.166666666664</v>
      </c>
      <c r="P487" s="2">
        <v>45779.166666666664</v>
      </c>
      <c r="Q487" s="2">
        <v>45775</v>
      </c>
      <c r="R487" s="2">
        <v>45775.776257569443</v>
      </c>
      <c r="S487" t="s">
        <v>708</v>
      </c>
      <c r="T487" s="2">
        <v>45523.166666666664</v>
      </c>
      <c r="U487" s="2">
        <v>45523.166666666664</v>
      </c>
      <c r="V487" s="2">
        <v>45523.166666666664</v>
      </c>
      <c r="W487" s="2">
        <v>45727.166666666664</v>
      </c>
      <c r="X487" s="3">
        <f t="shared" si="70"/>
        <v>0</v>
      </c>
      <c r="Y487">
        <f t="shared" si="71"/>
        <v>204</v>
      </c>
      <c r="Z487">
        <f t="shared" si="72"/>
        <v>204</v>
      </c>
      <c r="AA487">
        <f t="shared" si="73"/>
        <v>345.15537037036847</v>
      </c>
      <c r="AB487">
        <f t="shared" si="74"/>
        <v>141.15537037036847</v>
      </c>
      <c r="AC487">
        <f>IFERROR(_xlfn.XLOOKUP(B487, HoldSummary!$A:$A, HoldSummary!B:B), 0)</f>
        <v>23.893911574072263</v>
      </c>
      <c r="AD487">
        <f>IFERROR(_xlfn.XLOOKUP(B487, HoldSummary!$A:$A, HoldSummary!C:C), 0)</f>
        <v>0</v>
      </c>
      <c r="AE487">
        <f>IFERROR(_xlfn.XLOOKUP(B487, HoldSummary!$A:$A, HoldSummary!D:D), 0)</f>
        <v>0</v>
      </c>
      <c r="AF487">
        <f>IFERROR(_xlfn.XLOOKUP(B487, HoldSummary!$A:$A, HoldSummary!E:E), 0)</f>
        <v>14.798241006945318</v>
      </c>
      <c r="AG487">
        <f>IFERROR(_xlfn.XLOOKUP(B487, HoldSummary!$A:$A, HoldSummary!F:F), 0)</f>
        <v>0</v>
      </c>
      <c r="AH487">
        <f>IFERROR(_xlfn.XLOOKUP(B487, HoldSummary!$A:$A, HoldSummary!G:G), 0)</f>
        <v>0</v>
      </c>
      <c r="AI487">
        <f>IFERROR(_xlfn.XLOOKUP(B487, HoldSummary!$A:$A, HoldSummary!H:H), 0)</f>
        <v>0</v>
      </c>
      <c r="AJ487">
        <f>IFERROR(_xlfn.XLOOKUP(B487, HoldSummary!$A:$A, HoldSummary!I:I), 0)</f>
        <v>0</v>
      </c>
      <c r="AK487">
        <f t="shared" si="75"/>
        <v>38.692152581017581</v>
      </c>
      <c r="AL487">
        <f t="shared" si="76"/>
        <v>306.46321778935089</v>
      </c>
      <c r="AM487">
        <f t="shared" si="77"/>
        <v>102.46321778935089</v>
      </c>
      <c r="AN487" s="12">
        <f t="shared" si="78"/>
        <v>-2.1666666666642413</v>
      </c>
      <c r="AO487">
        <f t="shared" si="79"/>
        <v>1</v>
      </c>
    </row>
    <row r="488" spans="1:41" x14ac:dyDescent="0.35">
      <c r="A488" t="s">
        <v>23</v>
      </c>
      <c r="B488" t="s">
        <v>1129</v>
      </c>
      <c r="C488" t="s">
        <v>43</v>
      </c>
      <c r="D488" t="s">
        <v>44</v>
      </c>
      <c r="E488" t="s">
        <v>45</v>
      </c>
      <c r="F488" t="s">
        <v>28</v>
      </c>
      <c r="H488" t="s">
        <v>1130</v>
      </c>
      <c r="I488" t="s">
        <v>30</v>
      </c>
      <c r="J488" t="s">
        <v>31</v>
      </c>
      <c r="K488" t="s">
        <v>48</v>
      </c>
      <c r="L488" t="s">
        <v>192</v>
      </c>
      <c r="M488" t="s">
        <v>33</v>
      </c>
      <c r="N488" s="2">
        <v>45460.608622685184</v>
      </c>
      <c r="O488" s="2">
        <v>45504.166666666664</v>
      </c>
      <c r="P488" s="2">
        <v>45504.166666666664</v>
      </c>
      <c r="Q488" s="2">
        <v>45492</v>
      </c>
      <c r="R488" s="2">
        <v>45492.537151273151</v>
      </c>
      <c r="S488" t="s">
        <v>215</v>
      </c>
      <c r="T488" s="2">
        <v>45471.166666666664</v>
      </c>
      <c r="U488" s="2">
        <v>45471.166666666664</v>
      </c>
      <c r="V488" s="2">
        <v>45471.166666666664</v>
      </c>
      <c r="W488" s="2">
        <v>45471.166666666664</v>
      </c>
      <c r="X488" s="3">
        <f t="shared" si="70"/>
        <v>0</v>
      </c>
      <c r="Y488">
        <f t="shared" si="71"/>
        <v>0</v>
      </c>
      <c r="Z488">
        <f t="shared" si="72"/>
        <v>0</v>
      </c>
      <c r="AA488">
        <f t="shared" si="73"/>
        <v>31.391377314816054</v>
      </c>
      <c r="AB488">
        <f t="shared" si="74"/>
        <v>31.391377314816054</v>
      </c>
      <c r="AC488">
        <f>IFERROR(_xlfn.XLOOKUP(B488, HoldSummary!$A:$A, HoldSummary!B:B), 0)</f>
        <v>0</v>
      </c>
      <c r="AD488">
        <f>IFERROR(_xlfn.XLOOKUP(B488, HoldSummary!$A:$A, HoldSummary!C:C), 0)</f>
        <v>0</v>
      </c>
      <c r="AE488">
        <f>IFERROR(_xlfn.XLOOKUP(B488, HoldSummary!$A:$A, HoldSummary!D:D), 0)</f>
        <v>0</v>
      </c>
      <c r="AF488">
        <f>IFERROR(_xlfn.XLOOKUP(B488, HoldSummary!$A:$A, HoldSummary!E:E), 0)</f>
        <v>0</v>
      </c>
      <c r="AG488">
        <f>IFERROR(_xlfn.XLOOKUP(B488, HoldSummary!$A:$A, HoldSummary!F:F), 0)</f>
        <v>0</v>
      </c>
      <c r="AH488">
        <f>IFERROR(_xlfn.XLOOKUP(B488, HoldSummary!$A:$A, HoldSummary!G:G), 0)</f>
        <v>0</v>
      </c>
      <c r="AI488">
        <f>IFERROR(_xlfn.XLOOKUP(B488, HoldSummary!$A:$A, HoldSummary!H:H), 0)</f>
        <v>0</v>
      </c>
      <c r="AJ488">
        <f>IFERROR(_xlfn.XLOOKUP(B488, HoldSummary!$A:$A, HoldSummary!I:I), 0)</f>
        <v>0</v>
      </c>
      <c r="AK488">
        <f t="shared" si="75"/>
        <v>0</v>
      </c>
      <c r="AL488">
        <f t="shared" si="76"/>
        <v>31.391377314816054</v>
      </c>
      <c r="AM488">
        <f t="shared" si="77"/>
        <v>31.391377314816054</v>
      </c>
      <c r="AN488" s="12">
        <f t="shared" si="78"/>
        <v>-12.166666666664241</v>
      </c>
      <c r="AO488">
        <f t="shared" si="79"/>
        <v>1</v>
      </c>
    </row>
    <row r="489" spans="1:41" x14ac:dyDescent="0.35">
      <c r="A489" t="s">
        <v>23</v>
      </c>
      <c r="B489" t="s">
        <v>1131</v>
      </c>
      <c r="C489" t="s">
        <v>130</v>
      </c>
      <c r="D489" t="s">
        <v>44</v>
      </c>
      <c r="E489" t="s">
        <v>45</v>
      </c>
      <c r="F489" t="s">
        <v>28</v>
      </c>
      <c r="H489" t="s">
        <v>1132</v>
      </c>
      <c r="I489" t="s">
        <v>30</v>
      </c>
      <c r="J489" t="s">
        <v>31</v>
      </c>
      <c r="K489" t="s">
        <v>48</v>
      </c>
      <c r="L489" t="s">
        <v>192</v>
      </c>
      <c r="M489" t="s">
        <v>33</v>
      </c>
      <c r="N489" s="2">
        <v>45447.644409722219</v>
      </c>
      <c r="O489" s="2">
        <v>45541.166666666664</v>
      </c>
      <c r="P489" s="2">
        <v>45498.166666666664</v>
      </c>
      <c r="Q489" s="2">
        <v>45485</v>
      </c>
      <c r="R489" s="2">
        <v>45485.636618275465</v>
      </c>
      <c r="S489" t="s">
        <v>434</v>
      </c>
      <c r="T489" s="2"/>
      <c r="U489" s="2"/>
      <c r="V489" s="2"/>
      <c r="W489" s="2"/>
      <c r="X489" s="3" t="str">
        <f t="shared" si="70"/>
        <v/>
      </c>
      <c r="Y489" t="str">
        <f t="shared" si="71"/>
        <v/>
      </c>
      <c r="Z489">
        <f t="shared" si="72"/>
        <v>0</v>
      </c>
      <c r="AA489">
        <f t="shared" si="73"/>
        <v>37.35559027778072</v>
      </c>
      <c r="AB489">
        <f t="shared" si="74"/>
        <v>37.35559027778072</v>
      </c>
      <c r="AC489">
        <f>IFERROR(_xlfn.XLOOKUP(B489, HoldSummary!$A:$A, HoldSummary!B:B), 0)</f>
        <v>0</v>
      </c>
      <c r="AD489">
        <f>IFERROR(_xlfn.XLOOKUP(B489, HoldSummary!$A:$A, HoldSummary!C:C), 0)</f>
        <v>0</v>
      </c>
      <c r="AE489">
        <f>IFERROR(_xlfn.XLOOKUP(B489, HoldSummary!$A:$A, HoldSummary!D:D), 0)</f>
        <v>0</v>
      </c>
      <c r="AF489">
        <f>IFERROR(_xlfn.XLOOKUP(B489, HoldSummary!$A:$A, HoldSummary!E:E), 0)</f>
        <v>0</v>
      </c>
      <c r="AG489">
        <f>IFERROR(_xlfn.XLOOKUP(B489, HoldSummary!$A:$A, HoldSummary!F:F), 0)</f>
        <v>0</v>
      </c>
      <c r="AH489">
        <f>IFERROR(_xlfn.XLOOKUP(B489, HoldSummary!$A:$A, HoldSummary!G:G), 0)</f>
        <v>0</v>
      </c>
      <c r="AI489">
        <f>IFERROR(_xlfn.XLOOKUP(B489, HoldSummary!$A:$A, HoldSummary!H:H), 0)</f>
        <v>0</v>
      </c>
      <c r="AJ489">
        <f>IFERROR(_xlfn.XLOOKUP(B489, HoldSummary!$A:$A, HoldSummary!I:I), 0)</f>
        <v>0</v>
      </c>
      <c r="AK489">
        <f t="shared" si="75"/>
        <v>0</v>
      </c>
      <c r="AL489">
        <f t="shared" si="76"/>
        <v>37.35559027778072</v>
      </c>
      <c r="AM489">
        <f t="shared" si="77"/>
        <v>37.35559027778072</v>
      </c>
      <c r="AN489" s="12">
        <f t="shared" si="78"/>
        <v>-56.166666666664241</v>
      </c>
      <c r="AO489">
        <f t="shared" si="79"/>
        <v>1</v>
      </c>
    </row>
    <row r="490" spans="1:41" x14ac:dyDescent="0.35">
      <c r="A490" t="s">
        <v>23</v>
      </c>
      <c r="B490" t="s">
        <v>1133</v>
      </c>
      <c r="C490" t="s">
        <v>43</v>
      </c>
      <c r="D490" t="s">
        <v>44</v>
      </c>
      <c r="E490" t="s">
        <v>44</v>
      </c>
      <c r="F490" t="s">
        <v>28</v>
      </c>
      <c r="H490" t="s">
        <v>1134</v>
      </c>
      <c r="I490" t="s">
        <v>30</v>
      </c>
      <c r="J490" t="s">
        <v>31</v>
      </c>
      <c r="K490" t="s">
        <v>48</v>
      </c>
      <c r="L490" t="s">
        <v>192</v>
      </c>
      <c r="M490" t="s">
        <v>33</v>
      </c>
      <c r="N490" s="2">
        <v>45475.166666666664</v>
      </c>
      <c r="O490" s="2">
        <v>45504.166666666664</v>
      </c>
      <c r="P490" s="2">
        <v>45504.166666666664</v>
      </c>
      <c r="Q490" s="2">
        <v>45492</v>
      </c>
      <c r="R490" s="2">
        <v>45495.452962314812</v>
      </c>
      <c r="S490" t="s">
        <v>1135</v>
      </c>
      <c r="T490" s="2">
        <v>45475.166666666664</v>
      </c>
      <c r="U490" s="2">
        <v>45482.166666666664</v>
      </c>
      <c r="V490" s="2">
        <v>45482.166666666664</v>
      </c>
      <c r="W490" s="2">
        <v>45482.166666666664</v>
      </c>
      <c r="X490" s="3">
        <f t="shared" si="70"/>
        <v>7</v>
      </c>
      <c r="Y490">
        <f t="shared" si="71"/>
        <v>0</v>
      </c>
      <c r="Z490">
        <f t="shared" si="72"/>
        <v>7</v>
      </c>
      <c r="AA490">
        <f t="shared" si="73"/>
        <v>16.833333333335759</v>
      </c>
      <c r="AB490">
        <f t="shared" si="74"/>
        <v>9.8333333333357587</v>
      </c>
      <c r="AC490">
        <f>IFERROR(_xlfn.XLOOKUP(B490, HoldSummary!$A:$A, HoldSummary!B:B), 0)</f>
        <v>0</v>
      </c>
      <c r="AD490">
        <f>IFERROR(_xlfn.XLOOKUP(B490, HoldSummary!$A:$A, HoldSummary!C:C), 0)</f>
        <v>0</v>
      </c>
      <c r="AE490">
        <f>IFERROR(_xlfn.XLOOKUP(B490, HoldSummary!$A:$A, HoldSummary!D:D), 0)</f>
        <v>0</v>
      </c>
      <c r="AF490">
        <f>IFERROR(_xlfn.XLOOKUP(B490, HoldSummary!$A:$A, HoldSummary!E:E), 0)</f>
        <v>0</v>
      </c>
      <c r="AG490">
        <f>IFERROR(_xlfn.XLOOKUP(B490, HoldSummary!$A:$A, HoldSummary!F:F), 0)</f>
        <v>0</v>
      </c>
      <c r="AH490">
        <f>IFERROR(_xlfn.XLOOKUP(B490, HoldSummary!$A:$A, HoldSummary!G:G), 0)</f>
        <v>0</v>
      </c>
      <c r="AI490">
        <f>IFERROR(_xlfn.XLOOKUP(B490, HoldSummary!$A:$A, HoldSummary!H:H), 0)</f>
        <v>0</v>
      </c>
      <c r="AJ490">
        <f>IFERROR(_xlfn.XLOOKUP(B490, HoldSummary!$A:$A, HoldSummary!I:I), 0)</f>
        <v>0</v>
      </c>
      <c r="AK490">
        <f t="shared" si="75"/>
        <v>0</v>
      </c>
      <c r="AL490">
        <f t="shared" si="76"/>
        <v>16.833333333335759</v>
      </c>
      <c r="AM490">
        <f t="shared" si="77"/>
        <v>9.8333333333357587</v>
      </c>
      <c r="AN490" s="12">
        <f t="shared" si="78"/>
        <v>-12.166666666664241</v>
      </c>
      <c r="AO490">
        <f t="shared" si="79"/>
        <v>1</v>
      </c>
    </row>
    <row r="491" spans="1:41" x14ac:dyDescent="0.35">
      <c r="A491" t="s">
        <v>23</v>
      </c>
      <c r="B491" t="s">
        <v>1136</v>
      </c>
      <c r="C491" t="s">
        <v>43</v>
      </c>
      <c r="D491" t="s">
        <v>44</v>
      </c>
      <c r="E491" t="s">
        <v>45</v>
      </c>
      <c r="F491" t="s">
        <v>28</v>
      </c>
      <c r="H491" t="s">
        <v>1137</v>
      </c>
      <c r="I491" t="s">
        <v>30</v>
      </c>
      <c r="J491" t="s">
        <v>208</v>
      </c>
      <c r="K491" t="s">
        <v>48</v>
      </c>
      <c r="L491" t="s">
        <v>695</v>
      </c>
      <c r="N491" s="2">
        <v>45475.758009259262</v>
      </c>
      <c r="O491" s="2">
        <v>45496.166666666664</v>
      </c>
      <c r="P491" s="2">
        <v>45496.166666666664</v>
      </c>
      <c r="Q491" s="2">
        <v>45497</v>
      </c>
      <c r="R491" s="2">
        <v>45497.513276736114</v>
      </c>
      <c r="S491" t="s">
        <v>1138</v>
      </c>
      <c r="T491" s="2">
        <v>45476.166666666664</v>
      </c>
      <c r="U491" s="2">
        <v>45481.166666666664</v>
      </c>
      <c r="V491" s="2">
        <v>45481.166666666664</v>
      </c>
      <c r="W491" s="2">
        <v>45481.166666666664</v>
      </c>
      <c r="X491" s="3">
        <f t="shared" si="70"/>
        <v>5</v>
      </c>
      <c r="Y491">
        <f t="shared" si="71"/>
        <v>0</v>
      </c>
      <c r="Z491">
        <f t="shared" si="72"/>
        <v>5</v>
      </c>
      <c r="AA491">
        <f t="shared" si="73"/>
        <v>21.241990740738402</v>
      </c>
      <c r="AB491">
        <f t="shared" si="74"/>
        <v>16.241990740738402</v>
      </c>
      <c r="AC491">
        <f>IFERROR(_xlfn.XLOOKUP(B491, HoldSummary!$A:$A, HoldSummary!B:B), 0)</f>
        <v>0</v>
      </c>
      <c r="AD491">
        <f>IFERROR(_xlfn.XLOOKUP(B491, HoldSummary!$A:$A, HoldSummary!C:C), 0)</f>
        <v>0</v>
      </c>
      <c r="AE491">
        <f>IFERROR(_xlfn.XLOOKUP(B491, HoldSummary!$A:$A, HoldSummary!D:D), 0)</f>
        <v>0</v>
      </c>
      <c r="AF491">
        <f>IFERROR(_xlfn.XLOOKUP(B491, HoldSummary!$A:$A, HoldSummary!E:E), 0)</f>
        <v>0</v>
      </c>
      <c r="AG491">
        <f>IFERROR(_xlfn.XLOOKUP(B491, HoldSummary!$A:$A, HoldSummary!F:F), 0)</f>
        <v>0</v>
      </c>
      <c r="AH491">
        <f>IFERROR(_xlfn.XLOOKUP(B491, HoldSummary!$A:$A, HoldSummary!G:G), 0)</f>
        <v>0</v>
      </c>
      <c r="AI491">
        <f>IFERROR(_xlfn.XLOOKUP(B491, HoldSummary!$A:$A, HoldSummary!H:H), 0)</f>
        <v>0</v>
      </c>
      <c r="AJ491">
        <f>IFERROR(_xlfn.XLOOKUP(B491, HoldSummary!$A:$A, HoldSummary!I:I), 0)</f>
        <v>0</v>
      </c>
      <c r="AK491">
        <f t="shared" si="75"/>
        <v>0</v>
      </c>
      <c r="AL491">
        <f t="shared" si="76"/>
        <v>21.241990740738402</v>
      </c>
      <c r="AM491">
        <f t="shared" si="77"/>
        <v>16.241990740738402</v>
      </c>
      <c r="AN491" s="12">
        <f t="shared" si="78"/>
        <v>0.83333333333575865</v>
      </c>
      <c r="AO491">
        <f t="shared" si="79"/>
        <v>0</v>
      </c>
    </row>
    <row r="492" spans="1:41" x14ac:dyDescent="0.35">
      <c r="A492" t="s">
        <v>23</v>
      </c>
      <c r="B492" t="s">
        <v>1139</v>
      </c>
      <c r="C492" t="s">
        <v>43</v>
      </c>
      <c r="D492" t="s">
        <v>44</v>
      </c>
      <c r="E492" t="s">
        <v>45</v>
      </c>
      <c r="F492" t="s">
        <v>28</v>
      </c>
      <c r="H492" t="s">
        <v>1140</v>
      </c>
      <c r="I492" t="s">
        <v>30</v>
      </c>
      <c r="J492" t="s">
        <v>70</v>
      </c>
      <c r="K492" t="s">
        <v>48</v>
      </c>
      <c r="L492" t="s">
        <v>39</v>
      </c>
      <c r="M492" t="s">
        <v>33</v>
      </c>
      <c r="N492" s="2">
        <v>45462.56726851852</v>
      </c>
      <c r="O492" s="2">
        <v>45721.208333333336</v>
      </c>
      <c r="P492" s="2">
        <v>45534.166666666664</v>
      </c>
      <c r="Q492" s="2">
        <v>45525</v>
      </c>
      <c r="R492" s="2">
        <v>45525.69128269676</v>
      </c>
      <c r="T492" s="2"/>
      <c r="U492" s="2"/>
      <c r="V492" s="2"/>
      <c r="W492" s="2"/>
      <c r="X492" s="3" t="str">
        <f t="shared" si="70"/>
        <v/>
      </c>
      <c r="Y492" t="str">
        <f t="shared" si="71"/>
        <v/>
      </c>
      <c r="Z492">
        <f t="shared" si="72"/>
        <v>0</v>
      </c>
      <c r="AA492">
        <f t="shared" si="73"/>
        <v>62.432731481480005</v>
      </c>
      <c r="AB492">
        <f t="shared" si="74"/>
        <v>62.432731481480005</v>
      </c>
      <c r="AC492">
        <f>IFERROR(_xlfn.XLOOKUP(B492, HoldSummary!$A:$A, HoldSummary!B:B), 0)</f>
        <v>0</v>
      </c>
      <c r="AD492">
        <f>IFERROR(_xlfn.XLOOKUP(B492, HoldSummary!$A:$A, HoldSummary!C:C), 0)</f>
        <v>0</v>
      </c>
      <c r="AE492">
        <f>IFERROR(_xlfn.XLOOKUP(B492, HoldSummary!$A:$A, HoldSummary!D:D), 0)</f>
        <v>0</v>
      </c>
      <c r="AF492">
        <f>IFERROR(_xlfn.XLOOKUP(B492, HoldSummary!$A:$A, HoldSummary!E:E), 0)</f>
        <v>0</v>
      </c>
      <c r="AG492">
        <f>IFERROR(_xlfn.XLOOKUP(B492, HoldSummary!$A:$A, HoldSummary!F:F), 0)</f>
        <v>0</v>
      </c>
      <c r="AH492">
        <f>IFERROR(_xlfn.XLOOKUP(B492, HoldSummary!$A:$A, HoldSummary!G:G), 0)</f>
        <v>0</v>
      </c>
      <c r="AI492">
        <f>IFERROR(_xlfn.XLOOKUP(B492, HoldSummary!$A:$A, HoldSummary!H:H), 0)</f>
        <v>0</v>
      </c>
      <c r="AJ492">
        <f>IFERROR(_xlfn.XLOOKUP(B492, HoldSummary!$A:$A, HoldSummary!I:I), 0)</f>
        <v>0</v>
      </c>
      <c r="AK492">
        <f t="shared" si="75"/>
        <v>0</v>
      </c>
      <c r="AL492">
        <f t="shared" si="76"/>
        <v>62.432731481480005</v>
      </c>
      <c r="AM492">
        <f t="shared" si="77"/>
        <v>62.432731481480005</v>
      </c>
      <c r="AN492" s="12">
        <f t="shared" si="78"/>
        <v>-196.20833333333576</v>
      </c>
      <c r="AO492">
        <f t="shared" si="79"/>
        <v>1</v>
      </c>
    </row>
    <row r="493" spans="1:41" x14ac:dyDescent="0.35">
      <c r="A493" t="s">
        <v>23</v>
      </c>
      <c r="B493" t="s">
        <v>1141</v>
      </c>
      <c r="C493" t="s">
        <v>409</v>
      </c>
      <c r="D493" t="s">
        <v>44</v>
      </c>
      <c r="E493" t="s">
        <v>45</v>
      </c>
      <c r="F493" t="s">
        <v>28</v>
      </c>
      <c r="H493" t="s">
        <v>1142</v>
      </c>
      <c r="I493" t="s">
        <v>30</v>
      </c>
      <c r="J493" t="s">
        <v>31</v>
      </c>
      <c r="K493" t="s">
        <v>48</v>
      </c>
      <c r="L493" t="s">
        <v>49</v>
      </c>
      <c r="M493" t="s">
        <v>81</v>
      </c>
      <c r="N493" s="2">
        <v>45386.520879629628</v>
      </c>
      <c r="O493" s="2">
        <v>45751.166666666664</v>
      </c>
      <c r="P493" s="2">
        <v>45849.166666666664</v>
      </c>
      <c r="Q493" s="2">
        <v>45840</v>
      </c>
      <c r="R493" s="2">
        <v>45845.62236627315</v>
      </c>
      <c r="S493" t="s">
        <v>34</v>
      </c>
      <c r="T493" s="2">
        <v>45523.166666666664</v>
      </c>
      <c r="U493" s="2">
        <v>45524.166666666664</v>
      </c>
      <c r="V493" s="2">
        <v>45524.166666666664</v>
      </c>
      <c r="W493" s="2">
        <v>45737.166666666664</v>
      </c>
      <c r="X493" s="3">
        <f t="shared" si="70"/>
        <v>1</v>
      </c>
      <c r="Y493">
        <f t="shared" si="71"/>
        <v>213</v>
      </c>
      <c r="Z493">
        <f t="shared" si="72"/>
        <v>214</v>
      </c>
      <c r="AA493">
        <f t="shared" si="73"/>
        <v>453.47912037037167</v>
      </c>
      <c r="AB493">
        <f t="shared" si="74"/>
        <v>239.47912037037167</v>
      </c>
      <c r="AC493">
        <f>IFERROR(_xlfn.XLOOKUP(B493, HoldSummary!$A:$A, HoldSummary!B:B), 0)</f>
        <v>52.820924004634435</v>
      </c>
      <c r="AD493">
        <f>IFERROR(_xlfn.XLOOKUP(B493, HoldSummary!$A:$A, HoldSummary!C:C), 0)</f>
        <v>13.968890011579788</v>
      </c>
      <c r="AE493">
        <f>IFERROR(_xlfn.XLOOKUP(B493, HoldSummary!$A:$A, HoldSummary!D:D), 0)</f>
        <v>0</v>
      </c>
      <c r="AF493">
        <f>IFERROR(_xlfn.XLOOKUP(B493, HoldSummary!$A:$A, HoldSummary!E:E), 0)</f>
        <v>0</v>
      </c>
      <c r="AG493">
        <f>IFERROR(_xlfn.XLOOKUP(B493, HoldSummary!$A:$A, HoldSummary!F:F), 0)</f>
        <v>0</v>
      </c>
      <c r="AH493">
        <f>IFERROR(_xlfn.XLOOKUP(B493, HoldSummary!$A:$A, HoldSummary!G:G), 0)</f>
        <v>0</v>
      </c>
      <c r="AI493">
        <f>IFERROR(_xlfn.XLOOKUP(B493, HoldSummary!$A:$A, HoldSummary!H:H), 0)</f>
        <v>0</v>
      </c>
      <c r="AJ493">
        <f>IFERROR(_xlfn.XLOOKUP(B493, HoldSummary!$A:$A, HoldSummary!I:I), 0)</f>
        <v>0</v>
      </c>
      <c r="AK493">
        <f t="shared" si="75"/>
        <v>66.789814016214223</v>
      </c>
      <c r="AL493">
        <f t="shared" si="76"/>
        <v>386.68930635415745</v>
      </c>
      <c r="AM493">
        <f t="shared" si="77"/>
        <v>172.68930635415745</v>
      </c>
      <c r="AN493" s="12">
        <f t="shared" si="78"/>
        <v>88.833333333335759</v>
      </c>
      <c r="AO493">
        <f t="shared" si="79"/>
        <v>0</v>
      </c>
    </row>
    <row r="494" spans="1:41" x14ac:dyDescent="0.35">
      <c r="A494" t="s">
        <v>23</v>
      </c>
      <c r="B494" t="s">
        <v>1143</v>
      </c>
      <c r="C494" t="s">
        <v>54</v>
      </c>
      <c r="D494" t="s">
        <v>44</v>
      </c>
      <c r="E494" t="s">
        <v>45</v>
      </c>
      <c r="F494" t="s">
        <v>28</v>
      </c>
      <c r="H494" t="s">
        <v>1144</v>
      </c>
      <c r="I494" t="s">
        <v>30</v>
      </c>
      <c r="J494" t="s">
        <v>31</v>
      </c>
      <c r="K494" t="s">
        <v>174</v>
      </c>
      <c r="L494" t="s">
        <v>174</v>
      </c>
      <c r="M494" t="s">
        <v>33</v>
      </c>
      <c r="N494" s="2">
        <v>45442.648888888885</v>
      </c>
      <c r="O494" s="2">
        <v>45624.208333333336</v>
      </c>
      <c r="P494" s="2">
        <v>45624.208333333336</v>
      </c>
      <c r="Q494" s="2">
        <v>45604</v>
      </c>
      <c r="R494" s="2">
        <v>45608.63710792824</v>
      </c>
      <c r="T494" s="2">
        <v>45516.166666666664</v>
      </c>
      <c r="U494" s="2">
        <v>45533.166666666664</v>
      </c>
      <c r="V494" s="2">
        <v>45533.166666666664</v>
      </c>
      <c r="W494" s="2">
        <v>45575.166666666664</v>
      </c>
      <c r="X494" s="3">
        <f t="shared" si="70"/>
        <v>17</v>
      </c>
      <c r="Y494">
        <f t="shared" si="71"/>
        <v>42</v>
      </c>
      <c r="Z494">
        <f t="shared" si="72"/>
        <v>59</v>
      </c>
      <c r="AA494">
        <f t="shared" si="73"/>
        <v>161.35111111111473</v>
      </c>
      <c r="AB494">
        <f t="shared" si="74"/>
        <v>102.35111111111473</v>
      </c>
      <c r="AC494">
        <f>IFERROR(_xlfn.XLOOKUP(B494, HoldSummary!$A:$A, HoldSummary!B:B), 0)</f>
        <v>15</v>
      </c>
      <c r="AD494">
        <f>IFERROR(_xlfn.XLOOKUP(B494, HoldSummary!$A:$A, HoldSummary!C:C), 0)</f>
        <v>4</v>
      </c>
      <c r="AE494">
        <f>IFERROR(_xlfn.XLOOKUP(B494, HoldSummary!$A:$A, HoldSummary!D:D), 0)</f>
        <v>0</v>
      </c>
      <c r="AF494">
        <f>IFERROR(_xlfn.XLOOKUP(B494, HoldSummary!$A:$A, HoldSummary!E:E), 0)</f>
        <v>6</v>
      </c>
      <c r="AG494">
        <f>IFERROR(_xlfn.XLOOKUP(B494, HoldSummary!$A:$A, HoldSummary!F:F), 0)</f>
        <v>0</v>
      </c>
      <c r="AH494">
        <f>IFERROR(_xlfn.XLOOKUP(B494, HoldSummary!$A:$A, HoldSummary!G:G), 0)</f>
        <v>14</v>
      </c>
      <c r="AI494">
        <f>IFERROR(_xlfn.XLOOKUP(B494, HoldSummary!$A:$A, HoldSummary!H:H), 0)</f>
        <v>0</v>
      </c>
      <c r="AJ494">
        <f>IFERROR(_xlfn.XLOOKUP(B494, HoldSummary!$A:$A, HoldSummary!I:I), 0)</f>
        <v>0</v>
      </c>
      <c r="AK494">
        <f t="shared" si="75"/>
        <v>39</v>
      </c>
      <c r="AL494">
        <f t="shared" si="76"/>
        <v>122.35111111111473</v>
      </c>
      <c r="AM494">
        <f t="shared" si="77"/>
        <v>63.351111111114733</v>
      </c>
      <c r="AN494" s="12">
        <f t="shared" si="78"/>
        <v>-20.208333333335759</v>
      </c>
      <c r="AO494">
        <f t="shared" si="79"/>
        <v>1</v>
      </c>
    </row>
    <row r="495" spans="1:41" x14ac:dyDescent="0.35">
      <c r="A495" t="s">
        <v>23</v>
      </c>
      <c r="B495" t="s">
        <v>1145</v>
      </c>
      <c r="C495" t="s">
        <v>409</v>
      </c>
      <c r="D495" t="s">
        <v>44</v>
      </c>
      <c r="E495" t="s">
        <v>45</v>
      </c>
      <c r="F495" t="s">
        <v>28</v>
      </c>
      <c r="H495" t="s">
        <v>1146</v>
      </c>
      <c r="I495" t="s">
        <v>30</v>
      </c>
      <c r="J495" t="s">
        <v>70</v>
      </c>
      <c r="K495" t="s">
        <v>48</v>
      </c>
      <c r="L495" t="s">
        <v>49</v>
      </c>
      <c r="M495" t="s">
        <v>33</v>
      </c>
      <c r="N495" s="2">
        <v>45295.876226851855</v>
      </c>
      <c r="O495" s="2">
        <v>45737.166666666664</v>
      </c>
      <c r="P495" s="2">
        <v>45723.208333333336</v>
      </c>
      <c r="Q495" s="2">
        <v>45719</v>
      </c>
      <c r="R495" s="2">
        <v>45720.735099710648</v>
      </c>
      <c r="S495" t="s">
        <v>1068</v>
      </c>
      <c r="T495" s="2"/>
      <c r="U495" s="2"/>
      <c r="V495" s="2"/>
      <c r="W495" s="2"/>
      <c r="X495" s="3" t="str">
        <f t="shared" si="70"/>
        <v/>
      </c>
      <c r="Y495" t="str">
        <f t="shared" si="71"/>
        <v/>
      </c>
      <c r="Z495">
        <f t="shared" si="72"/>
        <v>0</v>
      </c>
      <c r="AA495">
        <f t="shared" si="73"/>
        <v>423.12377314814512</v>
      </c>
      <c r="AB495">
        <f t="shared" si="74"/>
        <v>423.12377314814512</v>
      </c>
      <c r="AC495">
        <f>IFERROR(_xlfn.XLOOKUP(B495, HoldSummary!$A:$A, HoldSummary!B:B), 0)</f>
        <v>0</v>
      </c>
      <c r="AD495">
        <f>IFERROR(_xlfn.XLOOKUP(B495, HoldSummary!$A:$A, HoldSummary!C:C), 0)</f>
        <v>137.19163204861252</v>
      </c>
      <c r="AE495">
        <f>IFERROR(_xlfn.XLOOKUP(B495, HoldSummary!$A:$A, HoldSummary!D:D), 0)</f>
        <v>0</v>
      </c>
      <c r="AF495">
        <f>IFERROR(_xlfn.XLOOKUP(B495, HoldSummary!$A:$A, HoldSummary!E:E), 0)</f>
        <v>0</v>
      </c>
      <c r="AG495">
        <f>IFERROR(_xlfn.XLOOKUP(B495, HoldSummary!$A:$A, HoldSummary!F:F), 0)</f>
        <v>0</v>
      </c>
      <c r="AH495">
        <f>IFERROR(_xlfn.XLOOKUP(B495, HoldSummary!$A:$A, HoldSummary!G:G), 0)</f>
        <v>0</v>
      </c>
      <c r="AI495">
        <f>IFERROR(_xlfn.XLOOKUP(B495, HoldSummary!$A:$A, HoldSummary!H:H), 0)</f>
        <v>0</v>
      </c>
      <c r="AJ495">
        <f>IFERROR(_xlfn.XLOOKUP(B495, HoldSummary!$A:$A, HoldSummary!I:I), 0)</f>
        <v>0</v>
      </c>
      <c r="AK495">
        <f t="shared" si="75"/>
        <v>137.19163204861252</v>
      </c>
      <c r="AL495">
        <f t="shared" si="76"/>
        <v>285.9321410995326</v>
      </c>
      <c r="AM495">
        <f t="shared" si="77"/>
        <v>285.9321410995326</v>
      </c>
      <c r="AN495" s="12">
        <f t="shared" si="78"/>
        <v>-18.166666666664241</v>
      </c>
      <c r="AO495">
        <f t="shared" si="79"/>
        <v>1</v>
      </c>
    </row>
    <row r="496" spans="1:41" x14ac:dyDescent="0.35">
      <c r="A496" t="s">
        <v>23</v>
      </c>
      <c r="B496" t="s">
        <v>1147</v>
      </c>
      <c r="C496" t="s">
        <v>43</v>
      </c>
      <c r="D496" t="s">
        <v>44</v>
      </c>
      <c r="E496" t="s">
        <v>45</v>
      </c>
      <c r="F496" t="s">
        <v>28</v>
      </c>
      <c r="H496" t="s">
        <v>1148</v>
      </c>
      <c r="I496" t="s">
        <v>30</v>
      </c>
      <c r="J496" t="s">
        <v>31</v>
      </c>
      <c r="K496" t="s">
        <v>48</v>
      </c>
      <c r="L496" t="s">
        <v>695</v>
      </c>
      <c r="M496" t="s">
        <v>33</v>
      </c>
      <c r="N496" s="2">
        <v>45498.837777777779</v>
      </c>
      <c r="O496" s="2">
        <v>45527.166666666664</v>
      </c>
      <c r="P496" s="2">
        <v>45527.166666666664</v>
      </c>
      <c r="Q496" s="2">
        <v>45512</v>
      </c>
      <c r="R496" s="2">
        <v>45512.603055104169</v>
      </c>
      <c r="T496" s="2">
        <v>45503.166666666664</v>
      </c>
      <c r="U496" s="2">
        <v>45506.166666666664</v>
      </c>
      <c r="V496" s="2">
        <v>45506.166666666664</v>
      </c>
      <c r="W496" s="2">
        <v>45506.166666666664</v>
      </c>
      <c r="X496" s="3">
        <f t="shared" si="70"/>
        <v>3</v>
      </c>
      <c r="Y496">
        <f t="shared" si="71"/>
        <v>0</v>
      </c>
      <c r="Z496">
        <f t="shared" si="72"/>
        <v>3</v>
      </c>
      <c r="AA496">
        <f t="shared" si="73"/>
        <v>13.162222222221317</v>
      </c>
      <c r="AB496">
        <f t="shared" si="74"/>
        <v>10.162222222221317</v>
      </c>
      <c r="AC496">
        <f>IFERROR(_xlfn.XLOOKUP(B496, HoldSummary!$A:$A, HoldSummary!B:B), 0)</f>
        <v>0</v>
      </c>
      <c r="AD496">
        <f>IFERROR(_xlfn.XLOOKUP(B496, HoldSummary!$A:$A, HoldSummary!C:C), 0)</f>
        <v>0</v>
      </c>
      <c r="AE496">
        <f>IFERROR(_xlfn.XLOOKUP(B496, HoldSummary!$A:$A, HoldSummary!D:D), 0)</f>
        <v>0</v>
      </c>
      <c r="AF496">
        <f>IFERROR(_xlfn.XLOOKUP(B496, HoldSummary!$A:$A, HoldSummary!E:E), 0)</f>
        <v>0</v>
      </c>
      <c r="AG496">
        <f>IFERROR(_xlfn.XLOOKUP(B496, HoldSummary!$A:$A, HoldSummary!F:F), 0)</f>
        <v>0</v>
      </c>
      <c r="AH496">
        <f>IFERROR(_xlfn.XLOOKUP(B496, HoldSummary!$A:$A, HoldSummary!G:G), 0)</f>
        <v>0</v>
      </c>
      <c r="AI496">
        <f>IFERROR(_xlfn.XLOOKUP(B496, HoldSummary!$A:$A, HoldSummary!H:H), 0)</f>
        <v>0</v>
      </c>
      <c r="AJ496">
        <f>IFERROR(_xlfn.XLOOKUP(B496, HoldSummary!$A:$A, HoldSummary!I:I), 0)</f>
        <v>0</v>
      </c>
      <c r="AK496">
        <f t="shared" si="75"/>
        <v>0</v>
      </c>
      <c r="AL496">
        <f t="shared" si="76"/>
        <v>13.162222222221317</v>
      </c>
      <c r="AM496">
        <f t="shared" si="77"/>
        <v>10.162222222221317</v>
      </c>
      <c r="AN496" s="12">
        <f t="shared" si="78"/>
        <v>-15.166666666664241</v>
      </c>
      <c r="AO496">
        <f t="shared" si="79"/>
        <v>1</v>
      </c>
    </row>
    <row r="497" spans="1:41" x14ac:dyDescent="0.35">
      <c r="A497" t="s">
        <v>23</v>
      </c>
      <c r="B497" t="s">
        <v>1149</v>
      </c>
      <c r="C497" t="s">
        <v>130</v>
      </c>
      <c r="D497" t="s">
        <v>44</v>
      </c>
      <c r="E497" t="s">
        <v>45</v>
      </c>
      <c r="F497" t="s">
        <v>28</v>
      </c>
      <c r="H497" t="s">
        <v>1150</v>
      </c>
      <c r="I497" t="s">
        <v>30</v>
      </c>
      <c r="J497" t="s">
        <v>31</v>
      </c>
      <c r="K497" t="s">
        <v>57</v>
      </c>
      <c r="L497" t="s">
        <v>39</v>
      </c>
      <c r="M497" t="s">
        <v>33</v>
      </c>
      <c r="N497" s="2">
        <v>45434.873206018521</v>
      </c>
      <c r="O497" s="2">
        <v>45709.208333333336</v>
      </c>
      <c r="P497" s="2">
        <v>45719.208333333336</v>
      </c>
      <c r="Q497" s="2">
        <v>45716</v>
      </c>
      <c r="R497" s="2">
        <v>45716.902101006941</v>
      </c>
      <c r="S497" t="s">
        <v>1114</v>
      </c>
      <c r="T497" s="2">
        <v>45660.208333333336</v>
      </c>
      <c r="U497" s="2">
        <v>45660.208333333336</v>
      </c>
      <c r="V497" s="2">
        <v>45660.208333333336</v>
      </c>
      <c r="W497" s="2">
        <v>45681.208333333336</v>
      </c>
      <c r="X497" s="3">
        <f t="shared" si="70"/>
        <v>0</v>
      </c>
      <c r="Y497">
        <f t="shared" si="71"/>
        <v>21</v>
      </c>
      <c r="Z497">
        <f t="shared" si="72"/>
        <v>21</v>
      </c>
      <c r="AA497">
        <f t="shared" si="73"/>
        <v>281.12679398147884</v>
      </c>
      <c r="AB497">
        <f t="shared" si="74"/>
        <v>260.12679398147884</v>
      </c>
      <c r="AC497">
        <f>IFERROR(_xlfn.XLOOKUP(B497, HoldSummary!$A:$A, HoldSummary!B:B), 0)</f>
        <v>37</v>
      </c>
      <c r="AD497">
        <f>IFERROR(_xlfn.XLOOKUP(B497, HoldSummary!$A:$A, HoldSummary!C:C), 0)</f>
        <v>0</v>
      </c>
      <c r="AE497">
        <f>IFERROR(_xlfn.XLOOKUP(B497, HoldSummary!$A:$A, HoldSummary!D:D), 0)</f>
        <v>6</v>
      </c>
      <c r="AF497">
        <f>IFERROR(_xlfn.XLOOKUP(B497, HoldSummary!$A:$A, HoldSummary!E:E), 0)</f>
        <v>0</v>
      </c>
      <c r="AG497">
        <f>IFERROR(_xlfn.XLOOKUP(B497, HoldSummary!$A:$A, HoldSummary!F:F), 0)</f>
        <v>0</v>
      </c>
      <c r="AH497">
        <f>IFERROR(_xlfn.XLOOKUP(B497, HoldSummary!$A:$A, HoldSummary!G:G), 0)</f>
        <v>0</v>
      </c>
      <c r="AI497">
        <f>IFERROR(_xlfn.XLOOKUP(B497, HoldSummary!$A:$A, HoldSummary!H:H), 0)</f>
        <v>0</v>
      </c>
      <c r="AJ497">
        <f>IFERROR(_xlfn.XLOOKUP(B497, HoldSummary!$A:$A, HoldSummary!I:I), 0)</f>
        <v>0</v>
      </c>
      <c r="AK497">
        <f t="shared" si="75"/>
        <v>43</v>
      </c>
      <c r="AL497">
        <f t="shared" si="76"/>
        <v>238.12679398147884</v>
      </c>
      <c r="AM497">
        <f t="shared" si="77"/>
        <v>217.12679398147884</v>
      </c>
      <c r="AN497" s="12">
        <f t="shared" si="78"/>
        <v>6.7916666666642413</v>
      </c>
      <c r="AO497">
        <f t="shared" si="79"/>
        <v>0</v>
      </c>
    </row>
    <row r="498" spans="1:41" x14ac:dyDescent="0.35">
      <c r="A498" t="s">
        <v>23</v>
      </c>
      <c r="B498" t="s">
        <v>1151</v>
      </c>
      <c r="C498" t="s">
        <v>135</v>
      </c>
      <c r="D498" t="s">
        <v>44</v>
      </c>
      <c r="E498" t="s">
        <v>45</v>
      </c>
      <c r="F498" t="s">
        <v>28</v>
      </c>
      <c r="H498" t="s">
        <v>1152</v>
      </c>
      <c r="I498" t="s">
        <v>30</v>
      </c>
      <c r="J498" t="s">
        <v>70</v>
      </c>
      <c r="K498" t="s">
        <v>32</v>
      </c>
      <c r="L498" t="s">
        <v>32</v>
      </c>
      <c r="M498" t="s">
        <v>33</v>
      </c>
      <c r="N498" s="2">
        <v>45357.430763888886</v>
      </c>
      <c r="O498" s="2">
        <v>45611.208333333336</v>
      </c>
      <c r="P498" s="2">
        <v>45618.208333333336</v>
      </c>
      <c r="Q498" s="2">
        <v>45617</v>
      </c>
      <c r="R498" s="2">
        <v>45617.778333831018</v>
      </c>
      <c r="S498" t="s">
        <v>751</v>
      </c>
      <c r="T498" s="2">
        <v>45520.166666666664</v>
      </c>
      <c r="U498" s="2">
        <v>45539.166666666664</v>
      </c>
      <c r="V498" s="2">
        <v>45539.166666666664</v>
      </c>
      <c r="W498" s="2">
        <v>45574.166666666664</v>
      </c>
      <c r="X498" s="3">
        <f t="shared" si="70"/>
        <v>19</v>
      </c>
      <c r="Y498">
        <f t="shared" si="71"/>
        <v>35</v>
      </c>
      <c r="Z498">
        <f t="shared" si="72"/>
        <v>54</v>
      </c>
      <c r="AA498">
        <f t="shared" si="73"/>
        <v>259.56923611111415</v>
      </c>
      <c r="AB498">
        <f t="shared" si="74"/>
        <v>205.56923611111415</v>
      </c>
      <c r="AC498">
        <f>IFERROR(_xlfn.XLOOKUP(B498, HoldSummary!$A:$A, HoldSummary!B:B), 0)</f>
        <v>0</v>
      </c>
      <c r="AD498">
        <f>IFERROR(_xlfn.XLOOKUP(B498, HoldSummary!$A:$A, HoldSummary!C:C), 0)</f>
        <v>0</v>
      </c>
      <c r="AE498">
        <f>IFERROR(_xlfn.XLOOKUP(B498, HoldSummary!$A:$A, HoldSummary!D:D), 0)</f>
        <v>0</v>
      </c>
      <c r="AF498">
        <f>IFERROR(_xlfn.XLOOKUP(B498, HoldSummary!$A:$A, HoldSummary!E:E), 0)</f>
        <v>0</v>
      </c>
      <c r="AG498">
        <f>IFERROR(_xlfn.XLOOKUP(B498, HoldSummary!$A:$A, HoldSummary!F:F), 0)</f>
        <v>0</v>
      </c>
      <c r="AH498">
        <f>IFERROR(_xlfn.XLOOKUP(B498, HoldSummary!$A:$A, HoldSummary!G:G), 0)</f>
        <v>0</v>
      </c>
      <c r="AI498">
        <f>IFERROR(_xlfn.XLOOKUP(B498, HoldSummary!$A:$A, HoldSummary!H:H), 0)</f>
        <v>0</v>
      </c>
      <c r="AJ498">
        <f>IFERROR(_xlfn.XLOOKUP(B498, HoldSummary!$A:$A, HoldSummary!I:I), 0)</f>
        <v>0</v>
      </c>
      <c r="AK498">
        <f t="shared" si="75"/>
        <v>0</v>
      </c>
      <c r="AL498">
        <f t="shared" si="76"/>
        <v>259.56923611111415</v>
      </c>
      <c r="AM498">
        <f t="shared" si="77"/>
        <v>205.56923611111415</v>
      </c>
      <c r="AN498" s="12">
        <f t="shared" si="78"/>
        <v>5.7916666666642413</v>
      </c>
      <c r="AO498">
        <f t="shared" si="79"/>
        <v>0</v>
      </c>
    </row>
    <row r="499" spans="1:41" x14ac:dyDescent="0.35">
      <c r="A499" t="s">
        <v>23</v>
      </c>
      <c r="B499" t="s">
        <v>1153</v>
      </c>
      <c r="C499" t="s">
        <v>409</v>
      </c>
      <c r="D499" t="s">
        <v>44</v>
      </c>
      <c r="E499" t="s">
        <v>45</v>
      </c>
      <c r="F499" t="s">
        <v>28</v>
      </c>
      <c r="H499" t="s">
        <v>1154</v>
      </c>
      <c r="I499" t="s">
        <v>30</v>
      </c>
      <c r="J499" t="s">
        <v>31</v>
      </c>
      <c r="K499" t="s">
        <v>48</v>
      </c>
      <c r="L499" t="s">
        <v>49</v>
      </c>
      <c r="M499" t="s">
        <v>140</v>
      </c>
      <c r="N499" s="2">
        <v>45464.677743055552</v>
      </c>
      <c r="O499" s="2">
        <v>45751.166666666664</v>
      </c>
      <c r="P499" s="2">
        <v>45807.166666666664</v>
      </c>
      <c r="Q499" s="2">
        <v>45796</v>
      </c>
      <c r="R499" s="2">
        <v>45796.615591412039</v>
      </c>
      <c r="S499" t="s">
        <v>875</v>
      </c>
      <c r="T499" s="2">
        <v>45589.166666666664</v>
      </c>
      <c r="U499" s="2">
        <v>45596.166666666664</v>
      </c>
      <c r="V499" s="2">
        <v>45596.166666666664</v>
      </c>
      <c r="W499" s="2">
        <v>45737.166666666664</v>
      </c>
      <c r="X499" s="3">
        <f t="shared" si="70"/>
        <v>7</v>
      </c>
      <c r="Y499">
        <f t="shared" si="71"/>
        <v>141</v>
      </c>
      <c r="Z499">
        <f t="shared" si="72"/>
        <v>148</v>
      </c>
      <c r="AA499">
        <f t="shared" si="73"/>
        <v>331.32225694444787</v>
      </c>
      <c r="AB499">
        <f t="shared" si="74"/>
        <v>183.32225694444787</v>
      </c>
      <c r="AC499">
        <f>IFERROR(_xlfn.XLOOKUP(B499, HoldSummary!$A:$A, HoldSummary!B:B), 0)</f>
        <v>20.797822337961406</v>
      </c>
      <c r="AD499">
        <f>IFERROR(_xlfn.XLOOKUP(B499, HoldSummary!$A:$A, HoldSummary!C:C), 0)</f>
        <v>18.778806898153562</v>
      </c>
      <c r="AE499">
        <f>IFERROR(_xlfn.XLOOKUP(B499, HoldSummary!$A:$A, HoldSummary!D:D), 0)</f>
        <v>0</v>
      </c>
      <c r="AF499">
        <f>IFERROR(_xlfn.XLOOKUP(B499, HoldSummary!$A:$A, HoldSummary!E:E), 0)</f>
        <v>0</v>
      </c>
      <c r="AG499">
        <f>IFERROR(_xlfn.XLOOKUP(B499, HoldSummary!$A:$A, HoldSummary!F:F), 0)</f>
        <v>0</v>
      </c>
      <c r="AH499">
        <f>IFERROR(_xlfn.XLOOKUP(B499, HoldSummary!$A:$A, HoldSummary!G:G), 0)</f>
        <v>0</v>
      </c>
      <c r="AI499">
        <f>IFERROR(_xlfn.XLOOKUP(B499, HoldSummary!$A:$A, HoldSummary!H:H), 0)</f>
        <v>0</v>
      </c>
      <c r="AJ499">
        <f>IFERROR(_xlfn.XLOOKUP(B499, HoldSummary!$A:$A, HoldSummary!I:I), 0)</f>
        <v>0</v>
      </c>
      <c r="AK499">
        <f t="shared" si="75"/>
        <v>39.576629236114968</v>
      </c>
      <c r="AL499">
        <f t="shared" si="76"/>
        <v>291.7456277083329</v>
      </c>
      <c r="AM499">
        <f t="shared" si="77"/>
        <v>143.7456277083329</v>
      </c>
      <c r="AN499" s="12">
        <f t="shared" si="78"/>
        <v>44.833333333335759</v>
      </c>
      <c r="AO499">
        <f t="shared" si="79"/>
        <v>0</v>
      </c>
    </row>
    <row r="500" spans="1:41" x14ac:dyDescent="0.35">
      <c r="A500" t="s">
        <v>23</v>
      </c>
      <c r="B500">
        <v>106773</v>
      </c>
      <c r="C500" t="s">
        <v>76</v>
      </c>
      <c r="D500" t="s">
        <v>44</v>
      </c>
      <c r="E500" t="s">
        <v>55</v>
      </c>
      <c r="F500" t="s">
        <v>28</v>
      </c>
      <c r="H500" t="s">
        <v>1155</v>
      </c>
      <c r="I500" t="s">
        <v>30</v>
      </c>
      <c r="J500" t="s">
        <v>31</v>
      </c>
      <c r="K500" t="s">
        <v>57</v>
      </c>
      <c r="L500" t="s">
        <v>39</v>
      </c>
      <c r="M500" t="s">
        <v>33</v>
      </c>
      <c r="N500" s="2">
        <v>45471.166666666664</v>
      </c>
      <c r="O500" s="2">
        <v>45642.208333333336</v>
      </c>
      <c r="P500" s="2">
        <v>45609.208333333336</v>
      </c>
      <c r="Q500" s="2">
        <v>45583</v>
      </c>
      <c r="R500" s="2">
        <v>45583.832040127316</v>
      </c>
      <c r="T500" s="2">
        <v>45539.166666666664</v>
      </c>
      <c r="U500" s="2">
        <v>45567.166666666664</v>
      </c>
      <c r="V500" s="2">
        <v>45567.166666666664</v>
      </c>
      <c r="W500" s="2">
        <v>45568.166666666664</v>
      </c>
      <c r="X500" s="3">
        <f t="shared" si="70"/>
        <v>28</v>
      </c>
      <c r="Y500">
        <f t="shared" si="71"/>
        <v>1</v>
      </c>
      <c r="Z500">
        <f t="shared" si="72"/>
        <v>29</v>
      </c>
      <c r="AA500">
        <f t="shared" si="73"/>
        <v>111.83333333333576</v>
      </c>
      <c r="AB500">
        <f t="shared" si="74"/>
        <v>82.833333333335759</v>
      </c>
      <c r="AC500">
        <f>IFERROR(_xlfn.XLOOKUP(B500, HoldSummary!$A:$A, HoldSummary!B:B), 0)</f>
        <v>3</v>
      </c>
      <c r="AD500">
        <f>IFERROR(_xlfn.XLOOKUP(B500, HoldSummary!$A:$A, HoldSummary!C:C), 0)</f>
        <v>0</v>
      </c>
      <c r="AE500">
        <f>IFERROR(_xlfn.XLOOKUP(B500, HoldSummary!$A:$A, HoldSummary!D:D), 0)</f>
        <v>0</v>
      </c>
      <c r="AF500">
        <f>IFERROR(_xlfn.XLOOKUP(B500, HoldSummary!$A:$A, HoldSummary!E:E), 0)</f>
        <v>0</v>
      </c>
      <c r="AG500">
        <f>IFERROR(_xlfn.XLOOKUP(B500, HoldSummary!$A:$A, HoldSummary!F:F), 0)</f>
        <v>0</v>
      </c>
      <c r="AH500">
        <f>IFERROR(_xlfn.XLOOKUP(B500, HoldSummary!$A:$A, HoldSummary!G:G), 0)</f>
        <v>0</v>
      </c>
      <c r="AI500">
        <f>IFERROR(_xlfn.XLOOKUP(B500, HoldSummary!$A:$A, HoldSummary!H:H), 0)</f>
        <v>0</v>
      </c>
      <c r="AJ500">
        <f>IFERROR(_xlfn.XLOOKUP(B500, HoldSummary!$A:$A, HoldSummary!I:I), 0)</f>
        <v>0</v>
      </c>
      <c r="AK500">
        <f t="shared" si="75"/>
        <v>3</v>
      </c>
      <c r="AL500">
        <f t="shared" si="76"/>
        <v>108.83333333333576</v>
      </c>
      <c r="AM500">
        <f t="shared" si="77"/>
        <v>79.833333333335759</v>
      </c>
      <c r="AN500" s="12">
        <f t="shared" si="78"/>
        <v>-59.208333333335759</v>
      </c>
      <c r="AO500">
        <f t="shared" si="79"/>
        <v>1</v>
      </c>
    </row>
    <row r="501" spans="1:41" x14ac:dyDescent="0.35">
      <c r="A501" t="s">
        <v>23</v>
      </c>
      <c r="B501" t="s">
        <v>1156</v>
      </c>
      <c r="C501" t="s">
        <v>54</v>
      </c>
      <c r="D501" t="s">
        <v>44</v>
      </c>
      <c r="E501" t="s">
        <v>45</v>
      </c>
      <c r="F501" t="s">
        <v>28</v>
      </c>
      <c r="H501" t="s">
        <v>1157</v>
      </c>
      <c r="I501" t="s">
        <v>30</v>
      </c>
      <c r="J501" t="s">
        <v>31</v>
      </c>
      <c r="K501" t="s">
        <v>174</v>
      </c>
      <c r="L501" t="s">
        <v>174</v>
      </c>
      <c r="M501" t="s">
        <v>33</v>
      </c>
      <c r="N501" s="2">
        <v>45512.560578703706</v>
      </c>
      <c r="O501" s="2">
        <v>45617.208333333336</v>
      </c>
      <c r="P501" s="2">
        <v>45590.166666666664</v>
      </c>
      <c r="Q501" s="2">
        <v>45590</v>
      </c>
      <c r="R501" s="2">
        <v>45595.732365034724</v>
      </c>
      <c r="T501" s="2">
        <v>45539.166666666664</v>
      </c>
      <c r="U501" s="2">
        <v>45547.166666666664</v>
      </c>
      <c r="V501" s="2">
        <v>45547.166666666664</v>
      </c>
      <c r="W501" s="2">
        <v>45572.166666666664</v>
      </c>
      <c r="X501" s="3">
        <f t="shared" si="70"/>
        <v>8</v>
      </c>
      <c r="Y501">
        <f t="shared" si="71"/>
        <v>25</v>
      </c>
      <c r="Z501">
        <f t="shared" si="72"/>
        <v>33</v>
      </c>
      <c r="AA501">
        <f t="shared" si="73"/>
        <v>77.439421296294313</v>
      </c>
      <c r="AB501">
        <f t="shared" si="74"/>
        <v>44.439421296294313</v>
      </c>
      <c r="AC501">
        <f>IFERROR(_xlfn.XLOOKUP(B501, HoldSummary!$A:$A, HoldSummary!B:B), 0)</f>
        <v>0</v>
      </c>
      <c r="AD501">
        <f>IFERROR(_xlfn.XLOOKUP(B501, HoldSummary!$A:$A, HoldSummary!C:C), 0)</f>
        <v>0</v>
      </c>
      <c r="AE501">
        <f>IFERROR(_xlfn.XLOOKUP(B501, HoldSummary!$A:$A, HoldSummary!D:D), 0)</f>
        <v>0</v>
      </c>
      <c r="AF501">
        <f>IFERROR(_xlfn.XLOOKUP(B501, HoldSummary!$A:$A, HoldSummary!E:E), 0)</f>
        <v>0</v>
      </c>
      <c r="AG501">
        <f>IFERROR(_xlfn.XLOOKUP(B501, HoldSummary!$A:$A, HoldSummary!F:F), 0)</f>
        <v>0</v>
      </c>
      <c r="AH501">
        <f>IFERROR(_xlfn.XLOOKUP(B501, HoldSummary!$A:$A, HoldSummary!G:G), 0)</f>
        <v>6</v>
      </c>
      <c r="AI501">
        <f>IFERROR(_xlfn.XLOOKUP(B501, HoldSummary!$A:$A, HoldSummary!H:H), 0)</f>
        <v>0</v>
      </c>
      <c r="AJ501">
        <f>IFERROR(_xlfn.XLOOKUP(B501, HoldSummary!$A:$A, HoldSummary!I:I), 0)</f>
        <v>0</v>
      </c>
      <c r="AK501">
        <f t="shared" si="75"/>
        <v>6</v>
      </c>
      <c r="AL501">
        <f t="shared" si="76"/>
        <v>71.439421296294313</v>
      </c>
      <c r="AM501">
        <f t="shared" si="77"/>
        <v>38.439421296294313</v>
      </c>
      <c r="AN501" s="12">
        <f t="shared" si="78"/>
        <v>-27.208333333335759</v>
      </c>
      <c r="AO501">
        <f t="shared" si="79"/>
        <v>1</v>
      </c>
    </row>
    <row r="502" spans="1:41" x14ac:dyDescent="0.35">
      <c r="A502" t="s">
        <v>23</v>
      </c>
      <c r="B502">
        <v>107430</v>
      </c>
      <c r="C502" t="s">
        <v>461</v>
      </c>
      <c r="D502" t="s">
        <v>44</v>
      </c>
      <c r="E502" t="s">
        <v>55</v>
      </c>
      <c r="F502" t="s">
        <v>28</v>
      </c>
      <c r="H502" t="s">
        <v>1158</v>
      </c>
      <c r="I502" t="s">
        <v>30</v>
      </c>
      <c r="J502" t="s">
        <v>31</v>
      </c>
      <c r="K502" t="s">
        <v>57</v>
      </c>
      <c r="L502" t="s">
        <v>39</v>
      </c>
      <c r="N502" s="2">
        <v>45509.166666666664</v>
      </c>
      <c r="O502" s="2">
        <v>45639.208333333336</v>
      </c>
      <c r="P502" s="2">
        <v>45596.166666666664</v>
      </c>
      <c r="Q502" s="2">
        <v>45583</v>
      </c>
      <c r="R502" s="2">
        <v>45586.557152835645</v>
      </c>
      <c r="T502" s="2">
        <v>45520.166666666664</v>
      </c>
      <c r="U502" s="2">
        <v>45546.166666666664</v>
      </c>
      <c r="V502" s="2">
        <v>45546.166666666664</v>
      </c>
      <c r="W502" s="2">
        <v>45579.166666666664</v>
      </c>
      <c r="X502" s="3">
        <f t="shared" si="70"/>
        <v>26</v>
      </c>
      <c r="Y502">
        <f t="shared" si="71"/>
        <v>33</v>
      </c>
      <c r="Z502">
        <f t="shared" si="72"/>
        <v>59</v>
      </c>
      <c r="AA502">
        <f t="shared" si="73"/>
        <v>73.833333333335759</v>
      </c>
      <c r="AB502">
        <f t="shared" si="74"/>
        <v>14.833333333335759</v>
      </c>
      <c r="AC502">
        <f>IFERROR(_xlfn.XLOOKUP(B502, HoldSummary!$A:$A, HoldSummary!B:B), 0)</f>
        <v>0</v>
      </c>
      <c r="AD502">
        <f>IFERROR(_xlfn.XLOOKUP(B502, HoldSummary!$A:$A, HoldSummary!C:C), 0)</f>
        <v>0</v>
      </c>
      <c r="AE502">
        <f>IFERROR(_xlfn.XLOOKUP(B502, HoldSummary!$A:$A, HoldSummary!D:D), 0)</f>
        <v>0</v>
      </c>
      <c r="AF502">
        <f>IFERROR(_xlfn.XLOOKUP(B502, HoldSummary!$A:$A, HoldSummary!E:E), 0)</f>
        <v>0</v>
      </c>
      <c r="AG502">
        <f>IFERROR(_xlfn.XLOOKUP(B502, HoldSummary!$A:$A, HoldSummary!F:F), 0)</f>
        <v>0</v>
      </c>
      <c r="AH502">
        <f>IFERROR(_xlfn.XLOOKUP(B502, HoldSummary!$A:$A, HoldSummary!G:G), 0)</f>
        <v>0</v>
      </c>
      <c r="AI502">
        <f>IFERROR(_xlfn.XLOOKUP(B502, HoldSummary!$A:$A, HoldSummary!H:H), 0)</f>
        <v>0</v>
      </c>
      <c r="AJ502">
        <f>IFERROR(_xlfn.XLOOKUP(B502, HoldSummary!$A:$A, HoldSummary!I:I), 0)</f>
        <v>0</v>
      </c>
      <c r="AK502">
        <f t="shared" si="75"/>
        <v>0</v>
      </c>
      <c r="AL502">
        <f t="shared" si="76"/>
        <v>73.833333333335759</v>
      </c>
      <c r="AM502">
        <f t="shared" si="77"/>
        <v>14.833333333335759</v>
      </c>
      <c r="AN502" s="12">
        <f t="shared" si="78"/>
        <v>-56.208333333335759</v>
      </c>
      <c r="AO502">
        <f t="shared" si="79"/>
        <v>1</v>
      </c>
    </row>
    <row r="503" spans="1:41" x14ac:dyDescent="0.35">
      <c r="A503" t="s">
        <v>23</v>
      </c>
      <c r="B503" t="s">
        <v>1159</v>
      </c>
      <c r="C503" t="s">
        <v>43</v>
      </c>
      <c r="D503" t="s">
        <v>44</v>
      </c>
      <c r="E503" t="s">
        <v>45</v>
      </c>
      <c r="F503" t="s">
        <v>28</v>
      </c>
      <c r="H503" t="s">
        <v>1160</v>
      </c>
      <c r="I503" t="s">
        <v>30</v>
      </c>
      <c r="J503" t="s">
        <v>31</v>
      </c>
      <c r="K503" t="s">
        <v>48</v>
      </c>
      <c r="L503" t="s">
        <v>695</v>
      </c>
      <c r="N503" s="2">
        <v>45517.538090277776</v>
      </c>
      <c r="O503" s="2">
        <v>45527.166666666664</v>
      </c>
      <c r="P503" s="2">
        <v>45531.166666666664</v>
      </c>
      <c r="Q503" s="2">
        <v>45527</v>
      </c>
      <c r="R503" s="2">
        <v>45530.677382106478</v>
      </c>
      <c r="T503" s="2">
        <v>45519.166666666664</v>
      </c>
      <c r="U503" s="2">
        <v>45519.166666666664</v>
      </c>
      <c r="V503" s="2">
        <v>45519.166666666664</v>
      </c>
      <c r="W503" s="2">
        <v>45519.166666666664</v>
      </c>
      <c r="X503" s="3">
        <f t="shared" si="70"/>
        <v>0</v>
      </c>
      <c r="Y503">
        <f t="shared" si="71"/>
        <v>0</v>
      </c>
      <c r="Z503">
        <f t="shared" si="72"/>
        <v>0</v>
      </c>
      <c r="AA503">
        <f t="shared" si="73"/>
        <v>9.4619097222239361</v>
      </c>
      <c r="AB503">
        <f t="shared" si="74"/>
        <v>9.4619097222239361</v>
      </c>
      <c r="AC503">
        <f>IFERROR(_xlfn.XLOOKUP(B503, HoldSummary!$A:$A, HoldSummary!B:B), 0)</f>
        <v>0</v>
      </c>
      <c r="AD503">
        <f>IFERROR(_xlfn.XLOOKUP(B503, HoldSummary!$A:$A, HoldSummary!C:C), 0)</f>
        <v>0</v>
      </c>
      <c r="AE503">
        <f>IFERROR(_xlfn.XLOOKUP(B503, HoldSummary!$A:$A, HoldSummary!D:D), 0)</f>
        <v>0</v>
      </c>
      <c r="AF503">
        <f>IFERROR(_xlfn.XLOOKUP(B503, HoldSummary!$A:$A, HoldSummary!E:E), 0)</f>
        <v>0</v>
      </c>
      <c r="AG503">
        <f>IFERROR(_xlfn.XLOOKUP(B503, HoldSummary!$A:$A, HoldSummary!F:F), 0)</f>
        <v>0.33458208332740469</v>
      </c>
      <c r="AH503">
        <f>IFERROR(_xlfn.XLOOKUP(B503, HoldSummary!$A:$A, HoldSummary!G:G), 0)</f>
        <v>0</v>
      </c>
      <c r="AI503">
        <f>IFERROR(_xlfn.XLOOKUP(B503, HoldSummary!$A:$A, HoldSummary!H:H), 0)</f>
        <v>0</v>
      </c>
      <c r="AJ503">
        <f>IFERROR(_xlfn.XLOOKUP(B503, HoldSummary!$A:$A, HoldSummary!I:I), 0)</f>
        <v>0</v>
      </c>
      <c r="AK503">
        <f t="shared" si="75"/>
        <v>0.33458208332740469</v>
      </c>
      <c r="AL503">
        <f t="shared" si="76"/>
        <v>9.1273276388965314</v>
      </c>
      <c r="AM503">
        <f t="shared" si="77"/>
        <v>9.1273276388965314</v>
      </c>
      <c r="AN503" s="12">
        <f t="shared" si="78"/>
        <v>-0.16666666666424135</v>
      </c>
      <c r="AO503">
        <f t="shared" si="79"/>
        <v>1</v>
      </c>
    </row>
    <row r="504" spans="1:41" x14ac:dyDescent="0.35">
      <c r="A504" t="s">
        <v>23</v>
      </c>
      <c r="B504" t="s">
        <v>1161</v>
      </c>
      <c r="C504" t="s">
        <v>409</v>
      </c>
      <c r="D504" t="s">
        <v>44</v>
      </c>
      <c r="E504" t="s">
        <v>45</v>
      </c>
      <c r="F504" t="s">
        <v>28</v>
      </c>
      <c r="H504" t="s">
        <v>1162</v>
      </c>
      <c r="I504" t="s">
        <v>30</v>
      </c>
      <c r="J504" t="s">
        <v>31</v>
      </c>
      <c r="K504" t="s">
        <v>32</v>
      </c>
      <c r="L504" t="s">
        <v>32</v>
      </c>
      <c r="M504" t="s">
        <v>33</v>
      </c>
      <c r="N504" s="2">
        <v>45491.488171296296</v>
      </c>
      <c r="O504" s="2">
        <v>45596.166666666664</v>
      </c>
      <c r="P504" s="2">
        <v>45596.166666666664</v>
      </c>
      <c r="Q504" s="2">
        <v>45587</v>
      </c>
      <c r="R504" s="2">
        <v>45588.573992627316</v>
      </c>
      <c r="S504" t="s">
        <v>834</v>
      </c>
      <c r="T504" s="2">
        <v>45566.166666666664</v>
      </c>
      <c r="U504" s="2">
        <v>45566.166666666664</v>
      </c>
      <c r="V504" s="2">
        <v>45566.166666666664</v>
      </c>
      <c r="W504" s="2">
        <v>45575.166666666664</v>
      </c>
      <c r="X504" s="3">
        <f t="shared" si="70"/>
        <v>0</v>
      </c>
      <c r="Y504">
        <f t="shared" si="71"/>
        <v>9</v>
      </c>
      <c r="Z504">
        <f t="shared" si="72"/>
        <v>9</v>
      </c>
      <c r="AA504">
        <f t="shared" si="73"/>
        <v>95.511828703703941</v>
      </c>
      <c r="AB504">
        <f t="shared" si="74"/>
        <v>86.511828703703941</v>
      </c>
      <c r="AC504">
        <f>IFERROR(_xlfn.XLOOKUP(B504, HoldSummary!$A:$A, HoldSummary!B:B), 0)</f>
        <v>0</v>
      </c>
      <c r="AD504">
        <f>IFERROR(_xlfn.XLOOKUP(B504, HoldSummary!$A:$A, HoldSummary!C:C), 0)</f>
        <v>3</v>
      </c>
      <c r="AE504">
        <f>IFERROR(_xlfn.XLOOKUP(B504, HoldSummary!$A:$A, HoldSummary!D:D), 0)</f>
        <v>0</v>
      </c>
      <c r="AF504">
        <f>IFERROR(_xlfn.XLOOKUP(B504, HoldSummary!$A:$A, HoldSummary!E:E), 0)</f>
        <v>0</v>
      </c>
      <c r="AG504">
        <f>IFERROR(_xlfn.XLOOKUP(B504, HoldSummary!$A:$A, HoldSummary!F:F), 0)</f>
        <v>0</v>
      </c>
      <c r="AH504">
        <f>IFERROR(_xlfn.XLOOKUP(B504, HoldSummary!$A:$A, HoldSummary!G:G), 0)</f>
        <v>0</v>
      </c>
      <c r="AI504">
        <f>IFERROR(_xlfn.XLOOKUP(B504, HoldSummary!$A:$A, HoldSummary!H:H), 0)</f>
        <v>0</v>
      </c>
      <c r="AJ504">
        <f>IFERROR(_xlfn.XLOOKUP(B504, HoldSummary!$A:$A, HoldSummary!I:I), 0)</f>
        <v>0</v>
      </c>
      <c r="AK504">
        <f t="shared" si="75"/>
        <v>3</v>
      </c>
      <c r="AL504">
        <f t="shared" si="76"/>
        <v>92.511828703703941</v>
      </c>
      <c r="AM504">
        <f t="shared" si="77"/>
        <v>83.511828703703941</v>
      </c>
      <c r="AN504" s="12">
        <f t="shared" si="78"/>
        <v>-9.1666666666642413</v>
      </c>
      <c r="AO504">
        <f t="shared" si="79"/>
        <v>1</v>
      </c>
    </row>
    <row r="505" spans="1:41" x14ac:dyDescent="0.35">
      <c r="A505" t="s">
        <v>23</v>
      </c>
      <c r="B505" t="s">
        <v>1163</v>
      </c>
      <c r="C505" t="s">
        <v>135</v>
      </c>
      <c r="D505" t="s">
        <v>44</v>
      </c>
      <c r="E505" t="s">
        <v>45</v>
      </c>
      <c r="F505" t="s">
        <v>28</v>
      </c>
      <c r="H505" t="s">
        <v>1164</v>
      </c>
      <c r="I505" t="s">
        <v>30</v>
      </c>
      <c r="J505" t="s">
        <v>70</v>
      </c>
      <c r="K505" t="s">
        <v>32</v>
      </c>
      <c r="L505" t="s">
        <v>32</v>
      </c>
      <c r="M505" t="s">
        <v>33</v>
      </c>
      <c r="N505" s="2">
        <v>45397.62604166667</v>
      </c>
      <c r="O505" s="2">
        <v>45880.166666666664</v>
      </c>
      <c r="P505" s="2">
        <v>45611.208333333336</v>
      </c>
      <c r="Q505" s="2">
        <v>45608</v>
      </c>
      <c r="R505" s="2">
        <v>45611.708816284721</v>
      </c>
      <c r="S505" t="s">
        <v>751</v>
      </c>
      <c r="T505" s="2">
        <v>45530.166666666664</v>
      </c>
      <c r="U505" s="2">
        <v>45531.166666666664</v>
      </c>
      <c r="V505" s="2">
        <v>45531.166666666664</v>
      </c>
      <c r="W505" s="2">
        <v>45531.166666666664</v>
      </c>
      <c r="X505" s="3">
        <f t="shared" si="70"/>
        <v>1</v>
      </c>
      <c r="Y505">
        <f t="shared" si="71"/>
        <v>0</v>
      </c>
      <c r="Z505">
        <f t="shared" si="72"/>
        <v>1</v>
      </c>
      <c r="AA505">
        <f t="shared" si="73"/>
        <v>210.37395833332994</v>
      </c>
      <c r="AB505">
        <f t="shared" si="74"/>
        <v>209.37395833332994</v>
      </c>
      <c r="AC505">
        <f>IFERROR(_xlfn.XLOOKUP(B505, HoldSummary!$A:$A, HoldSummary!B:B), 0)</f>
        <v>0</v>
      </c>
      <c r="AD505">
        <f>IFERROR(_xlfn.XLOOKUP(B505, HoldSummary!$A:$A, HoldSummary!C:C), 0)</f>
        <v>0</v>
      </c>
      <c r="AE505">
        <f>IFERROR(_xlfn.XLOOKUP(B505, HoldSummary!$A:$A, HoldSummary!D:D), 0)</f>
        <v>0</v>
      </c>
      <c r="AF505">
        <f>IFERROR(_xlfn.XLOOKUP(B505, HoldSummary!$A:$A, HoldSummary!E:E), 0)</f>
        <v>0</v>
      </c>
      <c r="AG505">
        <f>IFERROR(_xlfn.XLOOKUP(B505, HoldSummary!$A:$A, HoldSummary!F:F), 0)</f>
        <v>0</v>
      </c>
      <c r="AH505">
        <f>IFERROR(_xlfn.XLOOKUP(B505, HoldSummary!$A:$A, HoldSummary!G:G), 0)</f>
        <v>0</v>
      </c>
      <c r="AI505">
        <f>IFERROR(_xlfn.XLOOKUP(B505, HoldSummary!$A:$A, HoldSummary!H:H), 0)</f>
        <v>0</v>
      </c>
      <c r="AJ505">
        <f>IFERROR(_xlfn.XLOOKUP(B505, HoldSummary!$A:$A, HoldSummary!I:I), 0)</f>
        <v>0</v>
      </c>
      <c r="AK505">
        <f t="shared" si="75"/>
        <v>0</v>
      </c>
      <c r="AL505">
        <f t="shared" si="76"/>
        <v>210.37395833332994</v>
      </c>
      <c r="AM505">
        <f t="shared" si="77"/>
        <v>209.37395833332994</v>
      </c>
      <c r="AN505" s="12">
        <f t="shared" si="78"/>
        <v>-272.16666666666424</v>
      </c>
      <c r="AO505">
        <f t="shared" si="79"/>
        <v>1</v>
      </c>
    </row>
    <row r="506" spans="1:41" x14ac:dyDescent="0.35">
      <c r="A506" t="s">
        <v>23</v>
      </c>
      <c r="B506" t="s">
        <v>1165</v>
      </c>
      <c r="C506" t="s">
        <v>76</v>
      </c>
      <c r="D506" t="s">
        <v>44</v>
      </c>
      <c r="E506" t="s">
        <v>45</v>
      </c>
      <c r="F506" t="s">
        <v>28</v>
      </c>
      <c r="H506" t="s">
        <v>1166</v>
      </c>
      <c r="I506" t="s">
        <v>30</v>
      </c>
      <c r="J506" t="s">
        <v>31</v>
      </c>
      <c r="K506" t="s">
        <v>38</v>
      </c>
      <c r="L506" t="s">
        <v>39</v>
      </c>
      <c r="M506" t="s">
        <v>33</v>
      </c>
      <c r="N506" s="2">
        <v>45456.850462962961</v>
      </c>
      <c r="O506" s="2">
        <v>45715.208333333336</v>
      </c>
      <c r="P506" s="2">
        <v>45715.208333333336</v>
      </c>
      <c r="Q506" s="2">
        <v>45691</v>
      </c>
      <c r="R506" s="2">
        <v>45691.800037291665</v>
      </c>
      <c r="T506" s="2">
        <v>45610.208333333336</v>
      </c>
      <c r="U506" s="2">
        <v>45632.208333333336</v>
      </c>
      <c r="V506" s="2">
        <v>45632.208333333336</v>
      </c>
      <c r="W506" s="2">
        <v>45679.208333333336</v>
      </c>
      <c r="X506" s="3">
        <f t="shared" si="70"/>
        <v>22</v>
      </c>
      <c r="Y506">
        <f t="shared" si="71"/>
        <v>47</v>
      </c>
      <c r="Z506">
        <f t="shared" si="72"/>
        <v>69</v>
      </c>
      <c r="AA506">
        <f t="shared" si="73"/>
        <v>234.14953703703941</v>
      </c>
      <c r="AB506">
        <f t="shared" si="74"/>
        <v>165.14953703703941</v>
      </c>
      <c r="AC506">
        <f>IFERROR(_xlfn.XLOOKUP(B506, HoldSummary!$A:$A, HoldSummary!B:B), 0)</f>
        <v>40</v>
      </c>
      <c r="AD506">
        <f>IFERROR(_xlfn.XLOOKUP(B506, HoldSummary!$A:$A, HoldSummary!C:C), 0)</f>
        <v>0</v>
      </c>
      <c r="AE506">
        <f>IFERROR(_xlfn.XLOOKUP(B506, HoldSummary!$A:$A, HoldSummary!D:D), 0)</f>
        <v>0</v>
      </c>
      <c r="AF506">
        <f>IFERROR(_xlfn.XLOOKUP(B506, HoldSummary!$A:$A, HoldSummary!E:E), 0)</f>
        <v>0</v>
      </c>
      <c r="AG506">
        <f>IFERROR(_xlfn.XLOOKUP(B506, HoldSummary!$A:$A, HoldSummary!F:F), 0)</f>
        <v>0</v>
      </c>
      <c r="AH506">
        <f>IFERROR(_xlfn.XLOOKUP(B506, HoldSummary!$A:$A, HoldSummary!G:G), 0)</f>
        <v>0</v>
      </c>
      <c r="AI506">
        <f>IFERROR(_xlfn.XLOOKUP(B506, HoldSummary!$A:$A, HoldSummary!H:H), 0)</f>
        <v>0</v>
      </c>
      <c r="AJ506">
        <f>IFERROR(_xlfn.XLOOKUP(B506, HoldSummary!$A:$A, HoldSummary!I:I), 0)</f>
        <v>0</v>
      </c>
      <c r="AK506">
        <f t="shared" si="75"/>
        <v>40</v>
      </c>
      <c r="AL506">
        <f t="shared" si="76"/>
        <v>194.14953703703941</v>
      </c>
      <c r="AM506">
        <f t="shared" si="77"/>
        <v>125.14953703703941</v>
      </c>
      <c r="AN506" s="12">
        <f t="shared" si="78"/>
        <v>-24.208333333335759</v>
      </c>
      <c r="AO506">
        <f t="shared" si="79"/>
        <v>1</v>
      </c>
    </row>
    <row r="507" spans="1:41" x14ac:dyDescent="0.35">
      <c r="A507" t="s">
        <v>23</v>
      </c>
      <c r="B507" t="s">
        <v>1167</v>
      </c>
      <c r="C507" t="s">
        <v>135</v>
      </c>
      <c r="D507" t="s">
        <v>44</v>
      </c>
      <c r="E507" t="s">
        <v>45</v>
      </c>
      <c r="F507" t="s">
        <v>28</v>
      </c>
      <c r="H507" t="s">
        <v>1168</v>
      </c>
      <c r="I507" t="s">
        <v>30</v>
      </c>
      <c r="J507" t="s">
        <v>31</v>
      </c>
      <c r="K507" t="s">
        <v>32</v>
      </c>
      <c r="L507" t="s">
        <v>32</v>
      </c>
      <c r="M507" t="s">
        <v>33</v>
      </c>
      <c r="N507" s="2">
        <v>45511.153819444444</v>
      </c>
      <c r="O507" s="2">
        <v>45622.208333333336</v>
      </c>
      <c r="P507" s="2">
        <v>45596.166666666664</v>
      </c>
      <c r="Q507" s="2">
        <v>45581</v>
      </c>
      <c r="R507" s="2">
        <v>45583.634037905096</v>
      </c>
      <c r="T507" s="2">
        <v>45531.166666666664</v>
      </c>
      <c r="U507" s="2">
        <v>45547.166666666664</v>
      </c>
      <c r="V507" s="2">
        <v>45547.166666666664</v>
      </c>
      <c r="W507" s="2">
        <v>45561.166666666664</v>
      </c>
      <c r="X507" s="3">
        <f t="shared" si="70"/>
        <v>16</v>
      </c>
      <c r="Y507">
        <f t="shared" si="71"/>
        <v>14</v>
      </c>
      <c r="Z507">
        <f t="shared" si="72"/>
        <v>30</v>
      </c>
      <c r="AA507">
        <f t="shared" si="73"/>
        <v>69.846180555556202</v>
      </c>
      <c r="AB507">
        <f t="shared" si="74"/>
        <v>39.846180555556202</v>
      </c>
      <c r="AC507">
        <f>IFERROR(_xlfn.XLOOKUP(B507, HoldSummary!$A:$A, HoldSummary!B:B), 0)</f>
        <v>0</v>
      </c>
      <c r="AD507">
        <f>IFERROR(_xlfn.XLOOKUP(B507, HoldSummary!$A:$A, HoldSummary!C:C), 0)</f>
        <v>0</v>
      </c>
      <c r="AE507">
        <f>IFERROR(_xlfn.XLOOKUP(B507, HoldSummary!$A:$A, HoldSummary!D:D), 0)</f>
        <v>0</v>
      </c>
      <c r="AF507">
        <f>IFERROR(_xlfn.XLOOKUP(B507, HoldSummary!$A:$A, HoldSummary!E:E), 0)</f>
        <v>0</v>
      </c>
      <c r="AG507">
        <f>IFERROR(_xlfn.XLOOKUP(B507, HoldSummary!$A:$A, HoldSummary!F:F), 0)</f>
        <v>0</v>
      </c>
      <c r="AH507">
        <f>IFERROR(_xlfn.XLOOKUP(B507, HoldSummary!$A:$A, HoldSummary!G:G), 0)</f>
        <v>0</v>
      </c>
      <c r="AI507">
        <f>IFERROR(_xlfn.XLOOKUP(B507, HoldSummary!$A:$A, HoldSummary!H:H), 0)</f>
        <v>0</v>
      </c>
      <c r="AJ507">
        <f>IFERROR(_xlfn.XLOOKUP(B507, HoldSummary!$A:$A, HoldSummary!I:I), 0)</f>
        <v>0</v>
      </c>
      <c r="AK507">
        <f t="shared" si="75"/>
        <v>0</v>
      </c>
      <c r="AL507">
        <f t="shared" si="76"/>
        <v>69.846180555556202</v>
      </c>
      <c r="AM507">
        <f t="shared" si="77"/>
        <v>39.846180555556202</v>
      </c>
      <c r="AN507" s="12">
        <f t="shared" si="78"/>
        <v>-41.208333333335759</v>
      </c>
      <c r="AO507">
        <f t="shared" si="79"/>
        <v>1</v>
      </c>
    </row>
    <row r="508" spans="1:41" x14ac:dyDescent="0.35">
      <c r="A508" t="s">
        <v>23</v>
      </c>
      <c r="B508" t="s">
        <v>1169</v>
      </c>
      <c r="C508" t="s">
        <v>36</v>
      </c>
      <c r="D508" t="s">
        <v>44</v>
      </c>
      <c r="E508" t="s">
        <v>45</v>
      </c>
      <c r="F508" t="s">
        <v>28</v>
      </c>
      <c r="H508" t="s">
        <v>1170</v>
      </c>
      <c r="I508" t="s">
        <v>30</v>
      </c>
      <c r="J508" t="s">
        <v>31</v>
      </c>
      <c r="K508" t="s">
        <v>48</v>
      </c>
      <c r="L508" t="s">
        <v>49</v>
      </c>
      <c r="M508" t="s">
        <v>33</v>
      </c>
      <c r="N508" s="2">
        <v>45512.750034722223</v>
      </c>
      <c r="O508" s="2">
        <v>45747.166666666664</v>
      </c>
      <c r="P508" s="2">
        <v>45747.166666666664</v>
      </c>
      <c r="Q508" s="2">
        <v>45727</v>
      </c>
      <c r="R508" s="2">
        <v>45727.744363020836</v>
      </c>
      <c r="T508" s="2">
        <v>45539.166666666664</v>
      </c>
      <c r="U508" s="2">
        <v>45720.208333333336</v>
      </c>
      <c r="V508" s="2">
        <v>45720.208333333336</v>
      </c>
      <c r="W508" s="2">
        <v>45720.208333333336</v>
      </c>
      <c r="X508" s="3">
        <f t="shared" si="70"/>
        <v>181.04166666667152</v>
      </c>
      <c r="Y508">
        <f t="shared" si="71"/>
        <v>0</v>
      </c>
      <c r="Z508">
        <f t="shared" si="72"/>
        <v>181.04166666667152</v>
      </c>
      <c r="AA508">
        <f t="shared" si="73"/>
        <v>214.24996527777694</v>
      </c>
      <c r="AB508">
        <f t="shared" si="74"/>
        <v>33.20829861110542</v>
      </c>
      <c r="AC508">
        <f>IFERROR(_xlfn.XLOOKUP(B508, HoldSummary!$A:$A, HoldSummary!B:B), 0)</f>
        <v>0</v>
      </c>
      <c r="AD508">
        <f>IFERROR(_xlfn.XLOOKUP(B508, HoldSummary!$A:$A, HoldSummary!C:C), 0)</f>
        <v>0</v>
      </c>
      <c r="AE508">
        <f>IFERROR(_xlfn.XLOOKUP(B508, HoldSummary!$A:$A, HoldSummary!D:D), 0)</f>
        <v>0</v>
      </c>
      <c r="AF508">
        <f>IFERROR(_xlfn.XLOOKUP(B508, HoldSummary!$A:$A, HoldSummary!E:E), 0)</f>
        <v>0</v>
      </c>
      <c r="AG508">
        <f>IFERROR(_xlfn.XLOOKUP(B508, HoldSummary!$A:$A, HoldSummary!F:F), 0)</f>
        <v>0</v>
      </c>
      <c r="AH508">
        <f>IFERROR(_xlfn.XLOOKUP(B508, HoldSummary!$A:$A, HoldSummary!G:G), 0)</f>
        <v>132.90401807870512</v>
      </c>
      <c r="AI508">
        <f>IFERROR(_xlfn.XLOOKUP(B508, HoldSummary!$A:$A, HoldSummary!H:H), 0)</f>
        <v>0</v>
      </c>
      <c r="AJ508">
        <f>IFERROR(_xlfn.XLOOKUP(B508, HoldSummary!$A:$A, HoldSummary!I:I), 0)</f>
        <v>0</v>
      </c>
      <c r="AK508">
        <f t="shared" si="75"/>
        <v>132.90401807870512</v>
      </c>
      <c r="AL508">
        <f t="shared" si="76"/>
        <v>81.345947199071816</v>
      </c>
      <c r="AM508">
        <f t="shared" si="77"/>
        <v>-99.695719467599702</v>
      </c>
      <c r="AN508" s="12">
        <f t="shared" si="78"/>
        <v>-20.166666666664241</v>
      </c>
      <c r="AO508">
        <f t="shared" si="79"/>
        <v>1</v>
      </c>
    </row>
    <row r="509" spans="1:41" x14ac:dyDescent="0.35">
      <c r="A509" t="s">
        <v>23</v>
      </c>
      <c r="B509" t="s">
        <v>1171</v>
      </c>
      <c r="C509" t="s">
        <v>36</v>
      </c>
      <c r="D509" t="s">
        <v>44</v>
      </c>
      <c r="E509" t="s">
        <v>45</v>
      </c>
      <c r="F509" t="s">
        <v>28</v>
      </c>
      <c r="H509" t="s">
        <v>1172</v>
      </c>
      <c r="I509" t="s">
        <v>30</v>
      </c>
      <c r="J509" t="s">
        <v>300</v>
      </c>
      <c r="K509" t="s">
        <v>38</v>
      </c>
      <c r="L509" t="s">
        <v>39</v>
      </c>
      <c r="M509" t="s">
        <v>33</v>
      </c>
      <c r="N509" s="2">
        <v>45517.719756944447</v>
      </c>
      <c r="O509" s="2">
        <v>45695.208333333336</v>
      </c>
      <c r="P509" s="2">
        <v>45695.208333333336</v>
      </c>
      <c r="Q509" s="2">
        <v>45686</v>
      </c>
      <c r="R509" s="2">
        <v>45688.566884652777</v>
      </c>
      <c r="T509" s="2"/>
      <c r="U509" s="2"/>
      <c r="V509" s="2"/>
      <c r="W509" s="2"/>
      <c r="X509" s="3" t="str">
        <f t="shared" si="70"/>
        <v/>
      </c>
      <c r="Y509" t="str">
        <f t="shared" si="71"/>
        <v/>
      </c>
      <c r="Z509">
        <f t="shared" si="72"/>
        <v>0</v>
      </c>
      <c r="AA509">
        <f t="shared" si="73"/>
        <v>168.280243055553</v>
      </c>
      <c r="AB509">
        <f t="shared" si="74"/>
        <v>168.280243055553</v>
      </c>
      <c r="AC509">
        <f>IFERROR(_xlfn.XLOOKUP(B509, HoldSummary!$A:$A, HoldSummary!B:B), 0)</f>
        <v>0</v>
      </c>
      <c r="AD509">
        <f>IFERROR(_xlfn.XLOOKUP(B509, HoldSummary!$A:$A, HoldSummary!C:C), 0)</f>
        <v>0</v>
      </c>
      <c r="AE509">
        <f>IFERROR(_xlfn.XLOOKUP(B509, HoldSummary!$A:$A, HoldSummary!D:D), 0)</f>
        <v>0</v>
      </c>
      <c r="AF509">
        <f>IFERROR(_xlfn.XLOOKUP(B509, HoldSummary!$A:$A, HoldSummary!E:E), 0)</f>
        <v>0</v>
      </c>
      <c r="AG509">
        <f>IFERROR(_xlfn.XLOOKUP(B509, HoldSummary!$A:$A, HoldSummary!F:F), 0)</f>
        <v>0</v>
      </c>
      <c r="AH509">
        <f>IFERROR(_xlfn.XLOOKUP(B509, HoldSummary!$A:$A, HoldSummary!G:G), 0)</f>
        <v>0</v>
      </c>
      <c r="AI509">
        <f>IFERROR(_xlfn.XLOOKUP(B509, HoldSummary!$A:$A, HoldSummary!H:H), 0)</f>
        <v>0</v>
      </c>
      <c r="AJ509">
        <f>IFERROR(_xlfn.XLOOKUP(B509, HoldSummary!$A:$A, HoldSummary!I:I), 0)</f>
        <v>0</v>
      </c>
      <c r="AK509">
        <f t="shared" si="75"/>
        <v>0</v>
      </c>
      <c r="AL509">
        <f t="shared" si="76"/>
        <v>168.280243055553</v>
      </c>
      <c r="AM509">
        <f t="shared" si="77"/>
        <v>168.280243055553</v>
      </c>
      <c r="AN509" s="12">
        <f t="shared" si="78"/>
        <v>-9.2083333333357587</v>
      </c>
      <c r="AO509">
        <f t="shared" si="79"/>
        <v>1</v>
      </c>
    </row>
    <row r="510" spans="1:41" x14ac:dyDescent="0.35">
      <c r="A510" t="s">
        <v>23</v>
      </c>
      <c r="B510" t="s">
        <v>1173</v>
      </c>
      <c r="C510" t="s">
        <v>409</v>
      </c>
      <c r="D510" t="s">
        <v>44</v>
      </c>
      <c r="E510" t="s">
        <v>45</v>
      </c>
      <c r="F510" t="s">
        <v>28</v>
      </c>
      <c r="H510" t="s">
        <v>1174</v>
      </c>
      <c r="I510" t="s">
        <v>30</v>
      </c>
      <c r="J510" t="s">
        <v>31</v>
      </c>
      <c r="K510" t="s">
        <v>48</v>
      </c>
      <c r="L510" t="s">
        <v>49</v>
      </c>
      <c r="M510" t="s">
        <v>81</v>
      </c>
      <c r="N510" s="2">
        <v>45471.57136574074</v>
      </c>
      <c r="O510" s="2">
        <v>45751.166666666664</v>
      </c>
      <c r="P510" s="2">
        <v>45828.166666666664</v>
      </c>
      <c r="Q510" s="2">
        <v>45810</v>
      </c>
      <c r="R510" s="2">
        <v>45810.627230486112</v>
      </c>
      <c r="S510" t="s">
        <v>97</v>
      </c>
      <c r="T510" s="2">
        <v>45553.166666666664</v>
      </c>
      <c r="U510" s="2">
        <v>45621.208333333336</v>
      </c>
      <c r="V510" s="2">
        <v>45621.208333333336</v>
      </c>
      <c r="W510" s="2">
        <v>45737.166666666664</v>
      </c>
      <c r="X510" s="3">
        <f t="shared" si="70"/>
        <v>68.041666666671517</v>
      </c>
      <c r="Y510">
        <f t="shared" si="71"/>
        <v>115.95833333332848</v>
      </c>
      <c r="Z510">
        <f t="shared" si="72"/>
        <v>184</v>
      </c>
      <c r="AA510">
        <f t="shared" si="73"/>
        <v>338.42863425926043</v>
      </c>
      <c r="AB510">
        <f t="shared" si="74"/>
        <v>154.42863425926043</v>
      </c>
      <c r="AC510">
        <f>IFERROR(_xlfn.XLOOKUP(B510, HoldSummary!$A:$A, HoldSummary!B:B), 0)</f>
        <v>33.950710416662332</v>
      </c>
      <c r="AD510">
        <f>IFERROR(_xlfn.XLOOKUP(B510, HoldSummary!$A:$A, HoldSummary!C:C), 0)</f>
        <v>0</v>
      </c>
      <c r="AE510">
        <f>IFERROR(_xlfn.XLOOKUP(B510, HoldSummary!$A:$A, HoldSummary!D:D), 0)</f>
        <v>0</v>
      </c>
      <c r="AF510">
        <f>IFERROR(_xlfn.XLOOKUP(B510, HoldSummary!$A:$A, HoldSummary!E:E), 0)</f>
        <v>0</v>
      </c>
      <c r="AG510">
        <f>IFERROR(_xlfn.XLOOKUP(B510, HoldSummary!$A:$A, HoldSummary!F:F), 0)</f>
        <v>6.1802273263892857</v>
      </c>
      <c r="AH510">
        <f>IFERROR(_xlfn.XLOOKUP(B510, HoldSummary!$A:$A, HoldSummary!G:G), 0)</f>
        <v>0</v>
      </c>
      <c r="AI510">
        <f>IFERROR(_xlfn.XLOOKUP(B510, HoldSummary!$A:$A, HoldSummary!H:H), 0)</f>
        <v>0</v>
      </c>
      <c r="AJ510">
        <f>IFERROR(_xlfn.XLOOKUP(B510, HoldSummary!$A:$A, HoldSummary!I:I), 0)</f>
        <v>0</v>
      </c>
      <c r="AK510">
        <f t="shared" si="75"/>
        <v>40.130937743051618</v>
      </c>
      <c r="AL510">
        <f t="shared" si="76"/>
        <v>298.29769651620882</v>
      </c>
      <c r="AM510">
        <f t="shared" si="77"/>
        <v>114.29769651620882</v>
      </c>
      <c r="AN510" s="12">
        <f t="shared" si="78"/>
        <v>58.833333333335759</v>
      </c>
      <c r="AO510">
        <f t="shared" si="79"/>
        <v>0</v>
      </c>
    </row>
    <row r="511" spans="1:41" x14ac:dyDescent="0.35">
      <c r="A511" t="s">
        <v>23</v>
      </c>
      <c r="B511" t="s">
        <v>1175</v>
      </c>
      <c r="C511" t="s">
        <v>43</v>
      </c>
      <c r="D511" t="s">
        <v>44</v>
      </c>
      <c r="E511" t="s">
        <v>45</v>
      </c>
      <c r="F511" t="s">
        <v>28</v>
      </c>
      <c r="H511" t="s">
        <v>1176</v>
      </c>
      <c r="I511" t="s">
        <v>30</v>
      </c>
      <c r="J511" t="s">
        <v>31</v>
      </c>
      <c r="K511" t="s">
        <v>48</v>
      </c>
      <c r="L511" t="s">
        <v>39</v>
      </c>
      <c r="N511" s="2">
        <v>45530.57707175926</v>
      </c>
      <c r="O511" s="2">
        <v>45565.166666666664</v>
      </c>
      <c r="P511" s="2">
        <v>45534.166666666664</v>
      </c>
      <c r="Q511" s="2">
        <v>45532</v>
      </c>
      <c r="R511" s="2">
        <v>45533.543076828704</v>
      </c>
      <c r="T511" s="2"/>
      <c r="U511" s="2"/>
      <c r="V511" s="2"/>
      <c r="W511" s="2"/>
      <c r="X511" s="3" t="str">
        <f t="shared" si="70"/>
        <v/>
      </c>
      <c r="Y511" t="str">
        <f t="shared" si="71"/>
        <v/>
      </c>
      <c r="Z511">
        <f t="shared" si="72"/>
        <v>0</v>
      </c>
      <c r="AA511">
        <f t="shared" si="73"/>
        <v>1.4229282407395658</v>
      </c>
      <c r="AB511">
        <f t="shared" si="74"/>
        <v>1.4229282407395658</v>
      </c>
      <c r="AC511">
        <f>IFERROR(_xlfn.XLOOKUP(B511, HoldSummary!$A:$A, HoldSummary!B:B), 0)</f>
        <v>0</v>
      </c>
      <c r="AD511">
        <f>IFERROR(_xlfn.XLOOKUP(B511, HoldSummary!$A:$A, HoldSummary!C:C), 0)</f>
        <v>0</v>
      </c>
      <c r="AE511">
        <f>IFERROR(_xlfn.XLOOKUP(B511, HoldSummary!$A:$A, HoldSummary!D:D), 0)</f>
        <v>0</v>
      </c>
      <c r="AF511">
        <f>IFERROR(_xlfn.XLOOKUP(B511, HoldSummary!$A:$A, HoldSummary!E:E), 0)</f>
        <v>0</v>
      </c>
      <c r="AG511">
        <f>IFERROR(_xlfn.XLOOKUP(B511, HoldSummary!$A:$A, HoldSummary!F:F), 0)</f>
        <v>0</v>
      </c>
      <c r="AH511">
        <f>IFERROR(_xlfn.XLOOKUP(B511, HoldSummary!$A:$A, HoldSummary!G:G), 0)</f>
        <v>0</v>
      </c>
      <c r="AI511">
        <f>IFERROR(_xlfn.XLOOKUP(B511, HoldSummary!$A:$A, HoldSummary!H:H), 0)</f>
        <v>0</v>
      </c>
      <c r="AJ511">
        <f>IFERROR(_xlfn.XLOOKUP(B511, HoldSummary!$A:$A, HoldSummary!I:I), 0)</f>
        <v>0</v>
      </c>
      <c r="AK511">
        <f t="shared" si="75"/>
        <v>0</v>
      </c>
      <c r="AL511">
        <f t="shared" si="76"/>
        <v>1.4229282407395658</v>
      </c>
      <c r="AM511">
        <f t="shared" si="77"/>
        <v>1.4229282407395658</v>
      </c>
      <c r="AN511" s="12">
        <f t="shared" si="78"/>
        <v>-33.166666666664241</v>
      </c>
      <c r="AO511">
        <f t="shared" si="79"/>
        <v>1</v>
      </c>
    </row>
    <row r="512" spans="1:41" x14ac:dyDescent="0.35">
      <c r="A512" t="s">
        <v>23</v>
      </c>
      <c r="B512" t="s">
        <v>1177</v>
      </c>
      <c r="C512" t="s">
        <v>54</v>
      </c>
      <c r="D512" t="s">
        <v>44</v>
      </c>
      <c r="E512" t="s">
        <v>45</v>
      </c>
      <c r="F512" t="s">
        <v>28</v>
      </c>
      <c r="H512" t="s">
        <v>1178</v>
      </c>
      <c r="I512" t="s">
        <v>30</v>
      </c>
      <c r="J512" t="s">
        <v>31</v>
      </c>
      <c r="K512" t="s">
        <v>174</v>
      </c>
      <c r="L512" t="s">
        <v>174</v>
      </c>
      <c r="M512" t="s">
        <v>33</v>
      </c>
      <c r="N512" s="2">
        <v>45505.590763888889</v>
      </c>
      <c r="O512" s="2">
        <v>45628.208333333336</v>
      </c>
      <c r="P512" s="2">
        <v>45628.208333333336</v>
      </c>
      <c r="Q512" s="2">
        <v>45565</v>
      </c>
      <c r="R512" s="2">
        <v>45565.772803229163</v>
      </c>
      <c r="S512" t="s">
        <v>1179</v>
      </c>
      <c r="T512" s="2">
        <v>45545.166666666664</v>
      </c>
      <c r="U512" s="2">
        <v>45547.166666666664</v>
      </c>
      <c r="V512" s="2">
        <v>45547.166666666664</v>
      </c>
      <c r="W512" s="2">
        <v>45547.166666666664</v>
      </c>
      <c r="X512" s="3">
        <f t="shared" si="70"/>
        <v>2</v>
      </c>
      <c r="Y512">
        <f t="shared" si="71"/>
        <v>0</v>
      </c>
      <c r="Z512">
        <f t="shared" si="72"/>
        <v>2</v>
      </c>
      <c r="AA512">
        <f t="shared" si="73"/>
        <v>59.409236111110658</v>
      </c>
      <c r="AB512">
        <f t="shared" si="74"/>
        <v>57.409236111110658</v>
      </c>
      <c r="AC512">
        <f>IFERROR(_xlfn.XLOOKUP(B512, HoldSummary!$A:$A, HoldSummary!B:B), 0)</f>
        <v>19</v>
      </c>
      <c r="AD512">
        <f>IFERROR(_xlfn.XLOOKUP(B512, HoldSummary!$A:$A, HoldSummary!C:C), 0)</f>
        <v>0</v>
      </c>
      <c r="AE512">
        <f>IFERROR(_xlfn.XLOOKUP(B512, HoldSummary!$A:$A, HoldSummary!D:D), 0)</f>
        <v>0</v>
      </c>
      <c r="AF512">
        <f>IFERROR(_xlfn.XLOOKUP(B512, HoldSummary!$A:$A, HoldSummary!E:E), 0)</f>
        <v>0</v>
      </c>
      <c r="AG512">
        <f>IFERROR(_xlfn.XLOOKUP(B512, HoldSummary!$A:$A, HoldSummary!F:F), 0)</f>
        <v>0</v>
      </c>
      <c r="AH512">
        <f>IFERROR(_xlfn.XLOOKUP(B512, HoldSummary!$A:$A, HoldSummary!G:G), 0)</f>
        <v>0</v>
      </c>
      <c r="AI512">
        <f>IFERROR(_xlfn.XLOOKUP(B512, HoldSummary!$A:$A, HoldSummary!H:H), 0)</f>
        <v>0</v>
      </c>
      <c r="AJ512">
        <f>IFERROR(_xlfn.XLOOKUP(B512, HoldSummary!$A:$A, HoldSummary!I:I), 0)</f>
        <v>0</v>
      </c>
      <c r="AK512">
        <f t="shared" si="75"/>
        <v>19</v>
      </c>
      <c r="AL512">
        <f t="shared" si="76"/>
        <v>40.409236111110658</v>
      </c>
      <c r="AM512">
        <f t="shared" si="77"/>
        <v>38.409236111110658</v>
      </c>
      <c r="AN512" s="12">
        <f t="shared" si="78"/>
        <v>-63.208333333335759</v>
      </c>
      <c r="AO512">
        <f t="shared" si="79"/>
        <v>1</v>
      </c>
    </row>
    <row r="513" spans="1:41" x14ac:dyDescent="0.35">
      <c r="A513" t="s">
        <v>23</v>
      </c>
      <c r="B513" t="s">
        <v>1180</v>
      </c>
      <c r="C513" t="s">
        <v>409</v>
      </c>
      <c r="D513" t="s">
        <v>44</v>
      </c>
      <c r="E513" t="s">
        <v>45</v>
      </c>
      <c r="F513" t="s">
        <v>28</v>
      </c>
      <c r="H513" t="s">
        <v>1181</v>
      </c>
      <c r="I513" t="s">
        <v>30</v>
      </c>
      <c r="J513" t="s">
        <v>31</v>
      </c>
      <c r="K513" t="s">
        <v>32</v>
      </c>
      <c r="L513" t="s">
        <v>32</v>
      </c>
      <c r="N513" s="2">
        <v>45537.326620370368</v>
      </c>
      <c r="O513" s="2">
        <v>45569.166666666664</v>
      </c>
      <c r="P513" s="2">
        <v>45596.166666666664</v>
      </c>
      <c r="Q513" s="2">
        <v>45569</v>
      </c>
      <c r="R513" s="2">
        <v>45576.527018067129</v>
      </c>
      <c r="S513" t="s">
        <v>1182</v>
      </c>
      <c r="T513" s="2"/>
      <c r="U513" s="2"/>
      <c r="V513" s="2"/>
      <c r="W513" s="2"/>
      <c r="X513" s="3" t="str">
        <f t="shared" si="70"/>
        <v/>
      </c>
      <c r="Y513" t="str">
        <f t="shared" si="71"/>
        <v/>
      </c>
      <c r="Z513">
        <f t="shared" si="72"/>
        <v>0</v>
      </c>
      <c r="AA513">
        <f t="shared" si="73"/>
        <v>31.673379629632109</v>
      </c>
      <c r="AB513">
        <f t="shared" si="74"/>
        <v>31.673379629632109</v>
      </c>
      <c r="AC513">
        <f>IFERROR(_xlfn.XLOOKUP(B513, HoldSummary!$A:$A, HoldSummary!B:B), 0)</f>
        <v>0</v>
      </c>
      <c r="AD513">
        <f>IFERROR(_xlfn.XLOOKUP(B513, HoldSummary!$A:$A, HoldSummary!C:C), 0)</f>
        <v>1</v>
      </c>
      <c r="AE513">
        <f>IFERROR(_xlfn.XLOOKUP(B513, HoldSummary!$A:$A, HoldSummary!D:D), 0)</f>
        <v>0</v>
      </c>
      <c r="AF513">
        <f>IFERROR(_xlfn.XLOOKUP(B513, HoldSummary!$A:$A, HoldSummary!E:E), 0)</f>
        <v>0</v>
      </c>
      <c r="AG513">
        <f>IFERROR(_xlfn.XLOOKUP(B513, HoldSummary!$A:$A, HoldSummary!F:F), 0)</f>
        <v>0</v>
      </c>
      <c r="AH513">
        <f>IFERROR(_xlfn.XLOOKUP(B513, HoldSummary!$A:$A, HoldSummary!G:G), 0)</f>
        <v>0</v>
      </c>
      <c r="AI513">
        <f>IFERROR(_xlfn.XLOOKUP(B513, HoldSummary!$A:$A, HoldSummary!H:H), 0)</f>
        <v>0</v>
      </c>
      <c r="AJ513">
        <f>IFERROR(_xlfn.XLOOKUP(B513, HoldSummary!$A:$A, HoldSummary!I:I), 0)</f>
        <v>0</v>
      </c>
      <c r="AK513">
        <f t="shared" si="75"/>
        <v>1</v>
      </c>
      <c r="AL513">
        <f t="shared" si="76"/>
        <v>30.673379629632109</v>
      </c>
      <c r="AM513">
        <f t="shared" si="77"/>
        <v>30.673379629632109</v>
      </c>
      <c r="AN513" s="12">
        <f t="shared" si="78"/>
        <v>-0.16666666666424135</v>
      </c>
      <c r="AO513">
        <f t="shared" si="79"/>
        <v>1</v>
      </c>
    </row>
    <row r="514" spans="1:41" x14ac:dyDescent="0.35">
      <c r="A514" t="s">
        <v>23</v>
      </c>
      <c r="B514" t="s">
        <v>1183</v>
      </c>
      <c r="C514" t="s">
        <v>76</v>
      </c>
      <c r="D514" t="s">
        <v>44</v>
      </c>
      <c r="E514" t="s">
        <v>45</v>
      </c>
      <c r="F514" t="s">
        <v>28</v>
      </c>
      <c r="H514" t="s">
        <v>1184</v>
      </c>
      <c r="I514" t="s">
        <v>30</v>
      </c>
      <c r="J514" t="s">
        <v>31</v>
      </c>
      <c r="K514" t="s">
        <v>38</v>
      </c>
      <c r="L514" t="s">
        <v>39</v>
      </c>
      <c r="M514" t="s">
        <v>33</v>
      </c>
      <c r="N514" s="2">
        <v>45426.837118055555</v>
      </c>
      <c r="O514" s="2">
        <v>45695.208333333336</v>
      </c>
      <c r="P514" s="2">
        <v>45713.208333333336</v>
      </c>
      <c r="Q514" s="2">
        <v>45691</v>
      </c>
      <c r="R514" s="2">
        <v>45691.66302925926</v>
      </c>
      <c r="T514" s="2">
        <v>45561.166666666664</v>
      </c>
      <c r="U514" s="2">
        <v>45632.208333333336</v>
      </c>
      <c r="V514" s="2">
        <v>45632.208333333336</v>
      </c>
      <c r="W514" s="2">
        <v>45678.208333333336</v>
      </c>
      <c r="X514" s="3">
        <f t="shared" si="70"/>
        <v>71.041666666671517</v>
      </c>
      <c r="Y514">
        <f t="shared" si="71"/>
        <v>46</v>
      </c>
      <c r="Z514">
        <f t="shared" si="72"/>
        <v>117.04166666667152</v>
      </c>
      <c r="AA514">
        <f t="shared" si="73"/>
        <v>264.16288194444496</v>
      </c>
      <c r="AB514">
        <f t="shared" si="74"/>
        <v>147.12121527777344</v>
      </c>
      <c r="AC514">
        <f>IFERROR(_xlfn.XLOOKUP(B514, HoldSummary!$A:$A, HoldSummary!B:B), 0)</f>
        <v>68</v>
      </c>
      <c r="AD514">
        <f>IFERROR(_xlfn.XLOOKUP(B514, HoldSummary!$A:$A, HoldSummary!C:C), 0)</f>
        <v>0</v>
      </c>
      <c r="AE514">
        <f>IFERROR(_xlfn.XLOOKUP(B514, HoldSummary!$A:$A, HoldSummary!D:D), 0)</f>
        <v>0</v>
      </c>
      <c r="AF514">
        <f>IFERROR(_xlfn.XLOOKUP(B514, HoldSummary!$A:$A, HoldSummary!E:E), 0)</f>
        <v>0</v>
      </c>
      <c r="AG514">
        <f>IFERROR(_xlfn.XLOOKUP(B514, HoldSummary!$A:$A, HoldSummary!F:F), 0)</f>
        <v>0</v>
      </c>
      <c r="AH514">
        <f>IFERROR(_xlfn.XLOOKUP(B514, HoldSummary!$A:$A, HoldSummary!G:G), 0)</f>
        <v>34</v>
      </c>
      <c r="AI514">
        <f>IFERROR(_xlfn.XLOOKUP(B514, HoldSummary!$A:$A, HoldSummary!H:H), 0)</f>
        <v>0</v>
      </c>
      <c r="AJ514">
        <f>IFERROR(_xlfn.XLOOKUP(B514, HoldSummary!$A:$A, HoldSummary!I:I), 0)</f>
        <v>0</v>
      </c>
      <c r="AK514">
        <f t="shared" si="75"/>
        <v>102</v>
      </c>
      <c r="AL514">
        <f t="shared" si="76"/>
        <v>162.16288194444496</v>
      </c>
      <c r="AM514">
        <f t="shared" si="77"/>
        <v>45.121215277773445</v>
      </c>
      <c r="AN514" s="12">
        <f t="shared" si="78"/>
        <v>-4.2083333333357587</v>
      </c>
      <c r="AO514">
        <f t="shared" si="79"/>
        <v>1</v>
      </c>
    </row>
    <row r="515" spans="1:41" x14ac:dyDescent="0.35">
      <c r="A515" t="s">
        <v>23</v>
      </c>
      <c r="B515">
        <v>97184</v>
      </c>
      <c r="C515" t="s">
        <v>54</v>
      </c>
      <c r="D515" t="s">
        <v>44</v>
      </c>
      <c r="E515" t="s">
        <v>55</v>
      </c>
      <c r="F515" t="s">
        <v>28</v>
      </c>
      <c r="H515" t="s">
        <v>1185</v>
      </c>
      <c r="I515" t="s">
        <v>30</v>
      </c>
      <c r="J515" t="s">
        <v>70</v>
      </c>
      <c r="K515" t="s">
        <v>57</v>
      </c>
      <c r="L515" t="s">
        <v>58</v>
      </c>
      <c r="M515" t="s">
        <v>33</v>
      </c>
      <c r="N515" s="2">
        <v>44986.208333333336</v>
      </c>
      <c r="O515" s="2">
        <v>45687.208333333336</v>
      </c>
      <c r="P515" s="2">
        <v>45736.166666666664</v>
      </c>
      <c r="Q515" s="2">
        <v>45730</v>
      </c>
      <c r="R515" s="2">
        <v>45730.808892187502</v>
      </c>
      <c r="S515" t="s">
        <v>1186</v>
      </c>
      <c r="T515" s="2">
        <v>45644.208333333336</v>
      </c>
      <c r="U515" s="2">
        <v>45674.208333333336</v>
      </c>
      <c r="V515" s="2">
        <v>45674.208333333336</v>
      </c>
      <c r="W515" s="2">
        <v>45674.208333333336</v>
      </c>
      <c r="X515" s="3">
        <f t="shared" ref="X515:X578" si="80">IF(OR(ISBLANK(T515), ISBLANK(U515)), "", U515 - T515)</f>
        <v>30</v>
      </c>
      <c r="Y515">
        <f t="shared" ref="Y515:Y578" si="81">IF(OR(ISBLANK(V515), ISBLANK(W515)), "", W515 - V515)</f>
        <v>0</v>
      </c>
      <c r="Z515">
        <f t="shared" ref="Z515:Z578" si="82">N(X515) + N(Y515)</f>
        <v>30</v>
      </c>
      <c r="AA515">
        <f t="shared" ref="AA515:AA578" si="83">IF(OR(ISBLANK(N515), ISBLANK(Q515)), "", Q515 - N515)</f>
        <v>743.79166666666424</v>
      </c>
      <c r="AB515">
        <f t="shared" ref="AB515:AB578" si="84">IF(AA515="", "", AA515 - Z515)</f>
        <v>713.79166666666424</v>
      </c>
      <c r="AC515">
        <f>IFERROR(_xlfn.XLOOKUP(B515, HoldSummary!$A:$A, HoldSummary!B:B), 0)</f>
        <v>5</v>
      </c>
      <c r="AD515">
        <f>IFERROR(_xlfn.XLOOKUP(B515, HoldSummary!$A:$A, HoldSummary!C:C), 0)</f>
        <v>0</v>
      </c>
      <c r="AE515">
        <f>IFERROR(_xlfn.XLOOKUP(B515, HoldSummary!$A:$A, HoldSummary!D:D), 0)</f>
        <v>0</v>
      </c>
      <c r="AF515">
        <f>IFERROR(_xlfn.XLOOKUP(B515, HoldSummary!$A:$A, HoldSummary!E:E), 0)</f>
        <v>0</v>
      </c>
      <c r="AG515">
        <f>IFERROR(_xlfn.XLOOKUP(B515, HoldSummary!$A:$A, HoldSummary!F:F), 0)</f>
        <v>0</v>
      </c>
      <c r="AH515">
        <f>IFERROR(_xlfn.XLOOKUP(B515, HoldSummary!$A:$A, HoldSummary!G:G), 0)</f>
        <v>0</v>
      </c>
      <c r="AI515">
        <f>IFERROR(_xlfn.XLOOKUP(B515, HoldSummary!$A:$A, HoldSummary!H:H), 0)</f>
        <v>0</v>
      </c>
      <c r="AJ515">
        <f>IFERROR(_xlfn.XLOOKUP(B515, HoldSummary!$A:$A, HoldSummary!I:I), 0)</f>
        <v>0</v>
      </c>
      <c r="AK515">
        <f t="shared" ref="AK515:AK578" si="85">SUM(AC515:AJ515)</f>
        <v>5</v>
      </c>
      <c r="AL515">
        <f t="shared" ref="AL515:AL578" si="86">IF(AA515="", "", AA515 - AK515)</f>
        <v>738.79166666666424</v>
      </c>
      <c r="AM515">
        <f t="shared" ref="AM515:AM578" si="87">IF(OR(AK515="", AB515=""), "", AB515 - AK515)</f>
        <v>708.79166666666424</v>
      </c>
      <c r="AN515" s="12">
        <f t="shared" ref="AN515:AN578" si="88">Q515-O515</f>
        <v>42.791666666664241</v>
      </c>
      <c r="AO515">
        <f t="shared" ref="AO515:AO578" si="89">IF(OR(ISBLANK(O515), ISBLANK(Q515)), 1, IF(AN515&lt;=0,1,0))</f>
        <v>0</v>
      </c>
    </row>
    <row r="516" spans="1:41" x14ac:dyDescent="0.35">
      <c r="A516" t="s">
        <v>23</v>
      </c>
      <c r="B516" t="s">
        <v>1187</v>
      </c>
      <c r="C516" t="s">
        <v>43</v>
      </c>
      <c r="D516" t="s">
        <v>44</v>
      </c>
      <c r="E516" t="s">
        <v>44</v>
      </c>
      <c r="F516" t="s">
        <v>28</v>
      </c>
      <c r="H516" t="s">
        <v>1188</v>
      </c>
      <c r="I516" t="s">
        <v>30</v>
      </c>
      <c r="J516" t="s">
        <v>300</v>
      </c>
      <c r="K516" t="s">
        <v>48</v>
      </c>
      <c r="L516" t="s">
        <v>192</v>
      </c>
      <c r="N516" s="2">
        <v>45540.166666666664</v>
      </c>
      <c r="O516" s="2">
        <v>45657.208333333336</v>
      </c>
      <c r="P516" s="2">
        <v>45576.166666666664</v>
      </c>
      <c r="Q516" s="2">
        <v>45555</v>
      </c>
      <c r="R516" s="2">
        <v>45555.733513460647</v>
      </c>
      <c r="T516" s="2"/>
      <c r="U516" s="2"/>
      <c r="V516" s="2"/>
      <c r="W516" s="2"/>
      <c r="X516" s="3" t="str">
        <f t="shared" si="80"/>
        <v/>
      </c>
      <c r="Y516" t="str">
        <f t="shared" si="81"/>
        <v/>
      </c>
      <c r="Z516">
        <f t="shared" si="82"/>
        <v>0</v>
      </c>
      <c r="AA516">
        <f t="shared" si="83"/>
        <v>14.833333333335759</v>
      </c>
      <c r="AB516">
        <f t="shared" si="84"/>
        <v>14.833333333335759</v>
      </c>
      <c r="AC516">
        <f>IFERROR(_xlfn.XLOOKUP(B516, HoldSummary!$A:$A, HoldSummary!B:B), 0)</f>
        <v>0</v>
      </c>
      <c r="AD516">
        <f>IFERROR(_xlfn.XLOOKUP(B516, HoldSummary!$A:$A, HoldSummary!C:C), 0)</f>
        <v>0</v>
      </c>
      <c r="AE516">
        <f>IFERROR(_xlfn.XLOOKUP(B516, HoldSummary!$A:$A, HoldSummary!D:D), 0)</f>
        <v>0</v>
      </c>
      <c r="AF516">
        <f>IFERROR(_xlfn.XLOOKUP(B516, HoldSummary!$A:$A, HoldSummary!E:E), 0)</f>
        <v>0</v>
      </c>
      <c r="AG516">
        <f>IFERROR(_xlfn.XLOOKUP(B516, HoldSummary!$A:$A, HoldSummary!F:F), 0)</f>
        <v>0</v>
      </c>
      <c r="AH516">
        <f>IFERROR(_xlfn.XLOOKUP(B516, HoldSummary!$A:$A, HoldSummary!G:G), 0)</f>
        <v>0</v>
      </c>
      <c r="AI516">
        <f>IFERROR(_xlfn.XLOOKUP(B516, HoldSummary!$A:$A, HoldSummary!H:H), 0)</f>
        <v>0</v>
      </c>
      <c r="AJ516">
        <f>IFERROR(_xlfn.XLOOKUP(B516, HoldSummary!$A:$A, HoldSummary!I:I), 0)</f>
        <v>0</v>
      </c>
      <c r="AK516">
        <f t="shared" si="85"/>
        <v>0</v>
      </c>
      <c r="AL516">
        <f t="shared" si="86"/>
        <v>14.833333333335759</v>
      </c>
      <c r="AM516">
        <f t="shared" si="87"/>
        <v>14.833333333335759</v>
      </c>
      <c r="AN516" s="12">
        <f t="shared" si="88"/>
        <v>-102.20833333333576</v>
      </c>
      <c r="AO516">
        <f t="shared" si="89"/>
        <v>1</v>
      </c>
    </row>
    <row r="517" spans="1:41" x14ac:dyDescent="0.35">
      <c r="A517" t="s">
        <v>23</v>
      </c>
      <c r="B517" t="s">
        <v>1189</v>
      </c>
      <c r="C517" t="s">
        <v>135</v>
      </c>
      <c r="D517" t="s">
        <v>44</v>
      </c>
      <c r="E517" t="s">
        <v>45</v>
      </c>
      <c r="F517" t="s">
        <v>28</v>
      </c>
      <c r="H517" t="s">
        <v>1190</v>
      </c>
      <c r="I517" t="s">
        <v>30</v>
      </c>
      <c r="J517" t="s">
        <v>31</v>
      </c>
      <c r="K517" t="s">
        <v>32</v>
      </c>
      <c r="L517" t="s">
        <v>32</v>
      </c>
      <c r="M517" t="s">
        <v>33</v>
      </c>
      <c r="N517" s="2">
        <v>45547.109386574077</v>
      </c>
      <c r="O517" s="2">
        <v>45583.166666666664</v>
      </c>
      <c r="P517" s="2">
        <v>45583.166666666664</v>
      </c>
      <c r="Q517" s="2">
        <v>45574</v>
      </c>
      <c r="R517" s="2">
        <v>45576.670730613427</v>
      </c>
      <c r="S517" t="s">
        <v>834</v>
      </c>
      <c r="T517" s="2"/>
      <c r="U517" s="2"/>
      <c r="V517" s="2"/>
      <c r="W517" s="2"/>
      <c r="X517" s="3" t="str">
        <f t="shared" si="80"/>
        <v/>
      </c>
      <c r="Y517" t="str">
        <f t="shared" si="81"/>
        <v/>
      </c>
      <c r="Z517">
        <f t="shared" si="82"/>
        <v>0</v>
      </c>
      <c r="AA517">
        <f t="shared" si="83"/>
        <v>26.89061342592322</v>
      </c>
      <c r="AB517">
        <f t="shared" si="84"/>
        <v>26.89061342592322</v>
      </c>
      <c r="AC517">
        <f>IFERROR(_xlfn.XLOOKUP(B517, HoldSummary!$A:$A, HoldSummary!B:B), 0)</f>
        <v>0</v>
      </c>
      <c r="AD517">
        <f>IFERROR(_xlfn.XLOOKUP(B517, HoldSummary!$A:$A, HoldSummary!C:C), 0)</f>
        <v>0</v>
      </c>
      <c r="AE517">
        <f>IFERROR(_xlfn.XLOOKUP(B517, HoldSummary!$A:$A, HoldSummary!D:D), 0)</f>
        <v>0</v>
      </c>
      <c r="AF517">
        <f>IFERROR(_xlfn.XLOOKUP(B517, HoldSummary!$A:$A, HoldSummary!E:E), 0)</f>
        <v>0</v>
      </c>
      <c r="AG517">
        <f>IFERROR(_xlfn.XLOOKUP(B517, HoldSummary!$A:$A, HoldSummary!F:F), 0)</f>
        <v>0</v>
      </c>
      <c r="AH517">
        <f>IFERROR(_xlfn.XLOOKUP(B517, HoldSummary!$A:$A, HoldSummary!G:G), 0)</f>
        <v>0</v>
      </c>
      <c r="AI517">
        <f>IFERROR(_xlfn.XLOOKUP(B517, HoldSummary!$A:$A, HoldSummary!H:H), 0)</f>
        <v>0</v>
      </c>
      <c r="AJ517">
        <f>IFERROR(_xlfn.XLOOKUP(B517, HoldSummary!$A:$A, HoldSummary!I:I), 0)</f>
        <v>0</v>
      </c>
      <c r="AK517">
        <f t="shared" si="85"/>
        <v>0</v>
      </c>
      <c r="AL517">
        <f t="shared" si="86"/>
        <v>26.89061342592322</v>
      </c>
      <c r="AM517">
        <f t="shared" si="87"/>
        <v>26.89061342592322</v>
      </c>
      <c r="AN517" s="12">
        <f t="shared" si="88"/>
        <v>-9.1666666666642413</v>
      </c>
      <c r="AO517">
        <f t="shared" si="89"/>
        <v>1</v>
      </c>
    </row>
    <row r="518" spans="1:41" x14ac:dyDescent="0.35">
      <c r="A518" t="s">
        <v>23</v>
      </c>
      <c r="B518" t="s">
        <v>1191</v>
      </c>
      <c r="C518" t="s">
        <v>130</v>
      </c>
      <c r="D518" t="s">
        <v>44</v>
      </c>
      <c r="E518" t="s">
        <v>45</v>
      </c>
      <c r="F518" t="s">
        <v>28</v>
      </c>
      <c r="H518" t="s">
        <v>1192</v>
      </c>
      <c r="I518" t="s">
        <v>30</v>
      </c>
      <c r="J518" t="s">
        <v>31</v>
      </c>
      <c r="K518" t="s">
        <v>38</v>
      </c>
      <c r="L518" t="s">
        <v>39</v>
      </c>
      <c r="M518" t="s">
        <v>33</v>
      </c>
      <c r="N518" s="2">
        <v>45524.370416666665</v>
      </c>
      <c r="O518" s="2">
        <v>45728.166666666664</v>
      </c>
      <c r="P518" s="2">
        <v>45742.166666666664</v>
      </c>
      <c r="Q518" s="2">
        <v>45734</v>
      </c>
      <c r="R518" s="2">
        <v>45735.066336203701</v>
      </c>
      <c r="S518" t="s">
        <v>162</v>
      </c>
      <c r="T518" s="2">
        <v>45572.166666666664</v>
      </c>
      <c r="U518" s="2">
        <v>45597.166666666664</v>
      </c>
      <c r="V518" s="2">
        <v>45597.166666666664</v>
      </c>
      <c r="W518" s="2">
        <v>45693.208333333336</v>
      </c>
      <c r="X518" s="3">
        <f t="shared" si="80"/>
        <v>25</v>
      </c>
      <c r="Y518">
        <f t="shared" si="81"/>
        <v>96.041666666671517</v>
      </c>
      <c r="Z518">
        <f t="shared" si="82"/>
        <v>121.04166666667152</v>
      </c>
      <c r="AA518">
        <f t="shared" si="83"/>
        <v>209.62958333333518</v>
      </c>
      <c r="AB518">
        <f t="shared" si="84"/>
        <v>88.587916666663659</v>
      </c>
      <c r="AC518">
        <f>IFERROR(_xlfn.XLOOKUP(B518, HoldSummary!$A:$A, HoldSummary!B:B), 0)</f>
        <v>0</v>
      </c>
      <c r="AD518">
        <f>IFERROR(_xlfn.XLOOKUP(B518, HoldSummary!$A:$A, HoldSummary!C:C), 0)</f>
        <v>0</v>
      </c>
      <c r="AE518">
        <f>IFERROR(_xlfn.XLOOKUP(B518, HoldSummary!$A:$A, HoldSummary!D:D), 0)</f>
        <v>0</v>
      </c>
      <c r="AF518">
        <f>IFERROR(_xlfn.XLOOKUP(B518, HoldSummary!$A:$A, HoldSummary!E:E), 0)</f>
        <v>0</v>
      </c>
      <c r="AG518">
        <f>IFERROR(_xlfn.XLOOKUP(B518, HoldSummary!$A:$A, HoldSummary!F:F), 0)</f>
        <v>0</v>
      </c>
      <c r="AH518">
        <f>IFERROR(_xlfn.XLOOKUP(B518, HoldSummary!$A:$A, HoldSummary!G:G), 0)</f>
        <v>20</v>
      </c>
      <c r="AI518">
        <f>IFERROR(_xlfn.XLOOKUP(B518, HoldSummary!$A:$A, HoldSummary!H:H), 0)</f>
        <v>0</v>
      </c>
      <c r="AJ518">
        <f>IFERROR(_xlfn.XLOOKUP(B518, HoldSummary!$A:$A, HoldSummary!I:I), 0)</f>
        <v>0</v>
      </c>
      <c r="AK518">
        <f t="shared" si="85"/>
        <v>20</v>
      </c>
      <c r="AL518">
        <f t="shared" si="86"/>
        <v>189.62958333333518</v>
      </c>
      <c r="AM518">
        <f t="shared" si="87"/>
        <v>68.587916666663659</v>
      </c>
      <c r="AN518" s="12">
        <f t="shared" si="88"/>
        <v>5.8333333333357587</v>
      </c>
      <c r="AO518">
        <f t="shared" si="89"/>
        <v>0</v>
      </c>
    </row>
    <row r="519" spans="1:41" x14ac:dyDescent="0.35">
      <c r="A519" t="s">
        <v>23</v>
      </c>
      <c r="B519" t="s">
        <v>1193</v>
      </c>
      <c r="C519" t="s">
        <v>76</v>
      </c>
      <c r="D519" t="s">
        <v>44</v>
      </c>
      <c r="E519" t="s">
        <v>45</v>
      </c>
      <c r="F519" t="s">
        <v>28</v>
      </c>
      <c r="H519" t="s">
        <v>1194</v>
      </c>
      <c r="I519" t="s">
        <v>30</v>
      </c>
      <c r="J519" t="s">
        <v>31</v>
      </c>
      <c r="K519" t="s">
        <v>38</v>
      </c>
      <c r="L519" t="s">
        <v>39</v>
      </c>
      <c r="M519" t="s">
        <v>33</v>
      </c>
      <c r="N519" s="2">
        <v>45525.769236111111</v>
      </c>
      <c r="O519" s="2">
        <v>45715.208333333336</v>
      </c>
      <c r="P519" s="2">
        <v>45742.166666666664</v>
      </c>
      <c r="Q519" s="2">
        <v>45742</v>
      </c>
      <c r="R519" s="2">
        <v>45742.832181574071</v>
      </c>
      <c r="S519" t="s">
        <v>162</v>
      </c>
      <c r="T519" s="2">
        <v>45611.208333333336</v>
      </c>
      <c r="U519" s="2">
        <v>45632.208333333336</v>
      </c>
      <c r="V519" s="2">
        <v>45632.208333333336</v>
      </c>
      <c r="W519" s="2">
        <v>45671.208333333336</v>
      </c>
      <c r="X519" s="3">
        <f t="shared" si="80"/>
        <v>21</v>
      </c>
      <c r="Y519">
        <f t="shared" si="81"/>
        <v>39</v>
      </c>
      <c r="Z519">
        <f t="shared" si="82"/>
        <v>60</v>
      </c>
      <c r="AA519">
        <f t="shared" si="83"/>
        <v>216.23076388888876</v>
      </c>
      <c r="AB519">
        <f t="shared" si="84"/>
        <v>156.23076388888876</v>
      </c>
      <c r="AC519">
        <f>IFERROR(_xlfn.XLOOKUP(B519, HoldSummary!$A:$A, HoldSummary!B:B), 0)</f>
        <v>0</v>
      </c>
      <c r="AD519">
        <f>IFERROR(_xlfn.XLOOKUP(B519, HoldSummary!$A:$A, HoldSummary!C:C), 0)</f>
        <v>1</v>
      </c>
      <c r="AE519">
        <f>IFERROR(_xlfn.XLOOKUP(B519, HoldSummary!$A:$A, HoldSummary!D:D), 0)</f>
        <v>0</v>
      </c>
      <c r="AF519">
        <f>IFERROR(_xlfn.XLOOKUP(B519, HoldSummary!$A:$A, HoldSummary!E:E), 0)</f>
        <v>0</v>
      </c>
      <c r="AG519">
        <f>IFERROR(_xlfn.XLOOKUP(B519, HoldSummary!$A:$A, HoldSummary!F:F), 0)</f>
        <v>0</v>
      </c>
      <c r="AH519">
        <f>IFERROR(_xlfn.XLOOKUP(B519, HoldSummary!$A:$A, HoldSummary!G:G), 0)</f>
        <v>0</v>
      </c>
      <c r="AI519">
        <f>IFERROR(_xlfn.XLOOKUP(B519, HoldSummary!$A:$A, HoldSummary!H:H), 0)</f>
        <v>0</v>
      </c>
      <c r="AJ519">
        <f>IFERROR(_xlfn.XLOOKUP(B519, HoldSummary!$A:$A, HoldSummary!I:I), 0)</f>
        <v>0</v>
      </c>
      <c r="AK519">
        <f t="shared" si="85"/>
        <v>1</v>
      </c>
      <c r="AL519">
        <f t="shared" si="86"/>
        <v>215.23076388888876</v>
      </c>
      <c r="AM519">
        <f t="shared" si="87"/>
        <v>155.23076388888876</v>
      </c>
      <c r="AN519" s="12">
        <f t="shared" si="88"/>
        <v>26.791666666664241</v>
      </c>
      <c r="AO519">
        <f t="shared" si="89"/>
        <v>0</v>
      </c>
    </row>
    <row r="520" spans="1:41" x14ac:dyDescent="0.35">
      <c r="A520" t="s">
        <v>23</v>
      </c>
      <c r="B520" t="s">
        <v>1195</v>
      </c>
      <c r="C520" t="s">
        <v>135</v>
      </c>
      <c r="D520" t="s">
        <v>44</v>
      </c>
      <c r="E520" t="s">
        <v>45</v>
      </c>
      <c r="F520" t="s">
        <v>28</v>
      </c>
      <c r="H520" t="s">
        <v>1196</v>
      </c>
      <c r="I520" t="s">
        <v>30</v>
      </c>
      <c r="J520" t="s">
        <v>31</v>
      </c>
      <c r="K520" t="s">
        <v>32</v>
      </c>
      <c r="L520" t="s">
        <v>32</v>
      </c>
      <c r="M520" t="s">
        <v>33</v>
      </c>
      <c r="N520" s="2">
        <v>45533.325127314813</v>
      </c>
      <c r="O520" s="2">
        <v>45586.166666666664</v>
      </c>
      <c r="P520" s="2">
        <v>45587.166666666664</v>
      </c>
      <c r="Q520" s="2">
        <v>45586</v>
      </c>
      <c r="R520" s="2">
        <v>45588.123778703703</v>
      </c>
      <c r="T520" s="2">
        <v>45579.166666666664</v>
      </c>
      <c r="U520" s="2">
        <v>45580.166666666664</v>
      </c>
      <c r="V520" s="2">
        <v>45580.166666666664</v>
      </c>
      <c r="W520" s="2">
        <v>45580.166666666664</v>
      </c>
      <c r="X520" s="3">
        <f t="shared" si="80"/>
        <v>1</v>
      </c>
      <c r="Y520">
        <f t="shared" si="81"/>
        <v>0</v>
      </c>
      <c r="Z520">
        <f t="shared" si="82"/>
        <v>1</v>
      </c>
      <c r="AA520">
        <f t="shared" si="83"/>
        <v>52.674872685187438</v>
      </c>
      <c r="AB520">
        <f t="shared" si="84"/>
        <v>51.674872685187438</v>
      </c>
      <c r="AC520">
        <f>IFERROR(_xlfn.XLOOKUP(B520, HoldSummary!$A:$A, HoldSummary!B:B), 0)</f>
        <v>0</v>
      </c>
      <c r="AD520">
        <f>IFERROR(_xlfn.XLOOKUP(B520, HoldSummary!$A:$A, HoldSummary!C:C), 0)</f>
        <v>5</v>
      </c>
      <c r="AE520">
        <f>IFERROR(_xlfn.XLOOKUP(B520, HoldSummary!$A:$A, HoldSummary!D:D), 0)</f>
        <v>0</v>
      </c>
      <c r="AF520">
        <f>IFERROR(_xlfn.XLOOKUP(B520, HoldSummary!$A:$A, HoldSummary!E:E), 0)</f>
        <v>0</v>
      </c>
      <c r="AG520">
        <f>IFERROR(_xlfn.XLOOKUP(B520, HoldSummary!$A:$A, HoldSummary!F:F), 0)</f>
        <v>0</v>
      </c>
      <c r="AH520">
        <f>IFERROR(_xlfn.XLOOKUP(B520, HoldSummary!$A:$A, HoldSummary!G:G), 0)</f>
        <v>0</v>
      </c>
      <c r="AI520">
        <f>IFERROR(_xlfn.XLOOKUP(B520, HoldSummary!$A:$A, HoldSummary!H:H), 0)</f>
        <v>0</v>
      </c>
      <c r="AJ520">
        <f>IFERROR(_xlfn.XLOOKUP(B520, HoldSummary!$A:$A, HoldSummary!I:I), 0)</f>
        <v>0</v>
      </c>
      <c r="AK520">
        <f t="shared" si="85"/>
        <v>5</v>
      </c>
      <c r="AL520">
        <f t="shared" si="86"/>
        <v>47.674872685187438</v>
      </c>
      <c r="AM520">
        <f t="shared" si="87"/>
        <v>46.674872685187438</v>
      </c>
      <c r="AN520" s="12">
        <f t="shared" si="88"/>
        <v>-0.16666666666424135</v>
      </c>
      <c r="AO520">
        <f t="shared" si="89"/>
        <v>1</v>
      </c>
    </row>
    <row r="521" spans="1:41" x14ac:dyDescent="0.35">
      <c r="A521" t="s">
        <v>23</v>
      </c>
      <c r="B521" t="s">
        <v>1197</v>
      </c>
      <c r="C521" t="s">
        <v>36</v>
      </c>
      <c r="D521" t="s">
        <v>44</v>
      </c>
      <c r="E521" t="s">
        <v>44</v>
      </c>
      <c r="F521" t="s">
        <v>28</v>
      </c>
      <c r="H521" t="s">
        <v>1198</v>
      </c>
      <c r="I521" t="s">
        <v>30</v>
      </c>
      <c r="J521" t="s">
        <v>300</v>
      </c>
      <c r="K521" t="s">
        <v>38</v>
      </c>
      <c r="L521" t="s">
        <v>39</v>
      </c>
      <c r="M521" t="s">
        <v>33</v>
      </c>
      <c r="N521" s="2">
        <v>45721.208333333336</v>
      </c>
      <c r="O521" s="2">
        <v>45751.166666666664</v>
      </c>
      <c r="P521" s="2">
        <v>45742.166666666664</v>
      </c>
      <c r="Q521" s="2">
        <v>45747</v>
      </c>
      <c r="R521" s="2">
        <v>45748.557041458334</v>
      </c>
      <c r="T521" s="2">
        <v>45722.208333333336</v>
      </c>
      <c r="U521" s="2">
        <v>45722.208333333336</v>
      </c>
      <c r="V521" s="2">
        <v>45722.208333333336</v>
      </c>
      <c r="W521" s="2">
        <v>45723.208333333336</v>
      </c>
      <c r="X521" s="3">
        <f t="shared" si="80"/>
        <v>0</v>
      </c>
      <c r="Y521">
        <f t="shared" si="81"/>
        <v>1</v>
      </c>
      <c r="Z521">
        <f t="shared" si="82"/>
        <v>1</v>
      </c>
      <c r="AA521">
        <f t="shared" si="83"/>
        <v>25.791666666664241</v>
      </c>
      <c r="AB521">
        <f t="shared" si="84"/>
        <v>24.791666666664241</v>
      </c>
      <c r="AC521">
        <f>IFERROR(_xlfn.XLOOKUP(B521, HoldSummary!$A:$A, HoldSummary!B:B), 0)</f>
        <v>0</v>
      </c>
      <c r="AD521">
        <f>IFERROR(_xlfn.XLOOKUP(B521, HoldSummary!$A:$A, HoldSummary!C:C), 0)</f>
        <v>0</v>
      </c>
      <c r="AE521">
        <f>IFERROR(_xlfn.XLOOKUP(B521, HoldSummary!$A:$A, HoldSummary!D:D), 0)</f>
        <v>0</v>
      </c>
      <c r="AF521">
        <f>IFERROR(_xlfn.XLOOKUP(B521, HoldSummary!$A:$A, HoldSummary!E:E), 0)</f>
        <v>0</v>
      </c>
      <c r="AG521">
        <f>IFERROR(_xlfn.XLOOKUP(B521, HoldSummary!$A:$A, HoldSummary!F:F), 0)</f>
        <v>0</v>
      </c>
      <c r="AH521">
        <f>IFERROR(_xlfn.XLOOKUP(B521, HoldSummary!$A:$A, HoldSummary!G:G), 0)</f>
        <v>0</v>
      </c>
      <c r="AI521">
        <f>IFERROR(_xlfn.XLOOKUP(B521, HoldSummary!$A:$A, HoldSummary!H:H), 0)</f>
        <v>0</v>
      </c>
      <c r="AJ521">
        <f>IFERROR(_xlfn.XLOOKUP(B521, HoldSummary!$A:$A, HoldSummary!I:I), 0)</f>
        <v>0</v>
      </c>
      <c r="AK521">
        <f t="shared" si="85"/>
        <v>0</v>
      </c>
      <c r="AL521">
        <f t="shared" si="86"/>
        <v>25.791666666664241</v>
      </c>
      <c r="AM521">
        <f t="shared" si="87"/>
        <v>24.791666666664241</v>
      </c>
      <c r="AN521" s="12">
        <f t="shared" si="88"/>
        <v>-4.1666666666642413</v>
      </c>
      <c r="AO521">
        <f t="shared" si="89"/>
        <v>1</v>
      </c>
    </row>
    <row r="522" spans="1:41" x14ac:dyDescent="0.35">
      <c r="A522" t="s">
        <v>23</v>
      </c>
      <c r="B522" t="s">
        <v>1199</v>
      </c>
      <c r="C522" t="s">
        <v>135</v>
      </c>
      <c r="D522" t="s">
        <v>44</v>
      </c>
      <c r="E522" t="s">
        <v>45</v>
      </c>
      <c r="F522" t="s">
        <v>28</v>
      </c>
      <c r="H522" t="s">
        <v>1200</v>
      </c>
      <c r="I522" t="s">
        <v>30</v>
      </c>
      <c r="J522" t="s">
        <v>31</v>
      </c>
      <c r="K522" t="s">
        <v>32</v>
      </c>
      <c r="L522" t="s">
        <v>32</v>
      </c>
      <c r="M522" t="s">
        <v>33</v>
      </c>
      <c r="N522" s="2">
        <v>45534.383587962962</v>
      </c>
      <c r="O522" s="2">
        <v>45595.166666666664</v>
      </c>
      <c r="P522" s="2">
        <v>45595.166666666664</v>
      </c>
      <c r="Q522" s="2">
        <v>45576</v>
      </c>
      <c r="R522" s="2">
        <v>45580.630470034725</v>
      </c>
      <c r="T522" s="2"/>
      <c r="U522" s="2"/>
      <c r="V522" s="2"/>
      <c r="W522" s="2"/>
      <c r="X522" s="3" t="str">
        <f t="shared" si="80"/>
        <v/>
      </c>
      <c r="Y522" t="str">
        <f t="shared" si="81"/>
        <v/>
      </c>
      <c r="Z522">
        <f t="shared" si="82"/>
        <v>0</v>
      </c>
      <c r="AA522">
        <f t="shared" si="83"/>
        <v>41.616412037037662</v>
      </c>
      <c r="AB522">
        <f t="shared" si="84"/>
        <v>41.616412037037662</v>
      </c>
      <c r="AC522">
        <f>IFERROR(_xlfn.XLOOKUP(B522, HoldSummary!$A:$A, HoldSummary!B:B), 0)</f>
        <v>0</v>
      </c>
      <c r="AD522">
        <f>IFERROR(_xlfn.XLOOKUP(B522, HoldSummary!$A:$A, HoldSummary!C:C), 0)</f>
        <v>0</v>
      </c>
      <c r="AE522">
        <f>IFERROR(_xlfn.XLOOKUP(B522, HoldSummary!$A:$A, HoldSummary!D:D), 0)</f>
        <v>0</v>
      </c>
      <c r="AF522">
        <f>IFERROR(_xlfn.XLOOKUP(B522, HoldSummary!$A:$A, HoldSummary!E:E), 0)</f>
        <v>0</v>
      </c>
      <c r="AG522">
        <f>IFERROR(_xlfn.XLOOKUP(B522, HoldSummary!$A:$A, HoldSummary!F:F), 0)</f>
        <v>0</v>
      </c>
      <c r="AH522">
        <f>IFERROR(_xlfn.XLOOKUP(B522, HoldSummary!$A:$A, HoldSummary!G:G), 0)</f>
        <v>0</v>
      </c>
      <c r="AI522">
        <f>IFERROR(_xlfn.XLOOKUP(B522, HoldSummary!$A:$A, HoldSummary!H:H), 0)</f>
        <v>0</v>
      </c>
      <c r="AJ522">
        <f>IFERROR(_xlfn.XLOOKUP(B522, HoldSummary!$A:$A, HoldSummary!I:I), 0)</f>
        <v>0</v>
      </c>
      <c r="AK522">
        <f t="shared" si="85"/>
        <v>0</v>
      </c>
      <c r="AL522">
        <f t="shared" si="86"/>
        <v>41.616412037037662</v>
      </c>
      <c r="AM522">
        <f t="shared" si="87"/>
        <v>41.616412037037662</v>
      </c>
      <c r="AN522" s="12">
        <f t="shared" si="88"/>
        <v>-19.166666666664241</v>
      </c>
      <c r="AO522">
        <f t="shared" si="89"/>
        <v>1</v>
      </c>
    </row>
    <row r="523" spans="1:41" x14ac:dyDescent="0.35">
      <c r="A523" t="s">
        <v>23</v>
      </c>
      <c r="B523" t="s">
        <v>1201</v>
      </c>
      <c r="C523" t="s">
        <v>36</v>
      </c>
      <c r="D523" t="s">
        <v>44</v>
      </c>
      <c r="E523" t="s">
        <v>45</v>
      </c>
      <c r="F523" t="s">
        <v>28</v>
      </c>
      <c r="H523" t="s">
        <v>1202</v>
      </c>
      <c r="I523" t="s">
        <v>30</v>
      </c>
      <c r="J523" t="s">
        <v>31</v>
      </c>
      <c r="K523" t="s">
        <v>48</v>
      </c>
      <c r="L523" t="s">
        <v>695</v>
      </c>
      <c r="M523" t="s">
        <v>33</v>
      </c>
      <c r="N523" s="2">
        <v>45568.624722222223</v>
      </c>
      <c r="O523" s="2">
        <v>45618.208333333336</v>
      </c>
      <c r="P523" s="2">
        <v>45674.208333333336</v>
      </c>
      <c r="Q523" s="2">
        <v>45674</v>
      </c>
      <c r="R523" s="2">
        <v>45678.635284849537</v>
      </c>
      <c r="S523" t="s">
        <v>1203</v>
      </c>
      <c r="T523" s="2">
        <v>45659.208333333336</v>
      </c>
      <c r="U523" s="2">
        <v>45659.208333333336</v>
      </c>
      <c r="V523" s="2">
        <v>45659.208333333336</v>
      </c>
      <c r="W523" s="2">
        <v>45659.208333333336</v>
      </c>
      <c r="X523" s="3">
        <f t="shared" si="80"/>
        <v>0</v>
      </c>
      <c r="Y523">
        <f t="shared" si="81"/>
        <v>0</v>
      </c>
      <c r="Z523">
        <f t="shared" si="82"/>
        <v>0</v>
      </c>
      <c r="AA523">
        <f t="shared" si="83"/>
        <v>105.37527777777723</v>
      </c>
      <c r="AB523">
        <f t="shared" si="84"/>
        <v>105.37527777777723</v>
      </c>
      <c r="AC523">
        <f>IFERROR(_xlfn.XLOOKUP(B523, HoldSummary!$A:$A, HoldSummary!B:B), 0)</f>
        <v>0</v>
      </c>
      <c r="AD523">
        <f>IFERROR(_xlfn.XLOOKUP(B523, HoldSummary!$A:$A, HoldSummary!C:C), 0)</f>
        <v>0</v>
      </c>
      <c r="AE523">
        <f>IFERROR(_xlfn.XLOOKUP(B523, HoldSummary!$A:$A, HoldSummary!D:D), 0)</f>
        <v>0</v>
      </c>
      <c r="AF523">
        <f>IFERROR(_xlfn.XLOOKUP(B523, HoldSummary!$A:$A, HoldSummary!E:E), 0)</f>
        <v>0</v>
      </c>
      <c r="AG523">
        <f>IFERROR(_xlfn.XLOOKUP(B523, HoldSummary!$A:$A, HoldSummary!F:F), 0)</f>
        <v>0</v>
      </c>
      <c r="AH523">
        <f>IFERROR(_xlfn.XLOOKUP(B523, HoldSummary!$A:$A, HoldSummary!G:G), 0)</f>
        <v>35.994589710644505</v>
      </c>
      <c r="AI523">
        <f>IFERROR(_xlfn.XLOOKUP(B523, HoldSummary!$A:$A, HoldSummary!H:H), 0)</f>
        <v>0</v>
      </c>
      <c r="AJ523">
        <f>IFERROR(_xlfn.XLOOKUP(B523, HoldSummary!$A:$A, HoldSummary!I:I), 0)</f>
        <v>0</v>
      </c>
      <c r="AK523">
        <f t="shared" si="85"/>
        <v>35.994589710644505</v>
      </c>
      <c r="AL523">
        <f t="shared" si="86"/>
        <v>69.380688067132724</v>
      </c>
      <c r="AM523">
        <f t="shared" si="87"/>
        <v>69.380688067132724</v>
      </c>
      <c r="AN523" s="12">
        <f t="shared" si="88"/>
        <v>55.791666666664241</v>
      </c>
      <c r="AO523">
        <f t="shared" si="89"/>
        <v>0</v>
      </c>
    </row>
    <row r="524" spans="1:41" x14ac:dyDescent="0.35">
      <c r="A524" t="s">
        <v>23</v>
      </c>
      <c r="B524" t="s">
        <v>1204</v>
      </c>
      <c r="C524" t="s">
        <v>54</v>
      </c>
      <c r="D524" t="s">
        <v>44</v>
      </c>
      <c r="E524" t="s">
        <v>45</v>
      </c>
      <c r="F524" t="s">
        <v>28</v>
      </c>
      <c r="H524" t="s">
        <v>1205</v>
      </c>
      <c r="I524" t="s">
        <v>30</v>
      </c>
      <c r="J524" t="s">
        <v>31</v>
      </c>
      <c r="K524" t="s">
        <v>38</v>
      </c>
      <c r="L524" t="s">
        <v>53</v>
      </c>
      <c r="M524" t="s">
        <v>33</v>
      </c>
      <c r="N524" s="2">
        <v>45573.848009259258</v>
      </c>
      <c r="O524" s="2">
        <v>45716.208333333336</v>
      </c>
      <c r="P524" s="2">
        <v>45716.208333333336</v>
      </c>
      <c r="Q524" s="2">
        <v>45611</v>
      </c>
      <c r="R524" s="2">
        <v>45614.790808726852</v>
      </c>
      <c r="S524" t="s">
        <v>1206</v>
      </c>
      <c r="T524" s="2">
        <v>45590.166666666664</v>
      </c>
      <c r="U524" s="2">
        <v>45596.166666666664</v>
      </c>
      <c r="V524" s="2">
        <v>45596.166666666664</v>
      </c>
      <c r="W524" s="2">
        <v>45600.208333333336</v>
      </c>
      <c r="X524" s="3">
        <f t="shared" si="80"/>
        <v>6</v>
      </c>
      <c r="Y524">
        <f t="shared" si="81"/>
        <v>4.0416666666715173</v>
      </c>
      <c r="Z524">
        <f t="shared" si="82"/>
        <v>10.041666666671517</v>
      </c>
      <c r="AA524">
        <f t="shared" si="83"/>
        <v>37.151990740741894</v>
      </c>
      <c r="AB524">
        <f t="shared" si="84"/>
        <v>27.110324074070377</v>
      </c>
      <c r="AC524">
        <f>IFERROR(_xlfn.XLOOKUP(B524, HoldSummary!$A:$A, HoldSummary!B:B), 0)</f>
        <v>0</v>
      </c>
      <c r="AD524">
        <f>IFERROR(_xlfn.XLOOKUP(B524, HoldSummary!$A:$A, HoldSummary!C:C), 0)</f>
        <v>0</v>
      </c>
      <c r="AE524">
        <f>IFERROR(_xlfn.XLOOKUP(B524, HoldSummary!$A:$A, HoldSummary!D:D), 0)</f>
        <v>0</v>
      </c>
      <c r="AF524">
        <f>IFERROR(_xlfn.XLOOKUP(B524, HoldSummary!$A:$A, HoldSummary!E:E), 0)</f>
        <v>0</v>
      </c>
      <c r="AG524">
        <f>IFERROR(_xlfn.XLOOKUP(B524, HoldSummary!$A:$A, HoldSummary!F:F), 0)</f>
        <v>0</v>
      </c>
      <c r="AH524">
        <f>IFERROR(_xlfn.XLOOKUP(B524, HoldSummary!$A:$A, HoldSummary!G:G), 0)</f>
        <v>0</v>
      </c>
      <c r="AI524">
        <f>IFERROR(_xlfn.XLOOKUP(B524, HoldSummary!$A:$A, HoldSummary!H:H), 0)</f>
        <v>0</v>
      </c>
      <c r="AJ524">
        <f>IFERROR(_xlfn.XLOOKUP(B524, HoldSummary!$A:$A, HoldSummary!I:I), 0)</f>
        <v>0</v>
      </c>
      <c r="AK524">
        <f t="shared" si="85"/>
        <v>0</v>
      </c>
      <c r="AL524">
        <f t="shared" si="86"/>
        <v>37.151990740741894</v>
      </c>
      <c r="AM524">
        <f t="shared" si="87"/>
        <v>27.110324074070377</v>
      </c>
      <c r="AN524" s="12">
        <f t="shared" si="88"/>
        <v>-105.20833333333576</v>
      </c>
      <c r="AO524">
        <f t="shared" si="89"/>
        <v>1</v>
      </c>
    </row>
    <row r="525" spans="1:41" x14ac:dyDescent="0.35">
      <c r="A525" t="s">
        <v>23</v>
      </c>
      <c r="B525" t="s">
        <v>1207</v>
      </c>
      <c r="C525" t="s">
        <v>461</v>
      </c>
      <c r="D525" t="s">
        <v>44</v>
      </c>
      <c r="E525" t="s">
        <v>44</v>
      </c>
      <c r="F525" t="s">
        <v>28</v>
      </c>
      <c r="H525" t="s">
        <v>1208</v>
      </c>
      <c r="I525" t="s">
        <v>30</v>
      </c>
      <c r="J525" t="s">
        <v>208</v>
      </c>
      <c r="K525" t="s">
        <v>48</v>
      </c>
      <c r="L525" t="s">
        <v>192</v>
      </c>
      <c r="N525" s="2">
        <v>45575.166666666664</v>
      </c>
      <c r="O525" s="2">
        <v>45603.208333333336</v>
      </c>
      <c r="P525" s="2">
        <v>45603.208333333336</v>
      </c>
      <c r="Q525" s="2">
        <v>45602</v>
      </c>
      <c r="R525" s="2">
        <v>45604.676663599537</v>
      </c>
      <c r="S525" t="s">
        <v>1209</v>
      </c>
      <c r="T525" s="2"/>
      <c r="U525" s="2"/>
      <c r="V525" s="2"/>
      <c r="W525" s="2"/>
      <c r="X525" s="3" t="str">
        <f t="shared" si="80"/>
        <v/>
      </c>
      <c r="Y525" t="str">
        <f t="shared" si="81"/>
        <v/>
      </c>
      <c r="Z525">
        <f t="shared" si="82"/>
        <v>0</v>
      </c>
      <c r="AA525">
        <f t="shared" si="83"/>
        <v>26.833333333335759</v>
      </c>
      <c r="AB525">
        <f t="shared" si="84"/>
        <v>26.833333333335759</v>
      </c>
      <c r="AC525">
        <f>IFERROR(_xlfn.XLOOKUP(B525, HoldSummary!$A:$A, HoldSummary!B:B), 0)</f>
        <v>0</v>
      </c>
      <c r="AD525">
        <f>IFERROR(_xlfn.XLOOKUP(B525, HoldSummary!$A:$A, HoldSummary!C:C), 0)</f>
        <v>0</v>
      </c>
      <c r="AE525">
        <f>IFERROR(_xlfn.XLOOKUP(B525, HoldSummary!$A:$A, HoldSummary!D:D), 0)</f>
        <v>0</v>
      </c>
      <c r="AF525">
        <f>IFERROR(_xlfn.XLOOKUP(B525, HoldSummary!$A:$A, HoldSummary!E:E), 0)</f>
        <v>0</v>
      </c>
      <c r="AG525">
        <f>IFERROR(_xlfn.XLOOKUP(B525, HoldSummary!$A:$A, HoldSummary!F:F), 0)</f>
        <v>0</v>
      </c>
      <c r="AH525">
        <f>IFERROR(_xlfn.XLOOKUP(B525, HoldSummary!$A:$A, HoldSummary!G:G), 0)</f>
        <v>0</v>
      </c>
      <c r="AI525">
        <f>IFERROR(_xlfn.XLOOKUP(B525, HoldSummary!$A:$A, HoldSummary!H:H), 0)</f>
        <v>0</v>
      </c>
      <c r="AJ525">
        <f>IFERROR(_xlfn.XLOOKUP(B525, HoldSummary!$A:$A, HoldSummary!I:I), 0)</f>
        <v>0</v>
      </c>
      <c r="AK525">
        <f t="shared" si="85"/>
        <v>0</v>
      </c>
      <c r="AL525">
        <f t="shared" si="86"/>
        <v>26.833333333335759</v>
      </c>
      <c r="AM525">
        <f t="shared" si="87"/>
        <v>26.833333333335759</v>
      </c>
      <c r="AN525" s="12">
        <f t="shared" si="88"/>
        <v>-1.2083333333357587</v>
      </c>
      <c r="AO525">
        <f t="shared" si="89"/>
        <v>1</v>
      </c>
    </row>
    <row r="526" spans="1:41" x14ac:dyDescent="0.35">
      <c r="A526" t="s">
        <v>23</v>
      </c>
      <c r="B526" t="s">
        <v>1210</v>
      </c>
      <c r="C526" t="s">
        <v>409</v>
      </c>
      <c r="D526" t="s">
        <v>44</v>
      </c>
      <c r="E526" t="s">
        <v>45</v>
      </c>
      <c r="F526" t="s">
        <v>28</v>
      </c>
      <c r="H526" t="s">
        <v>1211</v>
      </c>
      <c r="I526" t="s">
        <v>30</v>
      </c>
      <c r="J526" t="s">
        <v>31</v>
      </c>
      <c r="K526" t="s">
        <v>48</v>
      </c>
      <c r="L526" t="s">
        <v>49</v>
      </c>
      <c r="M526" t="s">
        <v>81</v>
      </c>
      <c r="N526" s="2">
        <v>45506.88480324074</v>
      </c>
      <c r="O526" s="2">
        <v>45777.166666666664</v>
      </c>
      <c r="P526" s="2">
        <v>45838.166666666664</v>
      </c>
      <c r="Q526" s="2">
        <v>45832</v>
      </c>
      <c r="R526" s="2">
        <v>45832.859897997689</v>
      </c>
      <c r="S526" t="s">
        <v>702</v>
      </c>
      <c r="T526" s="2">
        <v>45603.208333333336</v>
      </c>
      <c r="U526" s="2">
        <v>45618.208333333336</v>
      </c>
      <c r="V526" s="2">
        <v>45618.208333333336</v>
      </c>
      <c r="W526" s="2">
        <v>45733.166666666664</v>
      </c>
      <c r="X526" s="3">
        <f t="shared" si="80"/>
        <v>15</v>
      </c>
      <c r="Y526">
        <f t="shared" si="81"/>
        <v>114.95833333332848</v>
      </c>
      <c r="Z526">
        <f t="shared" si="82"/>
        <v>129.95833333332848</v>
      </c>
      <c r="AA526">
        <f t="shared" si="83"/>
        <v>325.11519675925956</v>
      </c>
      <c r="AB526">
        <f t="shared" si="84"/>
        <v>195.15686342593108</v>
      </c>
      <c r="AC526">
        <f>IFERROR(_xlfn.XLOOKUP(B526, HoldSummary!$A:$A, HoldSummary!B:B), 0)</f>
        <v>9.9405341435194714</v>
      </c>
      <c r="AD526">
        <f>IFERROR(_xlfn.XLOOKUP(B526, HoldSummary!$A:$A, HoldSummary!C:C), 0)</f>
        <v>0</v>
      </c>
      <c r="AE526">
        <f>IFERROR(_xlfn.XLOOKUP(B526, HoldSummary!$A:$A, HoldSummary!D:D), 0)</f>
        <v>0</v>
      </c>
      <c r="AF526">
        <f>IFERROR(_xlfn.XLOOKUP(B526, HoldSummary!$A:$A, HoldSummary!E:E), 0)</f>
        <v>0</v>
      </c>
      <c r="AG526">
        <f>IFERROR(_xlfn.XLOOKUP(B526, HoldSummary!$A:$A, HoldSummary!F:F), 0)</f>
        <v>0</v>
      </c>
      <c r="AH526">
        <f>IFERROR(_xlfn.XLOOKUP(B526, HoldSummary!$A:$A, HoldSummary!G:G), 0)</f>
        <v>0</v>
      </c>
      <c r="AI526">
        <f>IFERROR(_xlfn.XLOOKUP(B526, HoldSummary!$A:$A, HoldSummary!H:H), 0)</f>
        <v>0</v>
      </c>
      <c r="AJ526">
        <f>IFERROR(_xlfn.XLOOKUP(B526, HoldSummary!$A:$A, HoldSummary!I:I), 0)</f>
        <v>0</v>
      </c>
      <c r="AK526">
        <f t="shared" si="85"/>
        <v>9.9405341435194714</v>
      </c>
      <c r="AL526">
        <f t="shared" si="86"/>
        <v>315.17466261574009</v>
      </c>
      <c r="AM526">
        <f t="shared" si="87"/>
        <v>185.21632928241161</v>
      </c>
      <c r="AN526" s="12">
        <f t="shared" si="88"/>
        <v>54.833333333335759</v>
      </c>
      <c r="AO526">
        <f t="shared" si="89"/>
        <v>0</v>
      </c>
    </row>
    <row r="527" spans="1:41" x14ac:dyDescent="0.35">
      <c r="A527" t="s">
        <v>23</v>
      </c>
      <c r="B527" t="s">
        <v>1212</v>
      </c>
      <c r="C527" t="s">
        <v>54</v>
      </c>
      <c r="D527" t="s">
        <v>44</v>
      </c>
      <c r="E527" t="s">
        <v>27</v>
      </c>
      <c r="F527" t="s">
        <v>28</v>
      </c>
      <c r="H527" t="s">
        <v>1213</v>
      </c>
      <c r="I527" t="s">
        <v>30</v>
      </c>
      <c r="J527" t="s">
        <v>31</v>
      </c>
      <c r="K527" t="s">
        <v>38</v>
      </c>
      <c r="L527" t="s">
        <v>39</v>
      </c>
      <c r="M527" t="s">
        <v>33</v>
      </c>
      <c r="N527" s="2">
        <v>45573.527465277781</v>
      </c>
      <c r="O527" s="2">
        <v>45762.166666666664</v>
      </c>
      <c r="P527" s="2">
        <v>45695.208333333336</v>
      </c>
      <c r="Q527" s="2">
        <v>45691</v>
      </c>
      <c r="R527" s="2">
        <v>45691.977303217594</v>
      </c>
      <c r="T527" s="2">
        <v>45621.208333333336</v>
      </c>
      <c r="U527" s="2">
        <v>45637.208333333336</v>
      </c>
      <c r="V527" s="2">
        <v>45637.208333333336</v>
      </c>
      <c r="W527" s="2">
        <v>45637.208333333336</v>
      </c>
      <c r="X527" s="3">
        <f t="shared" si="80"/>
        <v>16</v>
      </c>
      <c r="Y527">
        <f t="shared" si="81"/>
        <v>0</v>
      </c>
      <c r="Z527">
        <f t="shared" si="82"/>
        <v>16</v>
      </c>
      <c r="AA527">
        <f t="shared" si="83"/>
        <v>117.47253472221928</v>
      </c>
      <c r="AB527">
        <f t="shared" si="84"/>
        <v>101.47253472221928</v>
      </c>
      <c r="AC527">
        <f>IFERROR(_xlfn.XLOOKUP(B527, HoldSummary!$A:$A, HoldSummary!B:B), 0)</f>
        <v>0</v>
      </c>
      <c r="AD527">
        <f>IFERROR(_xlfn.XLOOKUP(B527, HoldSummary!$A:$A, HoldSummary!C:C), 0)</f>
        <v>0</v>
      </c>
      <c r="AE527">
        <f>IFERROR(_xlfn.XLOOKUP(B527, HoldSummary!$A:$A, HoldSummary!D:D), 0)</f>
        <v>0</v>
      </c>
      <c r="AF527">
        <f>IFERROR(_xlfn.XLOOKUP(B527, HoldSummary!$A:$A, HoldSummary!E:E), 0)</f>
        <v>0</v>
      </c>
      <c r="AG527">
        <f>IFERROR(_xlfn.XLOOKUP(B527, HoldSummary!$A:$A, HoldSummary!F:F), 0)</f>
        <v>0</v>
      </c>
      <c r="AH527">
        <f>IFERROR(_xlfn.XLOOKUP(B527, HoldSummary!$A:$A, HoldSummary!G:G), 0)</f>
        <v>0</v>
      </c>
      <c r="AI527">
        <f>IFERROR(_xlfn.XLOOKUP(B527, HoldSummary!$A:$A, HoldSummary!H:H), 0)</f>
        <v>0</v>
      </c>
      <c r="AJ527">
        <f>IFERROR(_xlfn.XLOOKUP(B527, HoldSummary!$A:$A, HoldSummary!I:I), 0)</f>
        <v>0</v>
      </c>
      <c r="AK527">
        <f t="shared" si="85"/>
        <v>0</v>
      </c>
      <c r="AL527">
        <f t="shared" si="86"/>
        <v>117.47253472221928</v>
      </c>
      <c r="AM527">
        <f t="shared" si="87"/>
        <v>101.47253472221928</v>
      </c>
      <c r="AN527" s="12">
        <f t="shared" si="88"/>
        <v>-71.166666666664241</v>
      </c>
      <c r="AO527">
        <f t="shared" si="89"/>
        <v>1</v>
      </c>
    </row>
    <row r="528" spans="1:41" x14ac:dyDescent="0.35">
      <c r="A528" t="s">
        <v>23</v>
      </c>
      <c r="B528" t="s">
        <v>1214</v>
      </c>
      <c r="C528" t="s">
        <v>130</v>
      </c>
      <c r="D528" t="s">
        <v>44</v>
      </c>
      <c r="E528" t="s">
        <v>45</v>
      </c>
      <c r="F528" t="s">
        <v>28</v>
      </c>
      <c r="H528" t="s">
        <v>1215</v>
      </c>
      <c r="I528" t="s">
        <v>30</v>
      </c>
      <c r="J528" t="s">
        <v>31</v>
      </c>
      <c r="K528" t="s">
        <v>48</v>
      </c>
      <c r="L528" t="s">
        <v>192</v>
      </c>
      <c r="M528" t="s">
        <v>33</v>
      </c>
      <c r="N528" s="2">
        <v>45574.549074074072</v>
      </c>
      <c r="O528" s="2">
        <v>45595.166666666664</v>
      </c>
      <c r="P528" s="2">
        <v>45595.166666666664</v>
      </c>
      <c r="Q528" s="2">
        <v>45595</v>
      </c>
      <c r="R528" s="2">
        <v>45595.816545555557</v>
      </c>
      <c r="S528" t="s">
        <v>434</v>
      </c>
      <c r="T528" s="2"/>
      <c r="U528" s="2"/>
      <c r="V528" s="2"/>
      <c r="W528" s="2"/>
      <c r="X528" s="3" t="str">
        <f t="shared" si="80"/>
        <v/>
      </c>
      <c r="Y528" t="str">
        <f t="shared" si="81"/>
        <v/>
      </c>
      <c r="Z528">
        <f t="shared" si="82"/>
        <v>0</v>
      </c>
      <c r="AA528">
        <f t="shared" si="83"/>
        <v>20.450925925928459</v>
      </c>
      <c r="AB528">
        <f t="shared" si="84"/>
        <v>20.450925925928459</v>
      </c>
      <c r="AC528">
        <f>IFERROR(_xlfn.XLOOKUP(B528, HoldSummary!$A:$A, HoldSummary!B:B), 0)</f>
        <v>0</v>
      </c>
      <c r="AD528">
        <f>IFERROR(_xlfn.XLOOKUP(B528, HoldSummary!$A:$A, HoldSummary!C:C), 0)</f>
        <v>0</v>
      </c>
      <c r="AE528">
        <f>IFERROR(_xlfn.XLOOKUP(B528, HoldSummary!$A:$A, HoldSummary!D:D), 0)</f>
        <v>0</v>
      </c>
      <c r="AF528">
        <f>IFERROR(_xlfn.XLOOKUP(B528, HoldSummary!$A:$A, HoldSummary!E:E), 0)</f>
        <v>0</v>
      </c>
      <c r="AG528">
        <f>IFERROR(_xlfn.XLOOKUP(B528, HoldSummary!$A:$A, HoldSummary!F:F), 0)</f>
        <v>0</v>
      </c>
      <c r="AH528">
        <f>IFERROR(_xlfn.XLOOKUP(B528, HoldSummary!$A:$A, HoldSummary!G:G), 0)</f>
        <v>0</v>
      </c>
      <c r="AI528">
        <f>IFERROR(_xlfn.XLOOKUP(B528, HoldSummary!$A:$A, HoldSummary!H:H), 0)</f>
        <v>0</v>
      </c>
      <c r="AJ528">
        <f>IFERROR(_xlfn.XLOOKUP(B528, HoldSummary!$A:$A, HoldSummary!I:I), 0)</f>
        <v>0</v>
      </c>
      <c r="AK528">
        <f t="shared" si="85"/>
        <v>0</v>
      </c>
      <c r="AL528">
        <f t="shared" si="86"/>
        <v>20.450925925928459</v>
      </c>
      <c r="AM528">
        <f t="shared" si="87"/>
        <v>20.450925925928459</v>
      </c>
      <c r="AN528" s="12">
        <f t="shared" si="88"/>
        <v>-0.16666666666424135</v>
      </c>
      <c r="AO528">
        <f t="shared" si="89"/>
        <v>1</v>
      </c>
    </row>
    <row r="529" spans="1:41" x14ac:dyDescent="0.35">
      <c r="A529" t="s">
        <v>23</v>
      </c>
      <c r="B529" t="s">
        <v>1216</v>
      </c>
      <c r="C529" t="s">
        <v>135</v>
      </c>
      <c r="D529" t="s">
        <v>44</v>
      </c>
      <c r="E529" t="s">
        <v>45</v>
      </c>
      <c r="F529" t="s">
        <v>28</v>
      </c>
      <c r="H529" t="s">
        <v>1217</v>
      </c>
      <c r="I529" t="s">
        <v>30</v>
      </c>
      <c r="J529" t="s">
        <v>31</v>
      </c>
      <c r="K529" t="s">
        <v>32</v>
      </c>
      <c r="L529" t="s">
        <v>32</v>
      </c>
      <c r="M529" t="s">
        <v>33</v>
      </c>
      <c r="N529" s="2">
        <v>45526.868113425924</v>
      </c>
      <c r="O529" s="2">
        <v>45596.166666666664</v>
      </c>
      <c r="P529" s="2">
        <v>45596.166666666664</v>
      </c>
      <c r="Q529" s="2">
        <v>45595</v>
      </c>
      <c r="R529" s="2">
        <v>45596.550389270837</v>
      </c>
      <c r="T529" s="2"/>
      <c r="U529" s="2"/>
      <c r="V529" s="2"/>
      <c r="W529" s="2"/>
      <c r="X529" s="3" t="str">
        <f t="shared" si="80"/>
        <v/>
      </c>
      <c r="Y529" t="str">
        <f t="shared" si="81"/>
        <v/>
      </c>
      <c r="Z529">
        <f t="shared" si="82"/>
        <v>0</v>
      </c>
      <c r="AA529">
        <f t="shared" si="83"/>
        <v>68.131886574075907</v>
      </c>
      <c r="AB529">
        <f t="shared" si="84"/>
        <v>68.131886574075907</v>
      </c>
      <c r="AC529">
        <f>IFERROR(_xlfn.XLOOKUP(B529, HoldSummary!$A:$A, HoldSummary!B:B), 0)</f>
        <v>0</v>
      </c>
      <c r="AD529">
        <f>IFERROR(_xlfn.XLOOKUP(B529, HoldSummary!$A:$A, HoldSummary!C:C), 0)</f>
        <v>0</v>
      </c>
      <c r="AE529">
        <f>IFERROR(_xlfn.XLOOKUP(B529, HoldSummary!$A:$A, HoldSummary!D:D), 0)</f>
        <v>0</v>
      </c>
      <c r="AF529">
        <f>IFERROR(_xlfn.XLOOKUP(B529, HoldSummary!$A:$A, HoldSummary!E:E), 0)</f>
        <v>0</v>
      </c>
      <c r="AG529">
        <f>IFERROR(_xlfn.XLOOKUP(B529, HoldSummary!$A:$A, HoldSummary!F:F), 0)</f>
        <v>0</v>
      </c>
      <c r="AH529">
        <f>IFERROR(_xlfn.XLOOKUP(B529, HoldSummary!$A:$A, HoldSummary!G:G), 0)</f>
        <v>0</v>
      </c>
      <c r="AI529">
        <f>IFERROR(_xlfn.XLOOKUP(B529, HoldSummary!$A:$A, HoldSummary!H:H), 0)</f>
        <v>0</v>
      </c>
      <c r="AJ529">
        <f>IFERROR(_xlfn.XLOOKUP(B529, HoldSummary!$A:$A, HoldSummary!I:I), 0)</f>
        <v>0</v>
      </c>
      <c r="AK529">
        <f t="shared" si="85"/>
        <v>0</v>
      </c>
      <c r="AL529">
        <f t="shared" si="86"/>
        <v>68.131886574075907</v>
      </c>
      <c r="AM529">
        <f t="shared" si="87"/>
        <v>68.131886574075907</v>
      </c>
      <c r="AN529" s="12">
        <f t="shared" si="88"/>
        <v>-1.1666666666642413</v>
      </c>
      <c r="AO529">
        <f t="shared" si="89"/>
        <v>1</v>
      </c>
    </row>
    <row r="530" spans="1:41" x14ac:dyDescent="0.35">
      <c r="A530" t="s">
        <v>23</v>
      </c>
      <c r="B530">
        <v>108939</v>
      </c>
      <c r="C530" t="s">
        <v>51</v>
      </c>
      <c r="D530" t="s">
        <v>44</v>
      </c>
      <c r="E530" t="s">
        <v>55</v>
      </c>
      <c r="F530" t="s">
        <v>28</v>
      </c>
      <c r="H530" t="s">
        <v>1218</v>
      </c>
      <c r="I530" t="s">
        <v>30</v>
      </c>
      <c r="J530" t="s">
        <v>31</v>
      </c>
      <c r="K530" t="s">
        <v>57</v>
      </c>
      <c r="L530" t="s">
        <v>58</v>
      </c>
      <c r="M530" t="s">
        <v>33</v>
      </c>
      <c r="N530" s="2">
        <v>45579.166666666664</v>
      </c>
      <c r="O530" s="2">
        <v>45622.208333333336</v>
      </c>
      <c r="P530" s="2">
        <v>45622.208333333336</v>
      </c>
      <c r="Q530" s="2">
        <v>45602</v>
      </c>
      <c r="R530" s="2">
        <v>45603.635619074077</v>
      </c>
      <c r="S530" t="s">
        <v>1219</v>
      </c>
      <c r="T530" s="2">
        <v>45588.166666666664</v>
      </c>
      <c r="U530" s="2">
        <v>45588.166666666664</v>
      </c>
      <c r="V530" s="2">
        <v>45588.166666666664</v>
      </c>
      <c r="W530" s="2">
        <v>45595.166666666664</v>
      </c>
      <c r="X530" s="3">
        <f t="shared" si="80"/>
        <v>0</v>
      </c>
      <c r="Y530">
        <f t="shared" si="81"/>
        <v>7</v>
      </c>
      <c r="Z530">
        <f t="shared" si="82"/>
        <v>7</v>
      </c>
      <c r="AA530">
        <f t="shared" si="83"/>
        <v>22.833333333335759</v>
      </c>
      <c r="AB530">
        <f t="shared" si="84"/>
        <v>15.833333333335759</v>
      </c>
      <c r="AC530">
        <f>IFERROR(_xlfn.XLOOKUP(B530, HoldSummary!$A:$A, HoldSummary!B:B), 0)</f>
        <v>0</v>
      </c>
      <c r="AD530">
        <f>IFERROR(_xlfn.XLOOKUP(B530, HoldSummary!$A:$A, HoldSummary!C:C), 0)</f>
        <v>0</v>
      </c>
      <c r="AE530">
        <f>IFERROR(_xlfn.XLOOKUP(B530, HoldSummary!$A:$A, HoldSummary!D:D), 0)</f>
        <v>0</v>
      </c>
      <c r="AF530">
        <f>IFERROR(_xlfn.XLOOKUP(B530, HoldSummary!$A:$A, HoldSummary!E:E), 0)</f>
        <v>0</v>
      </c>
      <c r="AG530">
        <f>IFERROR(_xlfn.XLOOKUP(B530, HoldSummary!$A:$A, HoldSummary!F:F), 0)</f>
        <v>0</v>
      </c>
      <c r="AH530">
        <f>IFERROR(_xlfn.XLOOKUP(B530, HoldSummary!$A:$A, HoldSummary!G:G), 0)</f>
        <v>0</v>
      </c>
      <c r="AI530">
        <f>IFERROR(_xlfn.XLOOKUP(B530, HoldSummary!$A:$A, HoldSummary!H:H), 0)</f>
        <v>0</v>
      </c>
      <c r="AJ530">
        <f>IFERROR(_xlfn.XLOOKUP(B530, HoldSummary!$A:$A, HoldSummary!I:I), 0)</f>
        <v>0</v>
      </c>
      <c r="AK530">
        <f t="shared" si="85"/>
        <v>0</v>
      </c>
      <c r="AL530">
        <f t="shared" si="86"/>
        <v>22.833333333335759</v>
      </c>
      <c r="AM530">
        <f t="shared" si="87"/>
        <v>15.833333333335759</v>
      </c>
      <c r="AN530" s="12">
        <f t="shared" si="88"/>
        <v>-20.208333333335759</v>
      </c>
      <c r="AO530">
        <f t="shared" si="89"/>
        <v>1</v>
      </c>
    </row>
    <row r="531" spans="1:41" x14ac:dyDescent="0.35">
      <c r="A531" t="s">
        <v>23</v>
      </c>
      <c r="B531" t="s">
        <v>1220</v>
      </c>
      <c r="C531" t="s">
        <v>76</v>
      </c>
      <c r="D531" t="s">
        <v>44</v>
      </c>
      <c r="E531" t="s">
        <v>45</v>
      </c>
      <c r="F531" t="s">
        <v>28</v>
      </c>
      <c r="H531" t="s">
        <v>1221</v>
      </c>
      <c r="I531" t="s">
        <v>30</v>
      </c>
      <c r="J531" t="s">
        <v>31</v>
      </c>
      <c r="K531" t="s">
        <v>38</v>
      </c>
      <c r="L531" t="s">
        <v>39</v>
      </c>
      <c r="M531" t="s">
        <v>33</v>
      </c>
      <c r="N531" s="2">
        <v>45541.648680555554</v>
      </c>
      <c r="O531" s="2">
        <v>45716.208333333336</v>
      </c>
      <c r="P531" s="2">
        <v>45716.208333333336</v>
      </c>
      <c r="Q531" s="2">
        <v>45698</v>
      </c>
      <c r="R531" s="2">
        <v>45698.66295539352</v>
      </c>
      <c r="S531" t="s">
        <v>1222</v>
      </c>
      <c r="T531" s="2">
        <v>45639.208333333336</v>
      </c>
      <c r="U531" s="2">
        <v>45642.208333333336</v>
      </c>
      <c r="V531" s="2">
        <v>45642.208333333336</v>
      </c>
      <c r="W531" s="2">
        <v>45677.208333333336</v>
      </c>
      <c r="X531" s="3">
        <f t="shared" si="80"/>
        <v>3</v>
      </c>
      <c r="Y531">
        <f t="shared" si="81"/>
        <v>35</v>
      </c>
      <c r="Z531">
        <f t="shared" si="82"/>
        <v>38</v>
      </c>
      <c r="AA531">
        <f t="shared" si="83"/>
        <v>156.35131944444583</v>
      </c>
      <c r="AB531">
        <f t="shared" si="84"/>
        <v>118.35131944444583</v>
      </c>
      <c r="AC531">
        <f>IFERROR(_xlfn.XLOOKUP(B531, HoldSummary!$A:$A, HoldSummary!B:B), 0)</f>
        <v>16</v>
      </c>
      <c r="AD531">
        <f>IFERROR(_xlfn.XLOOKUP(B531, HoldSummary!$A:$A, HoldSummary!C:C), 0)</f>
        <v>0</v>
      </c>
      <c r="AE531">
        <f>IFERROR(_xlfn.XLOOKUP(B531, HoldSummary!$A:$A, HoldSummary!D:D), 0)</f>
        <v>0</v>
      </c>
      <c r="AF531">
        <f>IFERROR(_xlfn.XLOOKUP(B531, HoldSummary!$A:$A, HoldSummary!E:E), 0)</f>
        <v>0</v>
      </c>
      <c r="AG531">
        <f>IFERROR(_xlfn.XLOOKUP(B531, HoldSummary!$A:$A, HoldSummary!F:F), 0)</f>
        <v>0</v>
      </c>
      <c r="AH531">
        <f>IFERROR(_xlfn.XLOOKUP(B531, HoldSummary!$A:$A, HoldSummary!G:G), 0)</f>
        <v>0</v>
      </c>
      <c r="AI531">
        <f>IFERROR(_xlfn.XLOOKUP(B531, HoldSummary!$A:$A, HoldSummary!H:H), 0)</f>
        <v>0</v>
      </c>
      <c r="AJ531">
        <f>IFERROR(_xlfn.XLOOKUP(B531, HoldSummary!$A:$A, HoldSummary!I:I), 0)</f>
        <v>0</v>
      </c>
      <c r="AK531">
        <f t="shared" si="85"/>
        <v>16</v>
      </c>
      <c r="AL531">
        <f t="shared" si="86"/>
        <v>140.35131944444583</v>
      </c>
      <c r="AM531">
        <f t="shared" si="87"/>
        <v>102.35131944444583</v>
      </c>
      <c r="AN531" s="12">
        <f t="shared" si="88"/>
        <v>-18.208333333335759</v>
      </c>
      <c r="AO531">
        <f t="shared" si="89"/>
        <v>1</v>
      </c>
    </row>
    <row r="532" spans="1:41" x14ac:dyDescent="0.35">
      <c r="A532" t="s">
        <v>23</v>
      </c>
      <c r="B532">
        <v>108936</v>
      </c>
      <c r="C532" t="s">
        <v>51</v>
      </c>
      <c r="D532" t="s">
        <v>44</v>
      </c>
      <c r="E532" t="s">
        <v>55</v>
      </c>
      <c r="F532" t="s">
        <v>28</v>
      </c>
      <c r="H532" t="s">
        <v>1223</v>
      </c>
      <c r="I532" t="s">
        <v>30</v>
      </c>
      <c r="J532" t="s">
        <v>31</v>
      </c>
      <c r="K532" t="s">
        <v>57</v>
      </c>
      <c r="L532" t="s">
        <v>58</v>
      </c>
      <c r="M532" t="s">
        <v>33</v>
      </c>
      <c r="N532" s="2">
        <v>45579.166666666664</v>
      </c>
      <c r="O532" s="2">
        <v>45622.208333333336</v>
      </c>
      <c r="P532" s="2">
        <v>45622.208333333336</v>
      </c>
      <c r="Q532" s="2">
        <v>45602</v>
      </c>
      <c r="R532" s="2">
        <v>45604.584380659719</v>
      </c>
      <c r="S532" t="s">
        <v>1219</v>
      </c>
      <c r="T532" s="2">
        <v>45588.166666666664</v>
      </c>
      <c r="U532" s="2">
        <v>45593.166666666664</v>
      </c>
      <c r="V532" s="2">
        <v>45593.166666666664</v>
      </c>
      <c r="W532" s="2">
        <v>45595.166666666664</v>
      </c>
      <c r="X532" s="3">
        <f t="shared" si="80"/>
        <v>5</v>
      </c>
      <c r="Y532">
        <f t="shared" si="81"/>
        <v>2</v>
      </c>
      <c r="Z532">
        <f t="shared" si="82"/>
        <v>7</v>
      </c>
      <c r="AA532">
        <f t="shared" si="83"/>
        <v>22.833333333335759</v>
      </c>
      <c r="AB532">
        <f t="shared" si="84"/>
        <v>15.833333333335759</v>
      </c>
      <c r="AC532">
        <f>IFERROR(_xlfn.XLOOKUP(B532, HoldSummary!$A:$A, HoldSummary!B:B), 0)</f>
        <v>0</v>
      </c>
      <c r="AD532">
        <f>IFERROR(_xlfn.XLOOKUP(B532, HoldSummary!$A:$A, HoldSummary!C:C), 0)</f>
        <v>0</v>
      </c>
      <c r="AE532">
        <f>IFERROR(_xlfn.XLOOKUP(B532, HoldSummary!$A:$A, HoldSummary!D:D), 0)</f>
        <v>0</v>
      </c>
      <c r="AF532">
        <f>IFERROR(_xlfn.XLOOKUP(B532, HoldSummary!$A:$A, HoldSummary!E:E), 0)</f>
        <v>0</v>
      </c>
      <c r="AG532">
        <f>IFERROR(_xlfn.XLOOKUP(B532, HoldSummary!$A:$A, HoldSummary!F:F), 0)</f>
        <v>0</v>
      </c>
      <c r="AH532">
        <f>IFERROR(_xlfn.XLOOKUP(B532, HoldSummary!$A:$A, HoldSummary!G:G), 0)</f>
        <v>0</v>
      </c>
      <c r="AI532">
        <f>IFERROR(_xlfn.XLOOKUP(B532, HoldSummary!$A:$A, HoldSummary!H:H), 0)</f>
        <v>0</v>
      </c>
      <c r="AJ532">
        <f>IFERROR(_xlfn.XLOOKUP(B532, HoldSummary!$A:$A, HoldSummary!I:I), 0)</f>
        <v>0</v>
      </c>
      <c r="AK532">
        <f t="shared" si="85"/>
        <v>0</v>
      </c>
      <c r="AL532">
        <f t="shared" si="86"/>
        <v>22.833333333335759</v>
      </c>
      <c r="AM532">
        <f t="shared" si="87"/>
        <v>15.833333333335759</v>
      </c>
      <c r="AN532" s="12">
        <f t="shared" si="88"/>
        <v>-20.208333333335759</v>
      </c>
      <c r="AO532">
        <f t="shared" si="89"/>
        <v>1</v>
      </c>
    </row>
    <row r="533" spans="1:41" x14ac:dyDescent="0.35">
      <c r="A533" t="s">
        <v>23</v>
      </c>
      <c r="B533" t="s">
        <v>1224</v>
      </c>
      <c r="C533" t="s">
        <v>135</v>
      </c>
      <c r="D533" t="s">
        <v>44</v>
      </c>
      <c r="E533" t="s">
        <v>45</v>
      </c>
      <c r="F533" t="s">
        <v>28</v>
      </c>
      <c r="H533" t="s">
        <v>1225</v>
      </c>
      <c r="I533" t="s">
        <v>30</v>
      </c>
      <c r="J533" t="s">
        <v>31</v>
      </c>
      <c r="K533" t="s">
        <v>32</v>
      </c>
      <c r="L533" t="s">
        <v>32</v>
      </c>
      <c r="M533" t="s">
        <v>33</v>
      </c>
      <c r="N533" s="2">
        <v>45583.557673611111</v>
      </c>
      <c r="O533" s="2">
        <v>45750.166666666664</v>
      </c>
      <c r="P533" s="2">
        <v>45742.166666666664</v>
      </c>
      <c r="Q533" s="2">
        <v>45740</v>
      </c>
      <c r="R533" s="2">
        <v>45741.094628090279</v>
      </c>
      <c r="T533" s="2">
        <v>45680.208333333336</v>
      </c>
      <c r="U533" s="2">
        <v>45693.208333333336</v>
      </c>
      <c r="V533" s="2">
        <v>45693.208333333336</v>
      </c>
      <c r="W533" s="2">
        <v>45693.208333333336</v>
      </c>
      <c r="X533" s="3">
        <f t="shared" si="80"/>
        <v>13</v>
      </c>
      <c r="Y533">
        <f t="shared" si="81"/>
        <v>0</v>
      </c>
      <c r="Z533">
        <f t="shared" si="82"/>
        <v>13</v>
      </c>
      <c r="AA533">
        <f t="shared" si="83"/>
        <v>156.44232638888934</v>
      </c>
      <c r="AB533">
        <f t="shared" si="84"/>
        <v>143.44232638888934</v>
      </c>
      <c r="AC533">
        <f>IFERROR(_xlfn.XLOOKUP(B533, HoldSummary!$A:$A, HoldSummary!B:B), 0)</f>
        <v>0</v>
      </c>
      <c r="AD533">
        <f>IFERROR(_xlfn.XLOOKUP(B533, HoldSummary!$A:$A, HoldSummary!C:C), 0)</f>
        <v>46</v>
      </c>
      <c r="AE533">
        <f>IFERROR(_xlfn.XLOOKUP(B533, HoldSummary!$A:$A, HoldSummary!D:D), 0)</f>
        <v>0</v>
      </c>
      <c r="AF533">
        <f>IFERROR(_xlfn.XLOOKUP(B533, HoldSummary!$A:$A, HoldSummary!E:E), 0)</f>
        <v>0</v>
      </c>
      <c r="AG533">
        <f>IFERROR(_xlfn.XLOOKUP(B533, HoldSummary!$A:$A, HoldSummary!F:F), 0)</f>
        <v>0</v>
      </c>
      <c r="AH533">
        <f>IFERROR(_xlfn.XLOOKUP(B533, HoldSummary!$A:$A, HoldSummary!G:G), 0)</f>
        <v>0</v>
      </c>
      <c r="AI533">
        <f>IFERROR(_xlfn.XLOOKUP(B533, HoldSummary!$A:$A, HoldSummary!H:H), 0)</f>
        <v>0</v>
      </c>
      <c r="AJ533">
        <f>IFERROR(_xlfn.XLOOKUP(B533, HoldSummary!$A:$A, HoldSummary!I:I), 0)</f>
        <v>5</v>
      </c>
      <c r="AK533">
        <f t="shared" si="85"/>
        <v>51</v>
      </c>
      <c r="AL533">
        <f t="shared" si="86"/>
        <v>105.44232638888934</v>
      </c>
      <c r="AM533">
        <f t="shared" si="87"/>
        <v>92.442326388889342</v>
      </c>
      <c r="AN533" s="12">
        <f t="shared" si="88"/>
        <v>-10.166666666664241</v>
      </c>
      <c r="AO533">
        <f t="shared" si="89"/>
        <v>1</v>
      </c>
    </row>
    <row r="534" spans="1:41" x14ac:dyDescent="0.35">
      <c r="A534" t="s">
        <v>23</v>
      </c>
      <c r="B534">
        <v>109160</v>
      </c>
      <c r="C534" t="s">
        <v>461</v>
      </c>
      <c r="D534" t="s">
        <v>44</v>
      </c>
      <c r="E534" t="s">
        <v>55</v>
      </c>
      <c r="F534" t="s">
        <v>28</v>
      </c>
      <c r="H534" t="s">
        <v>1226</v>
      </c>
      <c r="I534" t="s">
        <v>30</v>
      </c>
      <c r="J534" t="s">
        <v>31</v>
      </c>
      <c r="K534" t="s">
        <v>57</v>
      </c>
      <c r="L534" t="s">
        <v>39</v>
      </c>
      <c r="N534" s="2">
        <v>45588.166666666664</v>
      </c>
      <c r="O534" s="2">
        <v>45594.166666666664</v>
      </c>
      <c r="P534" s="2">
        <v>45594.166666666664</v>
      </c>
      <c r="Q534" s="2">
        <v>45589</v>
      </c>
      <c r="R534" s="2">
        <v>45589.88203547454</v>
      </c>
      <c r="T534" s="2"/>
      <c r="U534" s="2"/>
      <c r="V534" s="2"/>
      <c r="W534" s="2"/>
      <c r="X534" s="3" t="str">
        <f t="shared" si="80"/>
        <v/>
      </c>
      <c r="Y534" t="str">
        <f t="shared" si="81"/>
        <v/>
      </c>
      <c r="Z534">
        <f t="shared" si="82"/>
        <v>0</v>
      </c>
      <c r="AA534">
        <f t="shared" si="83"/>
        <v>0.83333333333575865</v>
      </c>
      <c r="AB534">
        <f t="shared" si="84"/>
        <v>0.83333333333575865</v>
      </c>
      <c r="AC534">
        <f>IFERROR(_xlfn.XLOOKUP(B534, HoldSummary!$A:$A, HoldSummary!B:B), 0)</f>
        <v>0</v>
      </c>
      <c r="AD534">
        <f>IFERROR(_xlfn.XLOOKUP(B534, HoldSummary!$A:$A, HoldSummary!C:C), 0)</f>
        <v>0</v>
      </c>
      <c r="AE534">
        <f>IFERROR(_xlfn.XLOOKUP(B534, HoldSummary!$A:$A, HoldSummary!D:D), 0)</f>
        <v>0</v>
      </c>
      <c r="AF534">
        <f>IFERROR(_xlfn.XLOOKUP(B534, HoldSummary!$A:$A, HoldSummary!E:E), 0)</f>
        <v>0</v>
      </c>
      <c r="AG534">
        <f>IFERROR(_xlfn.XLOOKUP(B534, HoldSummary!$A:$A, HoldSummary!F:F), 0)</f>
        <v>0</v>
      </c>
      <c r="AH534">
        <f>IFERROR(_xlfn.XLOOKUP(B534, HoldSummary!$A:$A, HoldSummary!G:G), 0)</f>
        <v>0</v>
      </c>
      <c r="AI534">
        <f>IFERROR(_xlfn.XLOOKUP(B534, HoldSummary!$A:$A, HoldSummary!H:H), 0)</f>
        <v>0</v>
      </c>
      <c r="AJ534">
        <f>IFERROR(_xlfn.XLOOKUP(B534, HoldSummary!$A:$A, HoldSummary!I:I), 0)</f>
        <v>0</v>
      </c>
      <c r="AK534">
        <f t="shared" si="85"/>
        <v>0</v>
      </c>
      <c r="AL534">
        <f t="shared" si="86"/>
        <v>0.83333333333575865</v>
      </c>
      <c r="AM534">
        <f t="shared" si="87"/>
        <v>0.83333333333575865</v>
      </c>
      <c r="AN534" s="12">
        <f t="shared" si="88"/>
        <v>-5.1666666666642413</v>
      </c>
      <c r="AO534">
        <f t="shared" si="89"/>
        <v>1</v>
      </c>
    </row>
    <row r="535" spans="1:41" x14ac:dyDescent="0.35">
      <c r="A535" t="s">
        <v>23</v>
      </c>
      <c r="B535" t="s">
        <v>1227</v>
      </c>
      <c r="C535" t="s">
        <v>130</v>
      </c>
      <c r="D535" t="s">
        <v>44</v>
      </c>
      <c r="E535" t="s">
        <v>45</v>
      </c>
      <c r="F535" t="s">
        <v>28</v>
      </c>
      <c r="H535" t="s">
        <v>1228</v>
      </c>
      <c r="I535" t="s">
        <v>30</v>
      </c>
      <c r="J535" t="s">
        <v>31</v>
      </c>
      <c r="K535" t="s">
        <v>38</v>
      </c>
      <c r="L535" t="s">
        <v>39</v>
      </c>
      <c r="M535" t="s">
        <v>81</v>
      </c>
      <c r="N535" s="2">
        <v>45554.738819444443</v>
      </c>
      <c r="O535" s="2">
        <v>45804.166666666664</v>
      </c>
      <c r="P535" s="2">
        <v>45820.166666666664</v>
      </c>
      <c r="Q535" s="2">
        <v>45810</v>
      </c>
      <c r="R535" s="2">
        <v>45810.633619178239</v>
      </c>
      <c r="S535" t="s">
        <v>97</v>
      </c>
      <c r="T535" s="2">
        <v>45611.208333333336</v>
      </c>
      <c r="U535" s="2">
        <v>45629.208333333336</v>
      </c>
      <c r="V535" s="2">
        <v>45629.208333333336</v>
      </c>
      <c r="W535" s="2">
        <v>45629.208333333336</v>
      </c>
      <c r="X535" s="3">
        <f t="shared" si="80"/>
        <v>18</v>
      </c>
      <c r="Y535">
        <f t="shared" si="81"/>
        <v>0</v>
      </c>
      <c r="Z535">
        <f t="shared" si="82"/>
        <v>18</v>
      </c>
      <c r="AA535">
        <f t="shared" si="83"/>
        <v>255.26118055555708</v>
      </c>
      <c r="AB535">
        <f t="shared" si="84"/>
        <v>237.26118055555708</v>
      </c>
      <c r="AC535">
        <f>IFERROR(_xlfn.XLOOKUP(B535, HoldSummary!$A:$A, HoldSummary!B:B), 0)</f>
        <v>6</v>
      </c>
      <c r="AD535">
        <f>IFERROR(_xlfn.XLOOKUP(B535, HoldSummary!$A:$A, HoldSummary!C:C), 0)</f>
        <v>0</v>
      </c>
      <c r="AE535">
        <f>IFERROR(_xlfn.XLOOKUP(B535, HoldSummary!$A:$A, HoldSummary!D:D), 0)</f>
        <v>0</v>
      </c>
      <c r="AF535">
        <f>IFERROR(_xlfn.XLOOKUP(B535, HoldSummary!$A:$A, HoldSummary!E:E), 0)</f>
        <v>0</v>
      </c>
      <c r="AG535">
        <f>IFERROR(_xlfn.XLOOKUP(B535, HoldSummary!$A:$A, HoldSummary!F:F), 0)</f>
        <v>67</v>
      </c>
      <c r="AH535">
        <f>IFERROR(_xlfn.XLOOKUP(B535, HoldSummary!$A:$A, HoldSummary!G:G), 0)</f>
        <v>0</v>
      </c>
      <c r="AI535">
        <f>IFERROR(_xlfn.XLOOKUP(B535, HoldSummary!$A:$A, HoldSummary!H:H), 0)</f>
        <v>0</v>
      </c>
      <c r="AJ535">
        <f>IFERROR(_xlfn.XLOOKUP(B535, HoldSummary!$A:$A, HoldSummary!I:I), 0)</f>
        <v>19</v>
      </c>
      <c r="AK535">
        <f t="shared" si="85"/>
        <v>92</v>
      </c>
      <c r="AL535">
        <f t="shared" si="86"/>
        <v>163.26118055555708</v>
      </c>
      <c r="AM535">
        <f t="shared" si="87"/>
        <v>145.26118055555708</v>
      </c>
      <c r="AN535" s="12">
        <f t="shared" si="88"/>
        <v>5.8333333333357587</v>
      </c>
      <c r="AO535">
        <f t="shared" si="89"/>
        <v>0</v>
      </c>
    </row>
    <row r="536" spans="1:41" x14ac:dyDescent="0.35">
      <c r="A536" t="s">
        <v>23</v>
      </c>
      <c r="B536" t="s">
        <v>1229</v>
      </c>
      <c r="C536" t="s">
        <v>36</v>
      </c>
      <c r="D536" t="s">
        <v>44</v>
      </c>
      <c r="E536" t="s">
        <v>45</v>
      </c>
      <c r="F536" t="s">
        <v>28</v>
      </c>
      <c r="H536" t="s">
        <v>1230</v>
      </c>
      <c r="I536" t="s">
        <v>30</v>
      </c>
      <c r="J536" t="s">
        <v>70</v>
      </c>
      <c r="K536" t="s">
        <v>38</v>
      </c>
      <c r="L536" t="s">
        <v>39</v>
      </c>
      <c r="M536" t="s">
        <v>33</v>
      </c>
      <c r="N536" s="2">
        <v>45586.663182870368</v>
      </c>
      <c r="O536" s="2">
        <v>45695.208333333336</v>
      </c>
      <c r="P536" s="2">
        <v>45695.208333333336</v>
      </c>
      <c r="Q536" s="2">
        <v>45686</v>
      </c>
      <c r="R536" s="2">
        <v>45688.566948553242</v>
      </c>
      <c r="T536" s="2"/>
      <c r="U536" s="2"/>
      <c r="V536" s="2"/>
      <c r="W536" s="2"/>
      <c r="X536" s="3" t="str">
        <f t="shared" si="80"/>
        <v/>
      </c>
      <c r="Y536" t="str">
        <f t="shared" si="81"/>
        <v/>
      </c>
      <c r="Z536">
        <f t="shared" si="82"/>
        <v>0</v>
      </c>
      <c r="AA536">
        <f t="shared" si="83"/>
        <v>99.336817129631527</v>
      </c>
      <c r="AB536">
        <f t="shared" si="84"/>
        <v>99.336817129631527</v>
      </c>
      <c r="AC536">
        <f>IFERROR(_xlfn.XLOOKUP(B536, HoldSummary!$A:$A, HoldSummary!B:B), 0)</f>
        <v>0</v>
      </c>
      <c r="AD536">
        <f>IFERROR(_xlfn.XLOOKUP(B536, HoldSummary!$A:$A, HoldSummary!C:C), 0)</f>
        <v>0</v>
      </c>
      <c r="AE536">
        <f>IFERROR(_xlfn.XLOOKUP(B536, HoldSummary!$A:$A, HoldSummary!D:D), 0)</f>
        <v>0</v>
      </c>
      <c r="AF536">
        <f>IFERROR(_xlfn.XLOOKUP(B536, HoldSummary!$A:$A, HoldSummary!E:E), 0)</f>
        <v>0</v>
      </c>
      <c r="AG536">
        <f>IFERROR(_xlfn.XLOOKUP(B536, HoldSummary!$A:$A, HoldSummary!F:F), 0)</f>
        <v>0</v>
      </c>
      <c r="AH536">
        <f>IFERROR(_xlfn.XLOOKUP(B536, HoldSummary!$A:$A, HoldSummary!G:G), 0)</f>
        <v>0</v>
      </c>
      <c r="AI536">
        <f>IFERROR(_xlfn.XLOOKUP(B536, HoldSummary!$A:$A, HoldSummary!H:H), 0)</f>
        <v>0</v>
      </c>
      <c r="AJ536">
        <f>IFERROR(_xlfn.XLOOKUP(B536, HoldSummary!$A:$A, HoldSummary!I:I), 0)</f>
        <v>0</v>
      </c>
      <c r="AK536">
        <f t="shared" si="85"/>
        <v>0</v>
      </c>
      <c r="AL536">
        <f t="shared" si="86"/>
        <v>99.336817129631527</v>
      </c>
      <c r="AM536">
        <f t="shared" si="87"/>
        <v>99.336817129631527</v>
      </c>
      <c r="AN536" s="12">
        <f t="shared" si="88"/>
        <v>-9.2083333333357587</v>
      </c>
      <c r="AO536">
        <f t="shared" si="89"/>
        <v>1</v>
      </c>
    </row>
    <row r="537" spans="1:41" x14ac:dyDescent="0.35">
      <c r="A537" t="s">
        <v>23</v>
      </c>
      <c r="B537" t="s">
        <v>1231</v>
      </c>
      <c r="C537" t="s">
        <v>135</v>
      </c>
      <c r="D537" t="s">
        <v>44</v>
      </c>
      <c r="E537" t="s">
        <v>45</v>
      </c>
      <c r="F537" t="s">
        <v>28</v>
      </c>
      <c r="H537" t="s">
        <v>1232</v>
      </c>
      <c r="I537" t="s">
        <v>30</v>
      </c>
      <c r="J537" t="s">
        <v>31</v>
      </c>
      <c r="K537" t="s">
        <v>32</v>
      </c>
      <c r="L537" t="s">
        <v>32</v>
      </c>
      <c r="M537" t="s">
        <v>33</v>
      </c>
      <c r="N537" s="2">
        <v>45147.393229166664</v>
      </c>
      <c r="O537" s="2">
        <v>45618.208333333336</v>
      </c>
      <c r="P537" s="2">
        <v>45637.208333333336</v>
      </c>
      <c r="Q537" s="2">
        <v>45635</v>
      </c>
      <c r="R537" s="2">
        <v>45636.717321331016</v>
      </c>
      <c r="S537" t="s">
        <v>145</v>
      </c>
      <c r="T537" s="2">
        <v>45594.166666666664</v>
      </c>
      <c r="U537" s="2">
        <v>45594.166666666664</v>
      </c>
      <c r="V537" s="2">
        <v>45594.166666666664</v>
      </c>
      <c r="W537" s="2">
        <v>45594.166666666664</v>
      </c>
      <c r="X537" s="3">
        <f t="shared" si="80"/>
        <v>0</v>
      </c>
      <c r="Y537">
        <f t="shared" si="81"/>
        <v>0</v>
      </c>
      <c r="Z537">
        <f t="shared" si="82"/>
        <v>0</v>
      </c>
      <c r="AA537">
        <f t="shared" si="83"/>
        <v>487.60677083333576</v>
      </c>
      <c r="AB537">
        <f t="shared" si="84"/>
        <v>487.60677083333576</v>
      </c>
      <c r="AC537">
        <f>IFERROR(_xlfn.XLOOKUP(B537, HoldSummary!$A:$A, HoldSummary!B:B), 0)</f>
        <v>0</v>
      </c>
      <c r="AD537">
        <f>IFERROR(_xlfn.XLOOKUP(B537, HoldSummary!$A:$A, HoldSummary!C:C), 0)</f>
        <v>0</v>
      </c>
      <c r="AE537">
        <f>IFERROR(_xlfn.XLOOKUP(B537, HoldSummary!$A:$A, HoldSummary!D:D), 0)</f>
        <v>0</v>
      </c>
      <c r="AF537">
        <f>IFERROR(_xlfn.XLOOKUP(B537, HoldSummary!$A:$A, HoldSummary!E:E), 0)</f>
        <v>92</v>
      </c>
      <c r="AG537">
        <f>IFERROR(_xlfn.XLOOKUP(B537, HoldSummary!$A:$A, HoldSummary!F:F), 0)</f>
        <v>0</v>
      </c>
      <c r="AH537">
        <f>IFERROR(_xlfn.XLOOKUP(B537, HoldSummary!$A:$A, HoldSummary!G:G), 0)</f>
        <v>0</v>
      </c>
      <c r="AI537">
        <f>IFERROR(_xlfn.XLOOKUP(B537, HoldSummary!$A:$A, HoldSummary!H:H), 0)</f>
        <v>0</v>
      </c>
      <c r="AJ537">
        <f>IFERROR(_xlfn.XLOOKUP(B537, HoldSummary!$A:$A, HoldSummary!I:I), 0)</f>
        <v>0</v>
      </c>
      <c r="AK537">
        <f t="shared" si="85"/>
        <v>92</v>
      </c>
      <c r="AL537">
        <f t="shared" si="86"/>
        <v>395.60677083333576</v>
      </c>
      <c r="AM537">
        <f t="shared" si="87"/>
        <v>395.60677083333576</v>
      </c>
      <c r="AN537" s="12">
        <f t="shared" si="88"/>
        <v>16.791666666664241</v>
      </c>
      <c r="AO537">
        <f t="shared" si="89"/>
        <v>0</v>
      </c>
    </row>
    <row r="538" spans="1:41" x14ac:dyDescent="0.35">
      <c r="A538" t="s">
        <v>23</v>
      </c>
      <c r="B538" t="s">
        <v>1233</v>
      </c>
      <c r="C538" t="s">
        <v>130</v>
      </c>
      <c r="D538" t="s">
        <v>44</v>
      </c>
      <c r="E538" t="s">
        <v>45</v>
      </c>
      <c r="F538" t="s">
        <v>28</v>
      </c>
      <c r="H538" t="s">
        <v>1234</v>
      </c>
      <c r="I538" t="s">
        <v>30</v>
      </c>
      <c r="J538" t="s">
        <v>31</v>
      </c>
      <c r="K538" t="s">
        <v>38</v>
      </c>
      <c r="L538" t="s">
        <v>39</v>
      </c>
      <c r="M538" t="s">
        <v>33</v>
      </c>
      <c r="N538" s="2">
        <v>45555.561030092591</v>
      </c>
      <c r="O538" s="2">
        <v>45741.166666666664</v>
      </c>
      <c r="P538" s="2">
        <v>45769.166666666664</v>
      </c>
      <c r="Q538" s="2">
        <v>45761</v>
      </c>
      <c r="R538" s="2">
        <v>45761.66193746528</v>
      </c>
      <c r="S538" t="s">
        <v>93</v>
      </c>
      <c r="T538" s="2">
        <v>45688.208333333336</v>
      </c>
      <c r="U538" s="2">
        <v>45691.208333333336</v>
      </c>
      <c r="V538" s="2">
        <v>45691.208333333336</v>
      </c>
      <c r="W538" s="2">
        <v>45691.208333333336</v>
      </c>
      <c r="X538" s="3">
        <f t="shared" si="80"/>
        <v>3</v>
      </c>
      <c r="Y538">
        <f t="shared" si="81"/>
        <v>0</v>
      </c>
      <c r="Z538">
        <f t="shared" si="82"/>
        <v>3</v>
      </c>
      <c r="AA538">
        <f t="shared" si="83"/>
        <v>205.43896990740905</v>
      </c>
      <c r="AB538">
        <f t="shared" si="84"/>
        <v>202.43896990740905</v>
      </c>
      <c r="AC538">
        <f>IFERROR(_xlfn.XLOOKUP(B538, HoldSummary!$A:$A, HoldSummary!B:B), 0)</f>
        <v>4</v>
      </c>
      <c r="AD538">
        <f>IFERROR(_xlfn.XLOOKUP(B538, HoldSummary!$A:$A, HoldSummary!C:C), 0)</f>
        <v>16</v>
      </c>
      <c r="AE538">
        <f>IFERROR(_xlfn.XLOOKUP(B538, HoldSummary!$A:$A, HoldSummary!D:D), 0)</f>
        <v>0</v>
      </c>
      <c r="AF538">
        <f>IFERROR(_xlfn.XLOOKUP(B538, HoldSummary!$A:$A, HoldSummary!E:E), 0)</f>
        <v>0</v>
      </c>
      <c r="AG538">
        <f>IFERROR(_xlfn.XLOOKUP(B538, HoldSummary!$A:$A, HoldSummary!F:F), 0)</f>
        <v>0</v>
      </c>
      <c r="AH538">
        <f>IFERROR(_xlfn.XLOOKUP(B538, HoldSummary!$A:$A, HoldSummary!G:G), 0)</f>
        <v>0</v>
      </c>
      <c r="AI538">
        <f>IFERROR(_xlfn.XLOOKUP(B538, HoldSummary!$A:$A, HoldSummary!H:H), 0)</f>
        <v>0</v>
      </c>
      <c r="AJ538">
        <f>IFERROR(_xlfn.XLOOKUP(B538, HoldSummary!$A:$A, HoldSummary!I:I), 0)</f>
        <v>0</v>
      </c>
      <c r="AK538">
        <f t="shared" si="85"/>
        <v>20</v>
      </c>
      <c r="AL538">
        <f t="shared" si="86"/>
        <v>185.43896990740905</v>
      </c>
      <c r="AM538">
        <f t="shared" si="87"/>
        <v>182.43896990740905</v>
      </c>
      <c r="AN538" s="12">
        <f t="shared" si="88"/>
        <v>19.833333333335759</v>
      </c>
      <c r="AO538">
        <f t="shared" si="89"/>
        <v>0</v>
      </c>
    </row>
    <row r="539" spans="1:41" x14ac:dyDescent="0.35">
      <c r="A539" t="s">
        <v>23</v>
      </c>
      <c r="B539" t="s">
        <v>1235</v>
      </c>
      <c r="C539" t="s">
        <v>135</v>
      </c>
      <c r="D539" t="s">
        <v>44</v>
      </c>
      <c r="E539" t="s">
        <v>45</v>
      </c>
      <c r="F539" t="s">
        <v>28</v>
      </c>
      <c r="H539" t="s">
        <v>1236</v>
      </c>
      <c r="I539" t="s">
        <v>30</v>
      </c>
      <c r="J539" t="s">
        <v>31</v>
      </c>
      <c r="K539" t="s">
        <v>32</v>
      </c>
      <c r="L539" t="s">
        <v>32</v>
      </c>
      <c r="M539" t="s">
        <v>33</v>
      </c>
      <c r="N539" s="2">
        <v>45589.584837962961</v>
      </c>
      <c r="O539" s="2">
        <v>45744.166666666664</v>
      </c>
      <c r="P539" s="2">
        <v>45765.166666666664</v>
      </c>
      <c r="Q539" s="2">
        <v>45762</v>
      </c>
      <c r="R539" s="2">
        <v>45763.596988530095</v>
      </c>
      <c r="S539" t="s">
        <v>745</v>
      </c>
      <c r="T539" s="2">
        <v>45692.208333333336</v>
      </c>
      <c r="U539" s="2">
        <v>45701.208333333336</v>
      </c>
      <c r="V539" s="2">
        <v>45701.208333333336</v>
      </c>
      <c r="W539" s="2">
        <v>45737.166666666664</v>
      </c>
      <c r="X539" s="3">
        <f t="shared" si="80"/>
        <v>9</v>
      </c>
      <c r="Y539">
        <f t="shared" si="81"/>
        <v>35.958333333328483</v>
      </c>
      <c r="Z539">
        <f t="shared" si="82"/>
        <v>44.958333333328483</v>
      </c>
      <c r="AA539">
        <f t="shared" si="83"/>
        <v>172.41516203703941</v>
      </c>
      <c r="AB539">
        <f t="shared" si="84"/>
        <v>127.45682870371093</v>
      </c>
      <c r="AC539">
        <f>IFERROR(_xlfn.XLOOKUP(B539, HoldSummary!$A:$A, HoldSummary!B:B), 0)</f>
        <v>0</v>
      </c>
      <c r="AD539">
        <f>IFERROR(_xlfn.XLOOKUP(B539, HoldSummary!$A:$A, HoldSummary!C:C), 0)</f>
        <v>65</v>
      </c>
      <c r="AE539">
        <f>IFERROR(_xlfn.XLOOKUP(B539, HoldSummary!$A:$A, HoldSummary!D:D), 0)</f>
        <v>0</v>
      </c>
      <c r="AF539">
        <f>IFERROR(_xlfn.XLOOKUP(B539, HoldSummary!$A:$A, HoldSummary!E:E), 0)</f>
        <v>0</v>
      </c>
      <c r="AG539">
        <f>IFERROR(_xlfn.XLOOKUP(B539, HoldSummary!$A:$A, HoldSummary!F:F), 0)</f>
        <v>0</v>
      </c>
      <c r="AH539">
        <f>IFERROR(_xlfn.XLOOKUP(B539, HoldSummary!$A:$A, HoldSummary!G:G), 0)</f>
        <v>3</v>
      </c>
      <c r="AI539">
        <f>IFERROR(_xlfn.XLOOKUP(B539, HoldSummary!$A:$A, HoldSummary!H:H), 0)</f>
        <v>0</v>
      </c>
      <c r="AJ539">
        <f>IFERROR(_xlfn.XLOOKUP(B539, HoldSummary!$A:$A, HoldSummary!I:I), 0)</f>
        <v>0</v>
      </c>
      <c r="AK539">
        <f t="shared" si="85"/>
        <v>68</v>
      </c>
      <c r="AL539">
        <f t="shared" si="86"/>
        <v>104.41516203703941</v>
      </c>
      <c r="AM539">
        <f t="shared" si="87"/>
        <v>59.456828703710926</v>
      </c>
      <c r="AN539" s="12">
        <f t="shared" si="88"/>
        <v>17.833333333335759</v>
      </c>
      <c r="AO539">
        <f t="shared" si="89"/>
        <v>0</v>
      </c>
    </row>
    <row r="540" spans="1:41" x14ac:dyDescent="0.35">
      <c r="A540" t="s">
        <v>23</v>
      </c>
      <c r="B540" t="s">
        <v>1237</v>
      </c>
      <c r="C540" t="s">
        <v>76</v>
      </c>
      <c r="D540" t="s">
        <v>44</v>
      </c>
      <c r="E540" t="s">
        <v>45</v>
      </c>
      <c r="F540" t="s">
        <v>28</v>
      </c>
      <c r="H540" t="s">
        <v>1238</v>
      </c>
      <c r="I540" t="s">
        <v>30</v>
      </c>
      <c r="J540" t="s">
        <v>31</v>
      </c>
      <c r="K540" t="s">
        <v>38</v>
      </c>
      <c r="L540" t="s">
        <v>39</v>
      </c>
      <c r="M540" t="s">
        <v>81</v>
      </c>
      <c r="N540" s="2">
        <v>45555.620868055557</v>
      </c>
      <c r="O540" s="2">
        <v>45699.208333333336</v>
      </c>
      <c r="P540" s="2">
        <v>45714.208333333336</v>
      </c>
      <c r="Q540" s="2">
        <v>45699</v>
      </c>
      <c r="R540" s="2">
        <v>45699.601004467593</v>
      </c>
      <c r="S540" t="s">
        <v>1239</v>
      </c>
      <c r="T540" s="2">
        <v>45673.208333333336</v>
      </c>
      <c r="U540" s="2">
        <v>45679.208333333336</v>
      </c>
      <c r="V540" s="2">
        <v>45679.208333333336</v>
      </c>
      <c r="W540" s="2">
        <v>45684.208333333336</v>
      </c>
      <c r="X540" s="3">
        <f t="shared" si="80"/>
        <v>6</v>
      </c>
      <c r="Y540">
        <f t="shared" si="81"/>
        <v>5</v>
      </c>
      <c r="Z540">
        <f t="shared" si="82"/>
        <v>11</v>
      </c>
      <c r="AA540">
        <f t="shared" si="83"/>
        <v>143.37913194444263</v>
      </c>
      <c r="AB540">
        <f t="shared" si="84"/>
        <v>132.37913194444263</v>
      </c>
      <c r="AC540">
        <f>IFERROR(_xlfn.XLOOKUP(B540, HoldSummary!$A:$A, HoldSummary!B:B), 0)</f>
        <v>4</v>
      </c>
      <c r="AD540">
        <f>IFERROR(_xlfn.XLOOKUP(B540, HoldSummary!$A:$A, HoldSummary!C:C), 0)</f>
        <v>8</v>
      </c>
      <c r="AE540">
        <f>IFERROR(_xlfn.XLOOKUP(B540, HoldSummary!$A:$A, HoldSummary!D:D), 0)</f>
        <v>1</v>
      </c>
      <c r="AF540">
        <f>IFERROR(_xlfn.XLOOKUP(B540, HoldSummary!$A:$A, HoldSummary!E:E), 0)</f>
        <v>5</v>
      </c>
      <c r="AG540">
        <f>IFERROR(_xlfn.XLOOKUP(B540, HoldSummary!$A:$A, HoldSummary!F:F), 0)</f>
        <v>8</v>
      </c>
      <c r="AH540">
        <f>IFERROR(_xlfn.XLOOKUP(B540, HoldSummary!$A:$A, HoldSummary!G:G), 0)</f>
        <v>0</v>
      </c>
      <c r="AI540">
        <f>IFERROR(_xlfn.XLOOKUP(B540, HoldSummary!$A:$A, HoldSummary!H:H), 0)</f>
        <v>0</v>
      </c>
      <c r="AJ540">
        <f>IFERROR(_xlfn.XLOOKUP(B540, HoldSummary!$A:$A, HoldSummary!I:I), 0)</f>
        <v>0</v>
      </c>
      <c r="AK540">
        <f t="shared" si="85"/>
        <v>26</v>
      </c>
      <c r="AL540">
        <f t="shared" si="86"/>
        <v>117.37913194444263</v>
      </c>
      <c r="AM540">
        <f t="shared" si="87"/>
        <v>106.37913194444263</v>
      </c>
      <c r="AN540" s="12">
        <f t="shared" si="88"/>
        <v>-0.20833333333575865</v>
      </c>
      <c r="AO540">
        <f t="shared" si="89"/>
        <v>1</v>
      </c>
    </row>
    <row r="541" spans="1:41" x14ac:dyDescent="0.35">
      <c r="A541" t="s">
        <v>23</v>
      </c>
      <c r="B541" t="s">
        <v>1240</v>
      </c>
      <c r="C541" t="s">
        <v>76</v>
      </c>
      <c r="D541" t="s">
        <v>44</v>
      </c>
      <c r="E541" t="s">
        <v>45</v>
      </c>
      <c r="F541" t="s">
        <v>28</v>
      </c>
      <c r="H541" t="s">
        <v>1241</v>
      </c>
      <c r="I541" t="s">
        <v>30</v>
      </c>
      <c r="J541" t="s">
        <v>31</v>
      </c>
      <c r="K541" t="s">
        <v>38</v>
      </c>
      <c r="L541" t="s">
        <v>39</v>
      </c>
      <c r="M541" t="s">
        <v>81</v>
      </c>
      <c r="N541" s="2">
        <v>45561.643912037034</v>
      </c>
      <c r="O541" s="2">
        <v>45742.166666666664</v>
      </c>
      <c r="P541" s="2">
        <v>45742.166666666664</v>
      </c>
      <c r="Q541" s="2">
        <v>45735</v>
      </c>
      <c r="R541" s="2">
        <v>45735.844945312499</v>
      </c>
      <c r="S541" t="s">
        <v>162</v>
      </c>
      <c r="T541" s="2">
        <v>45610.208333333336</v>
      </c>
      <c r="U541" s="2">
        <v>45610.208333333336</v>
      </c>
      <c r="V541" s="2">
        <v>45610.208333333336</v>
      </c>
      <c r="W541" s="2">
        <v>45700.208333333336</v>
      </c>
      <c r="X541" s="3">
        <f t="shared" si="80"/>
        <v>0</v>
      </c>
      <c r="Y541">
        <f t="shared" si="81"/>
        <v>90</v>
      </c>
      <c r="Z541">
        <f t="shared" si="82"/>
        <v>90</v>
      </c>
      <c r="AA541">
        <f t="shared" si="83"/>
        <v>173.35608796296583</v>
      </c>
      <c r="AB541">
        <f t="shared" si="84"/>
        <v>83.35608796296583</v>
      </c>
      <c r="AC541">
        <f>IFERROR(_xlfn.XLOOKUP(B541, HoldSummary!$A:$A, HoldSummary!B:B), 0)</f>
        <v>0</v>
      </c>
      <c r="AD541">
        <f>IFERROR(_xlfn.XLOOKUP(B541, HoldSummary!$A:$A, HoldSummary!C:C), 0)</f>
        <v>0</v>
      </c>
      <c r="AE541">
        <f>IFERROR(_xlfn.XLOOKUP(B541, HoldSummary!$A:$A, HoldSummary!D:D), 0)</f>
        <v>0</v>
      </c>
      <c r="AF541">
        <f>IFERROR(_xlfn.XLOOKUP(B541, HoldSummary!$A:$A, HoldSummary!E:E), 0)</f>
        <v>0</v>
      </c>
      <c r="AG541">
        <f>IFERROR(_xlfn.XLOOKUP(B541, HoldSummary!$A:$A, HoldSummary!F:F), 0)</f>
        <v>0</v>
      </c>
      <c r="AH541">
        <f>IFERROR(_xlfn.XLOOKUP(B541, HoldSummary!$A:$A, HoldSummary!G:G), 0)</f>
        <v>0</v>
      </c>
      <c r="AI541">
        <f>IFERROR(_xlfn.XLOOKUP(B541, HoldSummary!$A:$A, HoldSummary!H:H), 0)</f>
        <v>0</v>
      </c>
      <c r="AJ541">
        <f>IFERROR(_xlfn.XLOOKUP(B541, HoldSummary!$A:$A, HoldSummary!I:I), 0)</f>
        <v>0</v>
      </c>
      <c r="AK541">
        <f t="shared" si="85"/>
        <v>0</v>
      </c>
      <c r="AL541">
        <f t="shared" si="86"/>
        <v>173.35608796296583</v>
      </c>
      <c r="AM541">
        <f t="shared" si="87"/>
        <v>83.35608796296583</v>
      </c>
      <c r="AN541" s="12">
        <f t="shared" si="88"/>
        <v>-7.1666666666642413</v>
      </c>
      <c r="AO541">
        <f t="shared" si="89"/>
        <v>1</v>
      </c>
    </row>
    <row r="542" spans="1:41" x14ac:dyDescent="0.35">
      <c r="A542" t="s">
        <v>23</v>
      </c>
      <c r="B542" t="s">
        <v>1242</v>
      </c>
      <c r="C542" t="s">
        <v>36</v>
      </c>
      <c r="D542" t="s">
        <v>44</v>
      </c>
      <c r="E542" t="s">
        <v>45</v>
      </c>
      <c r="F542" t="s">
        <v>28</v>
      </c>
      <c r="H542" t="s">
        <v>1243</v>
      </c>
      <c r="I542" t="s">
        <v>30</v>
      </c>
      <c r="J542" t="s">
        <v>70</v>
      </c>
      <c r="K542" t="s">
        <v>48</v>
      </c>
      <c r="L542" t="s">
        <v>49</v>
      </c>
      <c r="M542" t="s">
        <v>33</v>
      </c>
      <c r="N542" s="2">
        <v>45596.741770833331</v>
      </c>
      <c r="O542" s="2">
        <v>45737.166666666664</v>
      </c>
      <c r="P542" s="2">
        <v>45764.166666666664</v>
      </c>
      <c r="Q542" s="2">
        <v>45762</v>
      </c>
      <c r="R542" s="2">
        <v>45763.561047662035</v>
      </c>
      <c r="S542" t="s">
        <v>93</v>
      </c>
      <c r="T542" s="2"/>
      <c r="U542" s="2"/>
      <c r="V542" s="2"/>
      <c r="W542" s="2"/>
      <c r="X542" s="3" t="str">
        <f t="shared" si="80"/>
        <v/>
      </c>
      <c r="Y542" t="str">
        <f t="shared" si="81"/>
        <v/>
      </c>
      <c r="Z542">
        <f t="shared" si="82"/>
        <v>0</v>
      </c>
      <c r="AA542">
        <f t="shared" si="83"/>
        <v>165.25822916666948</v>
      </c>
      <c r="AB542">
        <f t="shared" si="84"/>
        <v>165.25822916666948</v>
      </c>
      <c r="AC542">
        <f>IFERROR(_xlfn.XLOOKUP(B542, HoldSummary!$A:$A, HoldSummary!B:B), 0)</f>
        <v>0</v>
      </c>
      <c r="AD542">
        <f>IFERROR(_xlfn.XLOOKUP(B542, HoldSummary!$A:$A, HoldSummary!C:C), 0)</f>
        <v>0</v>
      </c>
      <c r="AE542">
        <f>IFERROR(_xlfn.XLOOKUP(B542, HoldSummary!$A:$A, HoldSummary!D:D), 0)</f>
        <v>0</v>
      </c>
      <c r="AF542">
        <f>IFERROR(_xlfn.XLOOKUP(B542, HoldSummary!$A:$A, HoldSummary!E:E), 0)</f>
        <v>0</v>
      </c>
      <c r="AG542">
        <f>IFERROR(_xlfn.XLOOKUP(B542, HoldSummary!$A:$A, HoldSummary!F:F), 0)</f>
        <v>0</v>
      </c>
      <c r="AH542">
        <f>IFERROR(_xlfn.XLOOKUP(B542, HoldSummary!$A:$A, HoldSummary!G:G), 0)</f>
        <v>0</v>
      </c>
      <c r="AI542">
        <f>IFERROR(_xlfn.XLOOKUP(B542, HoldSummary!$A:$A, HoldSummary!H:H), 0)</f>
        <v>0</v>
      </c>
      <c r="AJ542">
        <f>IFERROR(_xlfn.XLOOKUP(B542, HoldSummary!$A:$A, HoldSummary!I:I), 0)</f>
        <v>0</v>
      </c>
      <c r="AK542">
        <f t="shared" si="85"/>
        <v>0</v>
      </c>
      <c r="AL542">
        <f t="shared" si="86"/>
        <v>165.25822916666948</v>
      </c>
      <c r="AM542">
        <f t="shared" si="87"/>
        <v>165.25822916666948</v>
      </c>
      <c r="AN542" s="12">
        <f t="shared" si="88"/>
        <v>24.833333333335759</v>
      </c>
      <c r="AO542">
        <f t="shared" si="89"/>
        <v>0</v>
      </c>
    </row>
    <row r="543" spans="1:41" x14ac:dyDescent="0.35">
      <c r="A543" t="s">
        <v>23</v>
      </c>
      <c r="B543" t="s">
        <v>1244</v>
      </c>
      <c r="C543" t="s">
        <v>76</v>
      </c>
      <c r="D543" t="s">
        <v>44</v>
      </c>
      <c r="E543" t="s">
        <v>44</v>
      </c>
      <c r="F543" t="s">
        <v>28</v>
      </c>
      <c r="H543" t="s">
        <v>1245</v>
      </c>
      <c r="I543" t="s">
        <v>30</v>
      </c>
      <c r="J543" t="s">
        <v>31</v>
      </c>
      <c r="K543" t="s">
        <v>48</v>
      </c>
      <c r="L543" t="s">
        <v>49</v>
      </c>
      <c r="N543" s="2">
        <v>45601.208333333336</v>
      </c>
      <c r="O543" s="2">
        <v>45624.208333333336</v>
      </c>
      <c r="P543" s="2">
        <v>45624.208333333336</v>
      </c>
      <c r="Q543" s="2">
        <v>45610</v>
      </c>
      <c r="R543" s="2">
        <v>45610.797400497686</v>
      </c>
      <c r="S543" t="s">
        <v>1246</v>
      </c>
      <c r="T543" s="2"/>
      <c r="U543" s="2"/>
      <c r="V543" s="2"/>
      <c r="W543" s="2"/>
      <c r="X543" s="3" t="str">
        <f t="shared" si="80"/>
        <v/>
      </c>
      <c r="Y543" t="str">
        <f t="shared" si="81"/>
        <v/>
      </c>
      <c r="Z543">
        <f t="shared" si="82"/>
        <v>0</v>
      </c>
      <c r="AA543">
        <f t="shared" si="83"/>
        <v>8.7916666666642413</v>
      </c>
      <c r="AB543">
        <f t="shared" si="84"/>
        <v>8.7916666666642413</v>
      </c>
      <c r="AC543">
        <f>IFERROR(_xlfn.XLOOKUP(B543, HoldSummary!$A:$A, HoldSummary!B:B), 0)</f>
        <v>0</v>
      </c>
      <c r="AD543">
        <f>IFERROR(_xlfn.XLOOKUP(B543, HoldSummary!$A:$A, HoldSummary!C:C), 0)</f>
        <v>0</v>
      </c>
      <c r="AE543">
        <f>IFERROR(_xlfn.XLOOKUP(B543, HoldSummary!$A:$A, HoldSummary!D:D), 0)</f>
        <v>0</v>
      </c>
      <c r="AF543">
        <f>IFERROR(_xlfn.XLOOKUP(B543, HoldSummary!$A:$A, HoldSummary!E:E), 0)</f>
        <v>0</v>
      </c>
      <c r="AG543">
        <f>IFERROR(_xlfn.XLOOKUP(B543, HoldSummary!$A:$A, HoldSummary!F:F), 0)</f>
        <v>0</v>
      </c>
      <c r="AH543">
        <f>IFERROR(_xlfn.XLOOKUP(B543, HoldSummary!$A:$A, HoldSummary!G:G), 0)</f>
        <v>0</v>
      </c>
      <c r="AI543">
        <f>IFERROR(_xlfn.XLOOKUP(B543, HoldSummary!$A:$A, HoldSummary!H:H), 0)</f>
        <v>0</v>
      </c>
      <c r="AJ543">
        <f>IFERROR(_xlfn.XLOOKUP(B543, HoldSummary!$A:$A, HoldSummary!I:I), 0)</f>
        <v>0</v>
      </c>
      <c r="AK543">
        <f t="shared" si="85"/>
        <v>0</v>
      </c>
      <c r="AL543">
        <f t="shared" si="86"/>
        <v>8.7916666666642413</v>
      </c>
      <c r="AM543">
        <f t="shared" si="87"/>
        <v>8.7916666666642413</v>
      </c>
      <c r="AN543" s="12">
        <f t="shared" si="88"/>
        <v>-14.208333333335759</v>
      </c>
      <c r="AO543">
        <f t="shared" si="89"/>
        <v>1</v>
      </c>
    </row>
    <row r="544" spans="1:41" x14ac:dyDescent="0.35">
      <c r="A544" t="s">
        <v>23</v>
      </c>
      <c r="B544" t="s">
        <v>1247</v>
      </c>
      <c r="C544" t="s">
        <v>76</v>
      </c>
      <c r="D544" t="s">
        <v>44</v>
      </c>
      <c r="E544" t="s">
        <v>45</v>
      </c>
      <c r="F544" t="s">
        <v>28</v>
      </c>
      <c r="H544" t="s">
        <v>1248</v>
      </c>
      <c r="I544" t="s">
        <v>30</v>
      </c>
      <c r="J544" t="s">
        <v>31</v>
      </c>
      <c r="K544" t="s">
        <v>48</v>
      </c>
      <c r="L544" t="s">
        <v>49</v>
      </c>
      <c r="M544" t="s">
        <v>33</v>
      </c>
      <c r="N544" s="2">
        <v>45573.612083333333</v>
      </c>
      <c r="O544" s="2">
        <v>45707.208333333336</v>
      </c>
      <c r="P544" s="2">
        <v>45708.208333333336</v>
      </c>
      <c r="Q544" s="2">
        <v>45707</v>
      </c>
      <c r="R544" s="2">
        <v>45707.793843460648</v>
      </c>
      <c r="T544" s="2">
        <v>45609.208333333336</v>
      </c>
      <c r="U544" s="2">
        <v>45609.208333333336</v>
      </c>
      <c r="V544" s="2">
        <v>45609.208333333336</v>
      </c>
      <c r="W544" s="2">
        <v>45611.208333333336</v>
      </c>
      <c r="X544" s="3">
        <f t="shared" si="80"/>
        <v>0</v>
      </c>
      <c r="Y544">
        <f t="shared" si="81"/>
        <v>2</v>
      </c>
      <c r="Z544">
        <f t="shared" si="82"/>
        <v>2</v>
      </c>
      <c r="AA544">
        <f t="shared" si="83"/>
        <v>133.38791666666657</v>
      </c>
      <c r="AB544">
        <f t="shared" si="84"/>
        <v>131.38791666666657</v>
      </c>
      <c r="AC544">
        <f>IFERROR(_xlfn.XLOOKUP(B544, HoldSummary!$A:$A, HoldSummary!B:B), 0)</f>
        <v>0</v>
      </c>
      <c r="AD544">
        <f>IFERROR(_xlfn.XLOOKUP(B544, HoldSummary!$A:$A, HoldSummary!C:C), 0)</f>
        <v>0</v>
      </c>
      <c r="AE544">
        <f>IFERROR(_xlfn.XLOOKUP(B544, HoldSummary!$A:$A, HoldSummary!D:D), 0)</f>
        <v>0</v>
      </c>
      <c r="AF544">
        <f>IFERROR(_xlfn.XLOOKUP(B544, HoldSummary!$A:$A, HoldSummary!E:E), 0)</f>
        <v>0</v>
      </c>
      <c r="AG544">
        <f>IFERROR(_xlfn.XLOOKUP(B544, HoldSummary!$A:$A, HoldSummary!F:F), 0)</f>
        <v>0</v>
      </c>
      <c r="AH544">
        <f>IFERROR(_xlfn.XLOOKUP(B544, HoldSummary!$A:$A, HoldSummary!G:G), 0)</f>
        <v>0</v>
      </c>
      <c r="AI544">
        <f>IFERROR(_xlfn.XLOOKUP(B544, HoldSummary!$A:$A, HoldSummary!H:H), 0)</f>
        <v>0</v>
      </c>
      <c r="AJ544">
        <f>IFERROR(_xlfn.XLOOKUP(B544, HoldSummary!$A:$A, HoldSummary!I:I), 0)</f>
        <v>0</v>
      </c>
      <c r="AK544">
        <f t="shared" si="85"/>
        <v>0</v>
      </c>
      <c r="AL544">
        <f t="shared" si="86"/>
        <v>133.38791666666657</v>
      </c>
      <c r="AM544">
        <f t="shared" si="87"/>
        <v>131.38791666666657</v>
      </c>
      <c r="AN544" s="12">
        <f t="shared" si="88"/>
        <v>-0.20833333333575865</v>
      </c>
      <c r="AO544">
        <f t="shared" si="89"/>
        <v>1</v>
      </c>
    </row>
    <row r="545" spans="1:41" x14ac:dyDescent="0.35">
      <c r="A545" t="s">
        <v>23</v>
      </c>
      <c r="B545" t="s">
        <v>1249</v>
      </c>
      <c r="C545" t="s">
        <v>36</v>
      </c>
      <c r="D545" t="s">
        <v>44</v>
      </c>
      <c r="E545" t="s">
        <v>45</v>
      </c>
      <c r="F545" t="s">
        <v>28</v>
      </c>
      <c r="H545" t="s">
        <v>1250</v>
      </c>
      <c r="I545" t="s">
        <v>30</v>
      </c>
      <c r="J545" t="s">
        <v>70</v>
      </c>
      <c r="K545" t="s">
        <v>38</v>
      </c>
      <c r="L545" t="s">
        <v>39</v>
      </c>
      <c r="N545" s="2">
        <v>45600.576585648145</v>
      </c>
      <c r="O545" s="2">
        <v>45695.208333333336</v>
      </c>
      <c r="P545" s="2">
        <v>45695.208333333336</v>
      </c>
      <c r="Q545" s="2">
        <v>45691</v>
      </c>
      <c r="R545" s="2">
        <v>45691.600832384262</v>
      </c>
      <c r="T545" s="2"/>
      <c r="U545" s="2"/>
      <c r="V545" s="2"/>
      <c r="W545" s="2"/>
      <c r="X545" s="3" t="str">
        <f t="shared" si="80"/>
        <v/>
      </c>
      <c r="Y545" t="str">
        <f t="shared" si="81"/>
        <v/>
      </c>
      <c r="Z545">
        <f t="shared" si="82"/>
        <v>0</v>
      </c>
      <c r="AA545">
        <f t="shared" si="83"/>
        <v>90.423414351855172</v>
      </c>
      <c r="AB545">
        <f t="shared" si="84"/>
        <v>90.423414351855172</v>
      </c>
      <c r="AC545">
        <f>IFERROR(_xlfn.XLOOKUP(B545, HoldSummary!$A:$A, HoldSummary!B:B), 0)</f>
        <v>0</v>
      </c>
      <c r="AD545">
        <f>IFERROR(_xlfn.XLOOKUP(B545, HoldSummary!$A:$A, HoldSummary!C:C), 0)</f>
        <v>0</v>
      </c>
      <c r="AE545">
        <f>IFERROR(_xlfn.XLOOKUP(B545, HoldSummary!$A:$A, HoldSummary!D:D), 0)</f>
        <v>0</v>
      </c>
      <c r="AF545">
        <f>IFERROR(_xlfn.XLOOKUP(B545, HoldSummary!$A:$A, HoldSummary!E:E), 0)</f>
        <v>0</v>
      </c>
      <c r="AG545">
        <f>IFERROR(_xlfn.XLOOKUP(B545, HoldSummary!$A:$A, HoldSummary!F:F), 0)</f>
        <v>0</v>
      </c>
      <c r="AH545">
        <f>IFERROR(_xlfn.XLOOKUP(B545, HoldSummary!$A:$A, HoldSummary!G:G), 0)</f>
        <v>0</v>
      </c>
      <c r="AI545">
        <f>IFERROR(_xlfn.XLOOKUP(B545, HoldSummary!$A:$A, HoldSummary!H:H), 0)</f>
        <v>0</v>
      </c>
      <c r="AJ545">
        <f>IFERROR(_xlfn.XLOOKUP(B545, HoldSummary!$A:$A, HoldSummary!I:I), 0)</f>
        <v>0</v>
      </c>
      <c r="AK545">
        <f t="shared" si="85"/>
        <v>0</v>
      </c>
      <c r="AL545">
        <f t="shared" si="86"/>
        <v>90.423414351855172</v>
      </c>
      <c r="AM545">
        <f t="shared" si="87"/>
        <v>90.423414351855172</v>
      </c>
      <c r="AN545" s="12">
        <f t="shared" si="88"/>
        <v>-4.2083333333357587</v>
      </c>
      <c r="AO545">
        <f t="shared" si="89"/>
        <v>1</v>
      </c>
    </row>
    <row r="546" spans="1:41" x14ac:dyDescent="0.35">
      <c r="A546" t="s">
        <v>23</v>
      </c>
      <c r="B546">
        <v>109326</v>
      </c>
      <c r="C546" t="s">
        <v>54</v>
      </c>
      <c r="D546" t="s">
        <v>44</v>
      </c>
      <c r="E546" t="s">
        <v>55</v>
      </c>
      <c r="F546" t="s">
        <v>28</v>
      </c>
      <c r="H546" t="s">
        <v>1251</v>
      </c>
      <c r="I546" t="s">
        <v>30</v>
      </c>
      <c r="J546" t="s">
        <v>70</v>
      </c>
      <c r="K546" t="s">
        <v>57</v>
      </c>
      <c r="L546" t="s">
        <v>58</v>
      </c>
      <c r="M546" t="s">
        <v>33</v>
      </c>
      <c r="N546" s="2">
        <v>45597.166666666664</v>
      </c>
      <c r="O546" s="2">
        <v>45845.166666666664</v>
      </c>
      <c r="P546" s="2">
        <v>45845.166666666664</v>
      </c>
      <c r="Q546" s="2">
        <v>45714</v>
      </c>
      <c r="R546" s="2">
        <v>45714.828088819442</v>
      </c>
      <c r="S546" t="s">
        <v>802</v>
      </c>
      <c r="T546" s="2"/>
      <c r="U546" s="2"/>
      <c r="V546" s="2"/>
      <c r="W546" s="2"/>
      <c r="X546" s="3" t="str">
        <f t="shared" si="80"/>
        <v/>
      </c>
      <c r="Y546" t="str">
        <f t="shared" si="81"/>
        <v/>
      </c>
      <c r="Z546">
        <f t="shared" si="82"/>
        <v>0</v>
      </c>
      <c r="AA546">
        <f t="shared" si="83"/>
        <v>116.83333333333576</v>
      </c>
      <c r="AB546">
        <f t="shared" si="84"/>
        <v>116.83333333333576</v>
      </c>
      <c r="AC546">
        <f>IFERROR(_xlfn.XLOOKUP(B546, HoldSummary!$A:$A, HoldSummary!B:B), 0)</f>
        <v>0</v>
      </c>
      <c r="AD546">
        <f>IFERROR(_xlfn.XLOOKUP(B546, HoldSummary!$A:$A, HoldSummary!C:C), 0)</f>
        <v>0</v>
      </c>
      <c r="AE546">
        <f>IFERROR(_xlfn.XLOOKUP(B546, HoldSummary!$A:$A, HoldSummary!D:D), 0)</f>
        <v>0</v>
      </c>
      <c r="AF546">
        <f>IFERROR(_xlfn.XLOOKUP(B546, HoldSummary!$A:$A, HoldSummary!E:E), 0)</f>
        <v>0</v>
      </c>
      <c r="AG546">
        <f>IFERROR(_xlfn.XLOOKUP(B546, HoldSummary!$A:$A, HoldSummary!F:F), 0)</f>
        <v>0</v>
      </c>
      <c r="AH546">
        <f>IFERROR(_xlfn.XLOOKUP(B546, HoldSummary!$A:$A, HoldSummary!G:G), 0)</f>
        <v>0</v>
      </c>
      <c r="AI546">
        <f>IFERROR(_xlfn.XLOOKUP(B546, HoldSummary!$A:$A, HoldSummary!H:H), 0)</f>
        <v>0</v>
      </c>
      <c r="AJ546">
        <f>IFERROR(_xlfn.XLOOKUP(B546, HoldSummary!$A:$A, HoldSummary!I:I), 0)</f>
        <v>0</v>
      </c>
      <c r="AK546">
        <f t="shared" si="85"/>
        <v>0</v>
      </c>
      <c r="AL546">
        <f t="shared" si="86"/>
        <v>116.83333333333576</v>
      </c>
      <c r="AM546">
        <f t="shared" si="87"/>
        <v>116.83333333333576</v>
      </c>
      <c r="AN546" s="12">
        <f t="shared" si="88"/>
        <v>-131.16666666666424</v>
      </c>
      <c r="AO546">
        <f t="shared" si="89"/>
        <v>1</v>
      </c>
    </row>
    <row r="547" spans="1:41" x14ac:dyDescent="0.35">
      <c r="A547" t="s">
        <v>23</v>
      </c>
      <c r="B547" t="s">
        <v>1252</v>
      </c>
      <c r="C547" t="s">
        <v>36</v>
      </c>
      <c r="D547" t="s">
        <v>44</v>
      </c>
      <c r="E547" t="s">
        <v>45</v>
      </c>
      <c r="F547" t="s">
        <v>28</v>
      </c>
      <c r="H547" t="s">
        <v>1253</v>
      </c>
      <c r="I547" t="s">
        <v>30</v>
      </c>
      <c r="J547" t="s">
        <v>70</v>
      </c>
      <c r="K547" t="s">
        <v>48</v>
      </c>
      <c r="L547" t="s">
        <v>49</v>
      </c>
      <c r="M547" t="s">
        <v>33</v>
      </c>
      <c r="N547" s="2">
        <v>45608.601481481484</v>
      </c>
      <c r="O547" s="2">
        <v>45708.208333333336</v>
      </c>
      <c r="P547" s="2">
        <v>45708.208333333336</v>
      </c>
      <c r="Q547" s="2">
        <v>45714</v>
      </c>
      <c r="R547" s="2">
        <v>45719.505661180556</v>
      </c>
      <c r="T547" s="2"/>
      <c r="U547" s="2"/>
      <c r="V547" s="2"/>
      <c r="W547" s="2"/>
      <c r="X547" s="3" t="str">
        <f t="shared" si="80"/>
        <v/>
      </c>
      <c r="Y547" t="str">
        <f t="shared" si="81"/>
        <v/>
      </c>
      <c r="Z547">
        <f t="shared" si="82"/>
        <v>0</v>
      </c>
      <c r="AA547">
        <f t="shared" si="83"/>
        <v>105.39851851851563</v>
      </c>
      <c r="AB547">
        <f t="shared" si="84"/>
        <v>105.39851851851563</v>
      </c>
      <c r="AC547">
        <f>IFERROR(_xlfn.XLOOKUP(B547, HoldSummary!$A:$A, HoldSummary!B:B), 0)</f>
        <v>0</v>
      </c>
      <c r="AD547">
        <f>IFERROR(_xlfn.XLOOKUP(B547, HoldSummary!$A:$A, HoldSummary!C:C), 0)</f>
        <v>0</v>
      </c>
      <c r="AE547">
        <f>IFERROR(_xlfn.XLOOKUP(B547, HoldSummary!$A:$A, HoldSummary!D:D), 0)</f>
        <v>0</v>
      </c>
      <c r="AF547">
        <f>IFERROR(_xlfn.XLOOKUP(B547, HoldSummary!$A:$A, HoldSummary!E:E), 0)</f>
        <v>0</v>
      </c>
      <c r="AG547">
        <f>IFERROR(_xlfn.XLOOKUP(B547, HoldSummary!$A:$A, HoldSummary!F:F), 0)</f>
        <v>0</v>
      </c>
      <c r="AH547">
        <f>IFERROR(_xlfn.XLOOKUP(B547, HoldSummary!$A:$A, HoldSummary!G:G), 0)</f>
        <v>0</v>
      </c>
      <c r="AI547">
        <f>IFERROR(_xlfn.XLOOKUP(B547, HoldSummary!$A:$A, HoldSummary!H:H), 0)</f>
        <v>0</v>
      </c>
      <c r="AJ547">
        <f>IFERROR(_xlfn.XLOOKUP(B547, HoldSummary!$A:$A, HoldSummary!I:I), 0)</f>
        <v>0</v>
      </c>
      <c r="AK547">
        <f t="shared" si="85"/>
        <v>0</v>
      </c>
      <c r="AL547">
        <f t="shared" si="86"/>
        <v>105.39851851851563</v>
      </c>
      <c r="AM547">
        <f t="shared" si="87"/>
        <v>105.39851851851563</v>
      </c>
      <c r="AN547" s="12">
        <f t="shared" si="88"/>
        <v>5.7916666666642413</v>
      </c>
      <c r="AO547">
        <f t="shared" si="89"/>
        <v>0</v>
      </c>
    </row>
    <row r="548" spans="1:41" x14ac:dyDescent="0.35">
      <c r="A548" t="s">
        <v>23</v>
      </c>
      <c r="B548" t="s">
        <v>1254</v>
      </c>
      <c r="C548" t="s">
        <v>36</v>
      </c>
      <c r="D548" t="s">
        <v>44</v>
      </c>
      <c r="E548" t="s">
        <v>45</v>
      </c>
      <c r="F548" t="s">
        <v>28</v>
      </c>
      <c r="H548" t="s">
        <v>1255</v>
      </c>
      <c r="I548" t="s">
        <v>30</v>
      </c>
      <c r="J548" t="s">
        <v>31</v>
      </c>
      <c r="K548" t="s">
        <v>48</v>
      </c>
      <c r="L548" t="s">
        <v>192</v>
      </c>
      <c r="M548" t="s">
        <v>33</v>
      </c>
      <c r="N548" s="2">
        <v>45609.462048611109</v>
      </c>
      <c r="O548" s="2">
        <v>45649.208333333336</v>
      </c>
      <c r="P548" s="2">
        <v>45667.208333333336</v>
      </c>
      <c r="Q548" s="2">
        <v>45681</v>
      </c>
      <c r="R548" s="2">
        <v>45684.635709606482</v>
      </c>
      <c r="T548" s="2">
        <v>45643.208333333336</v>
      </c>
      <c r="U548" s="2">
        <v>45646.208333333336</v>
      </c>
      <c r="V548" s="2">
        <v>45646.208333333336</v>
      </c>
      <c r="W548" s="2">
        <v>45646.208333333336</v>
      </c>
      <c r="X548" s="3">
        <f t="shared" si="80"/>
        <v>3</v>
      </c>
      <c r="Y548">
        <f t="shared" si="81"/>
        <v>0</v>
      </c>
      <c r="Z548">
        <f t="shared" si="82"/>
        <v>3</v>
      </c>
      <c r="AA548">
        <f t="shared" si="83"/>
        <v>71.537951388891088</v>
      </c>
      <c r="AB548">
        <f t="shared" si="84"/>
        <v>68.537951388891088</v>
      </c>
      <c r="AC548">
        <f>IFERROR(_xlfn.XLOOKUP(B548, HoldSummary!$A:$A, HoldSummary!B:B), 0)</f>
        <v>0</v>
      </c>
      <c r="AD548">
        <f>IFERROR(_xlfn.XLOOKUP(B548, HoldSummary!$A:$A, HoldSummary!C:C), 0)</f>
        <v>0</v>
      </c>
      <c r="AE548">
        <f>IFERROR(_xlfn.XLOOKUP(B548, HoldSummary!$A:$A, HoldSummary!D:D), 0)</f>
        <v>0</v>
      </c>
      <c r="AF548">
        <f>IFERROR(_xlfn.XLOOKUP(B548, HoldSummary!$A:$A, HoldSummary!E:E), 0)</f>
        <v>0</v>
      </c>
      <c r="AG548">
        <f>IFERROR(_xlfn.XLOOKUP(B548, HoldSummary!$A:$A, HoldSummary!F:F), 0)</f>
        <v>0</v>
      </c>
      <c r="AH548">
        <f>IFERROR(_xlfn.XLOOKUP(B548, HoldSummary!$A:$A, HoldSummary!G:G), 0)</f>
        <v>0</v>
      </c>
      <c r="AI548">
        <f>IFERROR(_xlfn.XLOOKUP(B548, HoldSummary!$A:$A, HoldSummary!H:H), 0)</f>
        <v>0</v>
      </c>
      <c r="AJ548">
        <f>IFERROR(_xlfn.XLOOKUP(B548, HoldSummary!$A:$A, HoldSummary!I:I), 0)</f>
        <v>0</v>
      </c>
      <c r="AK548">
        <f t="shared" si="85"/>
        <v>0</v>
      </c>
      <c r="AL548">
        <f t="shared" si="86"/>
        <v>71.537951388891088</v>
      </c>
      <c r="AM548">
        <f t="shared" si="87"/>
        <v>68.537951388891088</v>
      </c>
      <c r="AN548" s="12">
        <f t="shared" si="88"/>
        <v>31.791666666664241</v>
      </c>
      <c r="AO548">
        <f t="shared" si="89"/>
        <v>0</v>
      </c>
    </row>
    <row r="549" spans="1:41" x14ac:dyDescent="0.35">
      <c r="A549" t="s">
        <v>23</v>
      </c>
      <c r="B549" t="s">
        <v>1256</v>
      </c>
      <c r="C549" t="s">
        <v>244</v>
      </c>
      <c r="D549" t="s">
        <v>44</v>
      </c>
      <c r="E549" t="s">
        <v>45</v>
      </c>
      <c r="F549" t="s">
        <v>28</v>
      </c>
      <c r="H549" t="s">
        <v>1257</v>
      </c>
      <c r="I549" t="s">
        <v>30</v>
      </c>
      <c r="J549" t="s">
        <v>31</v>
      </c>
      <c r="K549" t="s">
        <v>38</v>
      </c>
      <c r="L549" t="s">
        <v>39</v>
      </c>
      <c r="N549" s="2">
        <v>45547.397893518515</v>
      </c>
      <c r="O549" s="2">
        <v>45754.166666666664</v>
      </c>
      <c r="P549" s="2">
        <v>45777.166666666664</v>
      </c>
      <c r="Q549" s="2">
        <v>45775</v>
      </c>
      <c r="R549" s="2">
        <v>45776.038405335647</v>
      </c>
      <c r="S549" t="s">
        <v>1258</v>
      </c>
      <c r="T549" s="2">
        <v>45694.208333333336</v>
      </c>
      <c r="U549" s="2">
        <v>45701.208333333336</v>
      </c>
      <c r="V549" s="2">
        <v>45701.208333333336</v>
      </c>
      <c r="W549" s="2">
        <v>45733.166666666664</v>
      </c>
      <c r="X549" s="3">
        <f t="shared" si="80"/>
        <v>7</v>
      </c>
      <c r="Y549">
        <f t="shared" si="81"/>
        <v>31.958333333328483</v>
      </c>
      <c r="Z549">
        <f t="shared" si="82"/>
        <v>38.958333333328483</v>
      </c>
      <c r="AA549">
        <f t="shared" si="83"/>
        <v>227.60210648148495</v>
      </c>
      <c r="AB549">
        <f t="shared" si="84"/>
        <v>188.64377314815647</v>
      </c>
      <c r="AC549">
        <f>IFERROR(_xlfn.XLOOKUP(B549, HoldSummary!$A:$A, HoldSummary!B:B), 0)</f>
        <v>0</v>
      </c>
      <c r="AD549">
        <f>IFERROR(_xlfn.XLOOKUP(B549, HoldSummary!$A:$A, HoldSummary!C:C), 0)</f>
        <v>0</v>
      </c>
      <c r="AE549">
        <f>IFERROR(_xlfn.XLOOKUP(B549, HoldSummary!$A:$A, HoldSummary!D:D), 0)</f>
        <v>0</v>
      </c>
      <c r="AF549">
        <f>IFERROR(_xlfn.XLOOKUP(B549, HoldSummary!$A:$A, HoldSummary!E:E), 0)</f>
        <v>0</v>
      </c>
      <c r="AG549">
        <f>IFERROR(_xlfn.XLOOKUP(B549, HoldSummary!$A:$A, HoldSummary!F:F), 0)</f>
        <v>0</v>
      </c>
      <c r="AH549">
        <f>IFERROR(_xlfn.XLOOKUP(B549, HoldSummary!$A:$A, HoldSummary!G:G), 0)</f>
        <v>0</v>
      </c>
      <c r="AI549">
        <f>IFERROR(_xlfn.XLOOKUP(B549, HoldSummary!$A:$A, HoldSummary!H:H), 0)</f>
        <v>0</v>
      </c>
      <c r="AJ549">
        <f>IFERROR(_xlfn.XLOOKUP(B549, HoldSummary!$A:$A, HoldSummary!I:I), 0)</f>
        <v>0</v>
      </c>
      <c r="AK549">
        <f t="shared" si="85"/>
        <v>0</v>
      </c>
      <c r="AL549">
        <f t="shared" si="86"/>
        <v>227.60210648148495</v>
      </c>
      <c r="AM549">
        <f t="shared" si="87"/>
        <v>188.64377314815647</v>
      </c>
      <c r="AN549" s="12">
        <f t="shared" si="88"/>
        <v>20.833333333335759</v>
      </c>
      <c r="AO549">
        <f t="shared" si="89"/>
        <v>0</v>
      </c>
    </row>
    <row r="550" spans="1:41" x14ac:dyDescent="0.35">
      <c r="A550" t="s">
        <v>23</v>
      </c>
      <c r="B550" t="s">
        <v>1259</v>
      </c>
      <c r="C550" t="s">
        <v>36</v>
      </c>
      <c r="D550" t="s">
        <v>44</v>
      </c>
      <c r="E550" t="s">
        <v>45</v>
      </c>
      <c r="F550" t="s">
        <v>28</v>
      </c>
      <c r="H550" t="s">
        <v>1260</v>
      </c>
      <c r="I550" t="s">
        <v>30</v>
      </c>
      <c r="J550" t="s">
        <v>31</v>
      </c>
      <c r="K550" t="s">
        <v>38</v>
      </c>
      <c r="L550" t="s">
        <v>39</v>
      </c>
      <c r="N550" s="2">
        <v>45610.660243055558</v>
      </c>
      <c r="O550" s="2">
        <v>45632.208333333336</v>
      </c>
      <c r="P550" s="2">
        <v>45632.208333333336</v>
      </c>
      <c r="Q550" s="2">
        <v>45622</v>
      </c>
      <c r="R550" s="2">
        <v>45622.70638033565</v>
      </c>
      <c r="T550" s="2"/>
      <c r="U550" s="2"/>
      <c r="V550" s="2"/>
      <c r="W550" s="2"/>
      <c r="X550" s="3" t="str">
        <f t="shared" si="80"/>
        <v/>
      </c>
      <c r="Y550" t="str">
        <f t="shared" si="81"/>
        <v/>
      </c>
      <c r="Z550">
        <f t="shared" si="82"/>
        <v>0</v>
      </c>
      <c r="AA550">
        <f t="shared" si="83"/>
        <v>11.339756944442343</v>
      </c>
      <c r="AB550">
        <f t="shared" si="84"/>
        <v>11.339756944442343</v>
      </c>
      <c r="AC550">
        <f>IFERROR(_xlfn.XLOOKUP(B550, HoldSummary!$A:$A, HoldSummary!B:B), 0)</f>
        <v>0</v>
      </c>
      <c r="AD550">
        <f>IFERROR(_xlfn.XLOOKUP(B550, HoldSummary!$A:$A, HoldSummary!C:C), 0)</f>
        <v>2</v>
      </c>
      <c r="AE550">
        <f>IFERROR(_xlfn.XLOOKUP(B550, HoldSummary!$A:$A, HoldSummary!D:D), 0)</f>
        <v>0</v>
      </c>
      <c r="AF550">
        <f>IFERROR(_xlfn.XLOOKUP(B550, HoldSummary!$A:$A, HoldSummary!E:E), 0)</f>
        <v>0</v>
      </c>
      <c r="AG550">
        <f>IFERROR(_xlfn.XLOOKUP(B550, HoldSummary!$A:$A, HoldSummary!F:F), 0)</f>
        <v>0</v>
      </c>
      <c r="AH550">
        <f>IFERROR(_xlfn.XLOOKUP(B550, HoldSummary!$A:$A, HoldSummary!G:G), 0)</f>
        <v>0</v>
      </c>
      <c r="AI550">
        <f>IFERROR(_xlfn.XLOOKUP(B550, HoldSummary!$A:$A, HoldSummary!H:H), 0)</f>
        <v>0</v>
      </c>
      <c r="AJ550">
        <f>IFERROR(_xlfn.XLOOKUP(B550, HoldSummary!$A:$A, HoldSummary!I:I), 0)</f>
        <v>0</v>
      </c>
      <c r="AK550">
        <f t="shared" si="85"/>
        <v>2</v>
      </c>
      <c r="AL550">
        <f t="shared" si="86"/>
        <v>9.3397569444423425</v>
      </c>
      <c r="AM550">
        <f t="shared" si="87"/>
        <v>9.3397569444423425</v>
      </c>
      <c r="AN550" s="12">
        <f t="shared" si="88"/>
        <v>-10.208333333335759</v>
      </c>
      <c r="AO550">
        <f t="shared" si="89"/>
        <v>1</v>
      </c>
    </row>
    <row r="551" spans="1:41" x14ac:dyDescent="0.35">
      <c r="A551" t="s">
        <v>23</v>
      </c>
      <c r="B551" t="s">
        <v>1261</v>
      </c>
      <c r="C551" t="s">
        <v>76</v>
      </c>
      <c r="D551" t="s">
        <v>44</v>
      </c>
      <c r="E551" t="s">
        <v>45</v>
      </c>
      <c r="F551" t="s">
        <v>28</v>
      </c>
      <c r="H551" t="s">
        <v>1262</v>
      </c>
      <c r="I551" t="s">
        <v>30</v>
      </c>
      <c r="J551" t="s">
        <v>31</v>
      </c>
      <c r="K551" t="s">
        <v>38</v>
      </c>
      <c r="L551" t="s">
        <v>39</v>
      </c>
      <c r="M551" t="s">
        <v>33</v>
      </c>
      <c r="N551" s="2">
        <v>45587.549189814818</v>
      </c>
      <c r="O551" s="2">
        <v>45701.208333333336</v>
      </c>
      <c r="P551" s="2">
        <v>45716.208333333336</v>
      </c>
      <c r="Q551" s="2">
        <v>45691</v>
      </c>
      <c r="R551" s="2">
        <v>45692.880762129629</v>
      </c>
      <c r="T551" s="2">
        <v>45637.208333333336</v>
      </c>
      <c r="U551" s="2">
        <v>45642.208333333336</v>
      </c>
      <c r="V551" s="2">
        <v>45642.208333333336</v>
      </c>
      <c r="W551" s="2">
        <v>45667.208333333336</v>
      </c>
      <c r="X551" s="3">
        <f t="shared" si="80"/>
        <v>5</v>
      </c>
      <c r="Y551">
        <f t="shared" si="81"/>
        <v>25</v>
      </c>
      <c r="Z551">
        <f t="shared" si="82"/>
        <v>30</v>
      </c>
      <c r="AA551">
        <f t="shared" si="83"/>
        <v>103.45081018518249</v>
      </c>
      <c r="AB551">
        <f t="shared" si="84"/>
        <v>73.45081018518249</v>
      </c>
      <c r="AC551">
        <f>IFERROR(_xlfn.XLOOKUP(B551, HoldSummary!$A:$A, HoldSummary!B:B), 0)</f>
        <v>6</v>
      </c>
      <c r="AD551">
        <f>IFERROR(_xlfn.XLOOKUP(B551, HoldSummary!$A:$A, HoldSummary!C:C), 0)</f>
        <v>0</v>
      </c>
      <c r="AE551">
        <f>IFERROR(_xlfn.XLOOKUP(B551, HoldSummary!$A:$A, HoldSummary!D:D), 0)</f>
        <v>0</v>
      </c>
      <c r="AF551">
        <f>IFERROR(_xlfn.XLOOKUP(B551, HoldSummary!$A:$A, HoldSummary!E:E), 0)</f>
        <v>0</v>
      </c>
      <c r="AG551">
        <f>IFERROR(_xlfn.XLOOKUP(B551, HoldSummary!$A:$A, HoldSummary!F:F), 0)</f>
        <v>0</v>
      </c>
      <c r="AH551">
        <f>IFERROR(_xlfn.XLOOKUP(B551, HoldSummary!$A:$A, HoldSummary!G:G), 0)</f>
        <v>0</v>
      </c>
      <c r="AI551">
        <f>IFERROR(_xlfn.XLOOKUP(B551, HoldSummary!$A:$A, HoldSummary!H:H), 0)</f>
        <v>0</v>
      </c>
      <c r="AJ551">
        <f>IFERROR(_xlfn.XLOOKUP(B551, HoldSummary!$A:$A, HoldSummary!I:I), 0)</f>
        <v>0</v>
      </c>
      <c r="AK551">
        <f t="shared" si="85"/>
        <v>6</v>
      </c>
      <c r="AL551">
        <f t="shared" si="86"/>
        <v>97.45081018518249</v>
      </c>
      <c r="AM551">
        <f t="shared" si="87"/>
        <v>67.45081018518249</v>
      </c>
      <c r="AN551" s="12">
        <f t="shared" si="88"/>
        <v>-10.208333333335759</v>
      </c>
      <c r="AO551">
        <f t="shared" si="89"/>
        <v>1</v>
      </c>
    </row>
    <row r="552" spans="1:41" x14ac:dyDescent="0.35">
      <c r="A552" t="s">
        <v>23</v>
      </c>
      <c r="B552" t="s">
        <v>1263</v>
      </c>
      <c r="C552" t="s">
        <v>135</v>
      </c>
      <c r="D552" t="s">
        <v>44</v>
      </c>
      <c r="E552" t="s">
        <v>45</v>
      </c>
      <c r="F552" t="s">
        <v>28</v>
      </c>
      <c r="H552" t="s">
        <v>1264</v>
      </c>
      <c r="I552" t="s">
        <v>30</v>
      </c>
      <c r="J552" t="s">
        <v>31</v>
      </c>
      <c r="K552" t="s">
        <v>32</v>
      </c>
      <c r="L552" t="s">
        <v>32</v>
      </c>
      <c r="M552" t="s">
        <v>33</v>
      </c>
      <c r="N552" s="2">
        <v>45602.368923611109</v>
      </c>
      <c r="O552" s="2">
        <v>45804.166666666664</v>
      </c>
      <c r="P552" s="2">
        <v>45777.166666666664</v>
      </c>
      <c r="Q552" s="2">
        <v>45769</v>
      </c>
      <c r="R552" s="2">
        <v>45770.695007175927</v>
      </c>
      <c r="S552" t="s">
        <v>745</v>
      </c>
      <c r="T552" s="2">
        <v>45722.208333333336</v>
      </c>
      <c r="U552" s="2">
        <v>45722.208333333336</v>
      </c>
      <c r="V552" s="2">
        <v>45722.208333333336</v>
      </c>
      <c r="W552" s="2">
        <v>45722.208333333336</v>
      </c>
      <c r="X552" s="3">
        <f t="shared" si="80"/>
        <v>0</v>
      </c>
      <c r="Y552">
        <f t="shared" si="81"/>
        <v>0</v>
      </c>
      <c r="Z552">
        <f t="shared" si="82"/>
        <v>0</v>
      </c>
      <c r="AA552">
        <f t="shared" si="83"/>
        <v>166.63107638889051</v>
      </c>
      <c r="AB552">
        <f t="shared" si="84"/>
        <v>166.63107638889051</v>
      </c>
      <c r="AC552">
        <f>IFERROR(_xlfn.XLOOKUP(B552, HoldSummary!$A:$A, HoldSummary!B:B), 0)</f>
        <v>0</v>
      </c>
      <c r="AD552">
        <f>IFERROR(_xlfn.XLOOKUP(B552, HoldSummary!$A:$A, HoldSummary!C:C), 0)</f>
        <v>39</v>
      </c>
      <c r="AE552">
        <f>IFERROR(_xlfn.XLOOKUP(B552, HoldSummary!$A:$A, HoldSummary!D:D), 0)</f>
        <v>0</v>
      </c>
      <c r="AF552">
        <f>IFERROR(_xlfn.XLOOKUP(B552, HoldSummary!$A:$A, HoldSummary!E:E), 0)</f>
        <v>0</v>
      </c>
      <c r="AG552">
        <f>IFERROR(_xlfn.XLOOKUP(B552, HoldSummary!$A:$A, HoldSummary!F:F), 0)</f>
        <v>0</v>
      </c>
      <c r="AH552">
        <f>IFERROR(_xlfn.XLOOKUP(B552, HoldSummary!$A:$A, HoldSummary!G:G), 0)</f>
        <v>38</v>
      </c>
      <c r="AI552">
        <f>IFERROR(_xlfn.XLOOKUP(B552, HoldSummary!$A:$A, HoldSummary!H:H), 0)</f>
        <v>0</v>
      </c>
      <c r="AJ552">
        <f>IFERROR(_xlfn.XLOOKUP(B552, HoldSummary!$A:$A, HoldSummary!I:I), 0)</f>
        <v>0</v>
      </c>
      <c r="AK552">
        <f t="shared" si="85"/>
        <v>77</v>
      </c>
      <c r="AL552">
        <f t="shared" si="86"/>
        <v>89.631076388890506</v>
      </c>
      <c r="AM552">
        <f t="shared" si="87"/>
        <v>89.631076388890506</v>
      </c>
      <c r="AN552" s="12">
        <f t="shared" si="88"/>
        <v>-35.166666666664241</v>
      </c>
      <c r="AO552">
        <f t="shared" si="89"/>
        <v>1</v>
      </c>
    </row>
    <row r="553" spans="1:41" x14ac:dyDescent="0.35">
      <c r="A553" t="s">
        <v>23</v>
      </c>
      <c r="B553" t="s">
        <v>1265</v>
      </c>
      <c r="C553" t="s">
        <v>76</v>
      </c>
      <c r="D553" t="s">
        <v>44</v>
      </c>
      <c r="E553" t="s">
        <v>45</v>
      </c>
      <c r="F553" t="s">
        <v>28</v>
      </c>
      <c r="H553" t="s">
        <v>1266</v>
      </c>
      <c r="I553" t="s">
        <v>30</v>
      </c>
      <c r="J553" t="s">
        <v>31</v>
      </c>
      <c r="K553" t="s">
        <v>32</v>
      </c>
      <c r="L553" t="s">
        <v>39</v>
      </c>
      <c r="M553" t="s">
        <v>81</v>
      </c>
      <c r="N553" s="2">
        <v>45540.549502314818</v>
      </c>
      <c r="O553" s="2">
        <v>45715.208333333336</v>
      </c>
      <c r="P553" s="2">
        <v>45715.208333333336</v>
      </c>
      <c r="Q553" s="2">
        <v>45709</v>
      </c>
      <c r="R553" s="2">
        <v>45709.674272222219</v>
      </c>
      <c r="T553" s="2">
        <v>45645.208333333336</v>
      </c>
      <c r="U553" s="2">
        <v>45663.208333333336</v>
      </c>
      <c r="V553" s="2">
        <v>45663.208333333336</v>
      </c>
      <c r="W553" s="2">
        <v>45673.208333333336</v>
      </c>
      <c r="X553" s="3">
        <f t="shared" si="80"/>
        <v>18</v>
      </c>
      <c r="Y553">
        <f t="shared" si="81"/>
        <v>10</v>
      </c>
      <c r="Z553">
        <f t="shared" si="82"/>
        <v>28</v>
      </c>
      <c r="AA553">
        <f t="shared" si="83"/>
        <v>168.4504976851822</v>
      </c>
      <c r="AB553">
        <f t="shared" si="84"/>
        <v>140.4504976851822</v>
      </c>
      <c r="AC553">
        <f>IFERROR(_xlfn.XLOOKUP(B553, HoldSummary!$A:$A, HoldSummary!B:B), 0)</f>
        <v>33</v>
      </c>
      <c r="AD553">
        <f>IFERROR(_xlfn.XLOOKUP(B553, HoldSummary!$A:$A, HoldSummary!C:C), 0)</f>
        <v>0</v>
      </c>
      <c r="AE553">
        <f>IFERROR(_xlfn.XLOOKUP(B553, HoldSummary!$A:$A, HoldSummary!D:D), 0)</f>
        <v>0</v>
      </c>
      <c r="AF553">
        <f>IFERROR(_xlfn.XLOOKUP(B553, HoldSummary!$A:$A, HoldSummary!E:E), 0)</f>
        <v>0</v>
      </c>
      <c r="AG553">
        <f>IFERROR(_xlfn.XLOOKUP(B553, HoldSummary!$A:$A, HoldSummary!F:F), 0)</f>
        <v>0</v>
      </c>
      <c r="AH553">
        <f>IFERROR(_xlfn.XLOOKUP(B553, HoldSummary!$A:$A, HoldSummary!G:G), 0)</f>
        <v>12</v>
      </c>
      <c r="AI553">
        <f>IFERROR(_xlfn.XLOOKUP(B553, HoldSummary!$A:$A, HoldSummary!H:H), 0)</f>
        <v>0</v>
      </c>
      <c r="AJ553">
        <f>IFERROR(_xlfn.XLOOKUP(B553, HoldSummary!$A:$A, HoldSummary!I:I), 0)</f>
        <v>0</v>
      </c>
      <c r="AK553">
        <f t="shared" si="85"/>
        <v>45</v>
      </c>
      <c r="AL553">
        <f t="shared" si="86"/>
        <v>123.4504976851822</v>
      </c>
      <c r="AM553">
        <f t="shared" si="87"/>
        <v>95.450497685182199</v>
      </c>
      <c r="AN553" s="12">
        <f t="shared" si="88"/>
        <v>-6.2083333333357587</v>
      </c>
      <c r="AO553">
        <f t="shared" si="89"/>
        <v>1</v>
      </c>
    </row>
    <row r="554" spans="1:41" x14ac:dyDescent="0.35">
      <c r="A554" t="s">
        <v>23</v>
      </c>
      <c r="B554" t="s">
        <v>1267</v>
      </c>
      <c r="C554" t="s">
        <v>36</v>
      </c>
      <c r="D554" t="s">
        <v>44</v>
      </c>
      <c r="E554" t="s">
        <v>45</v>
      </c>
      <c r="F554" t="s">
        <v>28</v>
      </c>
      <c r="H554" t="s">
        <v>1268</v>
      </c>
      <c r="I554" t="s">
        <v>30</v>
      </c>
      <c r="J554" t="s">
        <v>70</v>
      </c>
      <c r="K554" t="s">
        <v>38</v>
      </c>
      <c r="L554" t="s">
        <v>39</v>
      </c>
      <c r="N554" s="2">
        <v>45623.775729166664</v>
      </c>
      <c r="O554" s="2">
        <v>45708.208333333336</v>
      </c>
      <c r="P554" s="2">
        <v>45708.208333333336</v>
      </c>
      <c r="Q554" s="2">
        <v>45691</v>
      </c>
      <c r="R554" s="2">
        <v>45691.813210231485</v>
      </c>
      <c r="T554" s="2"/>
      <c r="U554" s="2"/>
      <c r="V554" s="2"/>
      <c r="W554" s="2"/>
      <c r="X554" s="3" t="str">
        <f t="shared" si="80"/>
        <v/>
      </c>
      <c r="Y554" t="str">
        <f t="shared" si="81"/>
        <v/>
      </c>
      <c r="Z554">
        <f t="shared" si="82"/>
        <v>0</v>
      </c>
      <c r="AA554">
        <f t="shared" si="83"/>
        <v>67.22427083333605</v>
      </c>
      <c r="AB554">
        <f t="shared" si="84"/>
        <v>67.22427083333605</v>
      </c>
      <c r="AC554">
        <f>IFERROR(_xlfn.XLOOKUP(B554, HoldSummary!$A:$A, HoldSummary!B:B), 0)</f>
        <v>0</v>
      </c>
      <c r="AD554">
        <f>IFERROR(_xlfn.XLOOKUP(B554, HoldSummary!$A:$A, HoldSummary!C:C), 0)</f>
        <v>0</v>
      </c>
      <c r="AE554">
        <f>IFERROR(_xlfn.XLOOKUP(B554, HoldSummary!$A:$A, HoldSummary!D:D), 0)</f>
        <v>0</v>
      </c>
      <c r="AF554">
        <f>IFERROR(_xlfn.XLOOKUP(B554, HoldSummary!$A:$A, HoldSummary!E:E), 0)</f>
        <v>0</v>
      </c>
      <c r="AG554">
        <f>IFERROR(_xlfn.XLOOKUP(B554, HoldSummary!$A:$A, HoldSummary!F:F), 0)</f>
        <v>0</v>
      </c>
      <c r="AH554">
        <f>IFERROR(_xlfn.XLOOKUP(B554, HoldSummary!$A:$A, HoldSummary!G:G), 0)</f>
        <v>0</v>
      </c>
      <c r="AI554">
        <f>IFERROR(_xlfn.XLOOKUP(B554, HoldSummary!$A:$A, HoldSummary!H:H), 0)</f>
        <v>0</v>
      </c>
      <c r="AJ554">
        <f>IFERROR(_xlfn.XLOOKUP(B554, HoldSummary!$A:$A, HoldSummary!I:I), 0)</f>
        <v>0</v>
      </c>
      <c r="AK554">
        <f t="shared" si="85"/>
        <v>0</v>
      </c>
      <c r="AL554">
        <f t="shared" si="86"/>
        <v>67.22427083333605</v>
      </c>
      <c r="AM554">
        <f t="shared" si="87"/>
        <v>67.22427083333605</v>
      </c>
      <c r="AN554" s="12">
        <f t="shared" si="88"/>
        <v>-17.208333333335759</v>
      </c>
      <c r="AO554">
        <f t="shared" si="89"/>
        <v>1</v>
      </c>
    </row>
    <row r="555" spans="1:41" x14ac:dyDescent="0.35">
      <c r="A555" t="s">
        <v>23</v>
      </c>
      <c r="B555" t="s">
        <v>1269</v>
      </c>
      <c r="C555" t="s">
        <v>409</v>
      </c>
      <c r="D555" t="s">
        <v>44</v>
      </c>
      <c r="E555" t="s">
        <v>45</v>
      </c>
      <c r="F555" t="s">
        <v>28</v>
      </c>
      <c r="H555" t="s">
        <v>1270</v>
      </c>
      <c r="I555" t="s">
        <v>30</v>
      </c>
      <c r="J555" t="s">
        <v>31</v>
      </c>
      <c r="K555" t="s">
        <v>48</v>
      </c>
      <c r="L555" t="s">
        <v>49</v>
      </c>
      <c r="M555" t="s">
        <v>81</v>
      </c>
      <c r="N555" s="2">
        <v>45565.84233796296</v>
      </c>
      <c r="O555" s="2">
        <v>45751.166666666664</v>
      </c>
      <c r="P555" s="2">
        <v>45838.166666666664</v>
      </c>
      <c r="Q555" s="2">
        <v>45832</v>
      </c>
      <c r="R555" s="2">
        <v>45833.821790312497</v>
      </c>
      <c r="S555" t="s">
        <v>1271</v>
      </c>
      <c r="T555" s="2">
        <v>45666.208333333336</v>
      </c>
      <c r="U555" s="2">
        <v>45671.208333333336</v>
      </c>
      <c r="V555" s="2">
        <v>45671.208333333336</v>
      </c>
      <c r="W555" s="2">
        <v>45707.208333333336</v>
      </c>
      <c r="X555" s="3">
        <f t="shared" si="80"/>
        <v>5</v>
      </c>
      <c r="Y555">
        <f t="shared" si="81"/>
        <v>36</v>
      </c>
      <c r="Z555">
        <f t="shared" si="82"/>
        <v>41</v>
      </c>
      <c r="AA555">
        <f t="shared" si="83"/>
        <v>266.1576620370397</v>
      </c>
      <c r="AB555">
        <f t="shared" si="84"/>
        <v>225.1576620370397</v>
      </c>
      <c r="AC555">
        <f>IFERROR(_xlfn.XLOOKUP(B555, HoldSummary!$A:$A, HoldSummary!B:B), 0)</f>
        <v>34.711134548611881</v>
      </c>
      <c r="AD555">
        <f>IFERROR(_xlfn.XLOOKUP(B555, HoldSummary!$A:$A, HoldSummary!C:C), 0)</f>
        <v>0</v>
      </c>
      <c r="AE555">
        <f>IFERROR(_xlfn.XLOOKUP(B555, HoldSummary!$A:$A, HoldSummary!D:D), 0)</f>
        <v>0</v>
      </c>
      <c r="AF555">
        <f>IFERROR(_xlfn.XLOOKUP(B555, HoldSummary!$A:$A, HoldSummary!E:E), 0)</f>
        <v>0</v>
      </c>
      <c r="AG555">
        <f>IFERROR(_xlfn.XLOOKUP(B555, HoldSummary!$A:$A, HoldSummary!F:F), 0)</f>
        <v>0</v>
      </c>
      <c r="AH555">
        <f>IFERROR(_xlfn.XLOOKUP(B555, HoldSummary!$A:$A, HoldSummary!G:G), 0)</f>
        <v>0</v>
      </c>
      <c r="AI555">
        <f>IFERROR(_xlfn.XLOOKUP(B555, HoldSummary!$A:$A, HoldSummary!H:H), 0)</f>
        <v>0</v>
      </c>
      <c r="AJ555">
        <f>IFERROR(_xlfn.XLOOKUP(B555, HoldSummary!$A:$A, HoldSummary!I:I), 0)</f>
        <v>0</v>
      </c>
      <c r="AK555">
        <f t="shared" si="85"/>
        <v>34.711134548611881</v>
      </c>
      <c r="AL555">
        <f t="shared" si="86"/>
        <v>231.44652748842782</v>
      </c>
      <c r="AM555">
        <f t="shared" si="87"/>
        <v>190.44652748842782</v>
      </c>
      <c r="AN555" s="12">
        <f t="shared" si="88"/>
        <v>80.833333333335759</v>
      </c>
      <c r="AO555">
        <f t="shared" si="89"/>
        <v>0</v>
      </c>
    </row>
    <row r="556" spans="1:41" x14ac:dyDescent="0.35">
      <c r="A556" t="s">
        <v>23</v>
      </c>
      <c r="B556" t="s">
        <v>1272</v>
      </c>
      <c r="C556" t="s">
        <v>135</v>
      </c>
      <c r="D556" t="s">
        <v>44</v>
      </c>
      <c r="E556" t="s">
        <v>45</v>
      </c>
      <c r="F556" t="s">
        <v>28</v>
      </c>
      <c r="H556" t="s">
        <v>1273</v>
      </c>
      <c r="I556" t="s">
        <v>30</v>
      </c>
      <c r="J556" t="s">
        <v>31</v>
      </c>
      <c r="K556" t="s">
        <v>32</v>
      </c>
      <c r="L556" t="s">
        <v>32</v>
      </c>
      <c r="M556" t="s">
        <v>33</v>
      </c>
      <c r="N556" s="2">
        <v>45621.349143518521</v>
      </c>
      <c r="O556" s="2">
        <v>45644.208333333336</v>
      </c>
      <c r="P556" s="2">
        <v>45644.208333333336</v>
      </c>
      <c r="Q556" s="2">
        <v>45643</v>
      </c>
      <c r="R556" s="2">
        <v>45645.587698078707</v>
      </c>
      <c r="T556" s="2"/>
      <c r="U556" s="2"/>
      <c r="V556" s="2"/>
      <c r="W556" s="2"/>
      <c r="X556" s="3" t="str">
        <f t="shared" si="80"/>
        <v/>
      </c>
      <c r="Y556" t="str">
        <f t="shared" si="81"/>
        <v/>
      </c>
      <c r="Z556">
        <f t="shared" si="82"/>
        <v>0</v>
      </c>
      <c r="AA556">
        <f t="shared" si="83"/>
        <v>21.650856481479423</v>
      </c>
      <c r="AB556">
        <f t="shared" si="84"/>
        <v>21.650856481479423</v>
      </c>
      <c r="AC556">
        <f>IFERROR(_xlfn.XLOOKUP(B556, HoldSummary!$A:$A, HoldSummary!B:B), 0)</f>
        <v>0</v>
      </c>
      <c r="AD556">
        <f>IFERROR(_xlfn.XLOOKUP(B556, HoldSummary!$A:$A, HoldSummary!C:C), 0)</f>
        <v>0</v>
      </c>
      <c r="AE556">
        <f>IFERROR(_xlfn.XLOOKUP(B556, HoldSummary!$A:$A, HoldSummary!D:D), 0)</f>
        <v>0</v>
      </c>
      <c r="AF556">
        <f>IFERROR(_xlfn.XLOOKUP(B556, HoldSummary!$A:$A, HoldSummary!E:E), 0)</f>
        <v>0</v>
      </c>
      <c r="AG556">
        <f>IFERROR(_xlfn.XLOOKUP(B556, HoldSummary!$A:$A, HoldSummary!F:F), 0)</f>
        <v>0</v>
      </c>
      <c r="AH556">
        <f>IFERROR(_xlfn.XLOOKUP(B556, HoldSummary!$A:$A, HoldSummary!G:G), 0)</f>
        <v>0</v>
      </c>
      <c r="AI556">
        <f>IFERROR(_xlfn.XLOOKUP(B556, HoldSummary!$A:$A, HoldSummary!H:H), 0)</f>
        <v>0</v>
      </c>
      <c r="AJ556">
        <f>IFERROR(_xlfn.XLOOKUP(B556, HoldSummary!$A:$A, HoldSummary!I:I), 0)</f>
        <v>0</v>
      </c>
      <c r="AK556">
        <f t="shared" si="85"/>
        <v>0</v>
      </c>
      <c r="AL556">
        <f t="shared" si="86"/>
        <v>21.650856481479423</v>
      </c>
      <c r="AM556">
        <f t="shared" si="87"/>
        <v>21.650856481479423</v>
      </c>
      <c r="AN556" s="12">
        <f t="shared" si="88"/>
        <v>-1.2083333333357587</v>
      </c>
      <c r="AO556">
        <f t="shared" si="89"/>
        <v>1</v>
      </c>
    </row>
    <row r="557" spans="1:41" x14ac:dyDescent="0.35">
      <c r="A557" t="s">
        <v>23</v>
      </c>
      <c r="B557" t="s">
        <v>1274</v>
      </c>
      <c r="C557" t="s">
        <v>135</v>
      </c>
      <c r="D557" t="s">
        <v>44</v>
      </c>
      <c r="E557" t="s">
        <v>45</v>
      </c>
      <c r="F557" t="s">
        <v>28</v>
      </c>
      <c r="H557" t="s">
        <v>1275</v>
      </c>
      <c r="I557" t="s">
        <v>30</v>
      </c>
      <c r="J557" t="s">
        <v>31</v>
      </c>
      <c r="K557" t="s">
        <v>32</v>
      </c>
      <c r="M557" t="s">
        <v>81</v>
      </c>
      <c r="N557" s="2">
        <v>45624.439837962964</v>
      </c>
      <c r="O557" s="2">
        <v>45644.208333333336</v>
      </c>
      <c r="P557" s="2">
        <v>45681.208333333336</v>
      </c>
      <c r="Q557" s="2">
        <v>45672</v>
      </c>
      <c r="R557" s="2">
        <v>45673.579216180558</v>
      </c>
      <c r="T557" s="2"/>
      <c r="U557" s="2"/>
      <c r="V557" s="2"/>
      <c r="W557" s="2"/>
      <c r="X557" s="3" t="str">
        <f t="shared" si="80"/>
        <v/>
      </c>
      <c r="Y557" t="str">
        <f t="shared" si="81"/>
        <v/>
      </c>
      <c r="Z557">
        <f t="shared" si="82"/>
        <v>0</v>
      </c>
      <c r="AA557">
        <f t="shared" si="83"/>
        <v>47.560162037036207</v>
      </c>
      <c r="AB557">
        <f t="shared" si="84"/>
        <v>47.560162037036207</v>
      </c>
      <c r="AC557">
        <f>IFERROR(_xlfn.XLOOKUP(B557, HoldSummary!$A:$A, HoldSummary!B:B), 0)</f>
        <v>0</v>
      </c>
      <c r="AD557">
        <f>IFERROR(_xlfn.XLOOKUP(B557, HoldSummary!$A:$A, HoldSummary!C:C), 0)</f>
        <v>0</v>
      </c>
      <c r="AE557">
        <f>IFERROR(_xlfn.XLOOKUP(B557, HoldSummary!$A:$A, HoldSummary!D:D), 0)</f>
        <v>0</v>
      </c>
      <c r="AF557">
        <f>IFERROR(_xlfn.XLOOKUP(B557, HoldSummary!$A:$A, HoldSummary!E:E), 0)</f>
        <v>0</v>
      </c>
      <c r="AG557">
        <f>IFERROR(_xlfn.XLOOKUP(B557, HoldSummary!$A:$A, HoldSummary!F:F), 0)</f>
        <v>0</v>
      </c>
      <c r="AH557">
        <f>IFERROR(_xlfn.XLOOKUP(B557, HoldSummary!$A:$A, HoldSummary!G:G), 0)</f>
        <v>0</v>
      </c>
      <c r="AI557">
        <f>IFERROR(_xlfn.XLOOKUP(B557, HoldSummary!$A:$A, HoldSummary!H:H), 0)</f>
        <v>0</v>
      </c>
      <c r="AJ557">
        <f>IFERROR(_xlfn.XLOOKUP(B557, HoldSummary!$A:$A, HoldSummary!I:I), 0)</f>
        <v>0</v>
      </c>
      <c r="AK557">
        <f t="shared" si="85"/>
        <v>0</v>
      </c>
      <c r="AL557">
        <f t="shared" si="86"/>
        <v>47.560162037036207</v>
      </c>
      <c r="AM557">
        <f t="shared" si="87"/>
        <v>47.560162037036207</v>
      </c>
      <c r="AN557" s="12">
        <f t="shared" si="88"/>
        <v>27.791666666664241</v>
      </c>
      <c r="AO557">
        <f t="shared" si="89"/>
        <v>0</v>
      </c>
    </row>
    <row r="558" spans="1:41" x14ac:dyDescent="0.35">
      <c r="A558" t="s">
        <v>23</v>
      </c>
      <c r="B558" t="s">
        <v>1276</v>
      </c>
      <c r="C558" t="s">
        <v>135</v>
      </c>
      <c r="D558" t="s">
        <v>44</v>
      </c>
      <c r="E558" t="s">
        <v>45</v>
      </c>
      <c r="F558" t="s">
        <v>28</v>
      </c>
      <c r="H558" t="s">
        <v>1277</v>
      </c>
      <c r="I558" t="s">
        <v>30</v>
      </c>
      <c r="J558" t="s">
        <v>31</v>
      </c>
      <c r="K558" t="s">
        <v>32</v>
      </c>
      <c r="L558" t="s">
        <v>32</v>
      </c>
      <c r="M558" t="s">
        <v>33</v>
      </c>
      <c r="N558" s="2">
        <v>45628.558518518519</v>
      </c>
      <c r="O558" s="2">
        <v>45646.208333333336</v>
      </c>
      <c r="P558" s="2">
        <v>45646.208333333336</v>
      </c>
      <c r="Q558" s="2">
        <v>45643</v>
      </c>
      <c r="R558" s="2">
        <v>45647.068210775462</v>
      </c>
      <c r="T558" s="2">
        <v>45636.208333333336</v>
      </c>
      <c r="U558" s="2">
        <v>45636.208333333336</v>
      </c>
      <c r="V558" s="2">
        <v>45636.208333333336</v>
      </c>
      <c r="W558" s="2">
        <v>45636.208333333336</v>
      </c>
      <c r="X558" s="3">
        <f t="shared" si="80"/>
        <v>0</v>
      </c>
      <c r="Y558">
        <f t="shared" si="81"/>
        <v>0</v>
      </c>
      <c r="Z558">
        <f t="shared" si="82"/>
        <v>0</v>
      </c>
      <c r="AA558">
        <f t="shared" si="83"/>
        <v>14.441481481480878</v>
      </c>
      <c r="AB558">
        <f t="shared" si="84"/>
        <v>14.441481481480878</v>
      </c>
      <c r="AC558">
        <f>IFERROR(_xlfn.XLOOKUP(B558, HoldSummary!$A:$A, HoldSummary!B:B), 0)</f>
        <v>0</v>
      </c>
      <c r="AD558">
        <f>IFERROR(_xlfn.XLOOKUP(B558, HoldSummary!$A:$A, HoldSummary!C:C), 0)</f>
        <v>0</v>
      </c>
      <c r="AE558">
        <f>IFERROR(_xlfn.XLOOKUP(B558, HoldSummary!$A:$A, HoldSummary!D:D), 0)</f>
        <v>0</v>
      </c>
      <c r="AF558">
        <f>IFERROR(_xlfn.XLOOKUP(B558, HoldSummary!$A:$A, HoldSummary!E:E), 0)</f>
        <v>0</v>
      </c>
      <c r="AG558">
        <f>IFERROR(_xlfn.XLOOKUP(B558, HoldSummary!$A:$A, HoldSummary!F:F), 0)</f>
        <v>0</v>
      </c>
      <c r="AH558">
        <f>IFERROR(_xlfn.XLOOKUP(B558, HoldSummary!$A:$A, HoldSummary!G:G), 0)</f>
        <v>0</v>
      </c>
      <c r="AI558">
        <f>IFERROR(_xlfn.XLOOKUP(B558, HoldSummary!$A:$A, HoldSummary!H:H), 0)</f>
        <v>0</v>
      </c>
      <c r="AJ558">
        <f>IFERROR(_xlfn.XLOOKUP(B558, HoldSummary!$A:$A, HoldSummary!I:I), 0)</f>
        <v>0</v>
      </c>
      <c r="AK558">
        <f t="shared" si="85"/>
        <v>0</v>
      </c>
      <c r="AL558">
        <f t="shared" si="86"/>
        <v>14.441481481480878</v>
      </c>
      <c r="AM558">
        <f t="shared" si="87"/>
        <v>14.441481481480878</v>
      </c>
      <c r="AN558" s="12">
        <f t="shared" si="88"/>
        <v>-3.2083333333357587</v>
      </c>
      <c r="AO558">
        <f t="shared" si="89"/>
        <v>1</v>
      </c>
    </row>
    <row r="559" spans="1:41" x14ac:dyDescent="0.35">
      <c r="A559" t="s">
        <v>23</v>
      </c>
      <c r="B559" t="s">
        <v>1278</v>
      </c>
      <c r="C559" t="s">
        <v>36</v>
      </c>
      <c r="D559" t="s">
        <v>44</v>
      </c>
      <c r="E559" t="s">
        <v>45</v>
      </c>
      <c r="F559" t="s">
        <v>28</v>
      </c>
      <c r="H559" t="s">
        <v>1279</v>
      </c>
      <c r="I559" t="s">
        <v>30</v>
      </c>
      <c r="J559" t="s">
        <v>31</v>
      </c>
      <c r="K559" t="s">
        <v>48</v>
      </c>
      <c r="L559" t="s">
        <v>695</v>
      </c>
      <c r="M559" t="s">
        <v>33</v>
      </c>
      <c r="N559" s="2">
        <v>45637.667824074073</v>
      </c>
      <c r="O559" s="2">
        <v>45674.208333333336</v>
      </c>
      <c r="P559" s="2">
        <v>45674.208333333336</v>
      </c>
      <c r="Q559" s="2">
        <v>45672</v>
      </c>
      <c r="R559" s="2">
        <v>45672.862624398149</v>
      </c>
      <c r="S559" t="s">
        <v>115</v>
      </c>
      <c r="T559" s="2">
        <v>45646.208333333336</v>
      </c>
      <c r="U559" s="2">
        <v>45659.208333333336</v>
      </c>
      <c r="V559" s="2">
        <v>45659.208333333336</v>
      </c>
      <c r="W559" s="2">
        <v>45659.208333333336</v>
      </c>
      <c r="X559" s="3">
        <f t="shared" si="80"/>
        <v>13</v>
      </c>
      <c r="Y559">
        <f t="shared" si="81"/>
        <v>0</v>
      </c>
      <c r="Z559">
        <f t="shared" si="82"/>
        <v>13</v>
      </c>
      <c r="AA559">
        <f t="shared" si="83"/>
        <v>34.332175925927004</v>
      </c>
      <c r="AB559">
        <f t="shared" si="84"/>
        <v>21.332175925927004</v>
      </c>
      <c r="AC559">
        <f>IFERROR(_xlfn.XLOOKUP(B559, HoldSummary!$A:$A, HoldSummary!B:B), 0)</f>
        <v>0</v>
      </c>
      <c r="AD559">
        <f>IFERROR(_xlfn.XLOOKUP(B559, HoldSummary!$A:$A, HoldSummary!C:C), 0)</f>
        <v>0</v>
      </c>
      <c r="AE559">
        <f>IFERROR(_xlfn.XLOOKUP(B559, HoldSummary!$A:$A, HoldSummary!D:D), 0)</f>
        <v>0</v>
      </c>
      <c r="AF559">
        <f>IFERROR(_xlfn.XLOOKUP(B559, HoldSummary!$A:$A, HoldSummary!E:E), 0)</f>
        <v>0</v>
      </c>
      <c r="AG559">
        <f>IFERROR(_xlfn.XLOOKUP(B559, HoldSummary!$A:$A, HoldSummary!F:F), 0)</f>
        <v>0</v>
      </c>
      <c r="AH559">
        <f>IFERROR(_xlfn.XLOOKUP(B559, HoldSummary!$A:$A, HoldSummary!G:G), 0)</f>
        <v>0</v>
      </c>
      <c r="AI559">
        <f>IFERROR(_xlfn.XLOOKUP(B559, HoldSummary!$A:$A, HoldSummary!H:H), 0)</f>
        <v>0</v>
      </c>
      <c r="AJ559">
        <f>IFERROR(_xlfn.XLOOKUP(B559, HoldSummary!$A:$A, HoldSummary!I:I), 0)</f>
        <v>0</v>
      </c>
      <c r="AK559">
        <f t="shared" si="85"/>
        <v>0</v>
      </c>
      <c r="AL559">
        <f t="shared" si="86"/>
        <v>34.332175925927004</v>
      </c>
      <c r="AM559">
        <f t="shared" si="87"/>
        <v>21.332175925927004</v>
      </c>
      <c r="AN559" s="12">
        <f t="shared" si="88"/>
        <v>-2.2083333333357587</v>
      </c>
      <c r="AO559">
        <f t="shared" si="89"/>
        <v>1</v>
      </c>
    </row>
    <row r="560" spans="1:41" x14ac:dyDescent="0.35">
      <c r="A560" t="s">
        <v>23</v>
      </c>
      <c r="B560">
        <v>109887</v>
      </c>
      <c r="C560" t="s">
        <v>76</v>
      </c>
      <c r="D560" t="s">
        <v>44</v>
      </c>
      <c r="E560" t="s">
        <v>55</v>
      </c>
      <c r="F560" t="s">
        <v>28</v>
      </c>
      <c r="H560" t="s">
        <v>1280</v>
      </c>
      <c r="I560" t="s">
        <v>30</v>
      </c>
      <c r="J560" t="s">
        <v>31</v>
      </c>
      <c r="K560" t="s">
        <v>57</v>
      </c>
      <c r="L560" t="s">
        <v>39</v>
      </c>
      <c r="M560" t="s">
        <v>33</v>
      </c>
      <c r="N560" s="2">
        <v>45628.208333333336</v>
      </c>
      <c r="O560" s="2">
        <v>45723.208333333336</v>
      </c>
      <c r="P560" s="2">
        <v>45723.208333333336</v>
      </c>
      <c r="Q560" s="2">
        <v>45699</v>
      </c>
      <c r="R560" s="2">
        <v>45699.703151550922</v>
      </c>
      <c r="T560" s="2">
        <v>45671.208333333336</v>
      </c>
      <c r="U560" s="2">
        <v>45679.208333333336</v>
      </c>
      <c r="V560" s="2">
        <v>45679.208333333336</v>
      </c>
      <c r="W560" s="2">
        <v>45686.208333333336</v>
      </c>
      <c r="X560" s="3">
        <f t="shared" si="80"/>
        <v>8</v>
      </c>
      <c r="Y560">
        <f t="shared" si="81"/>
        <v>7</v>
      </c>
      <c r="Z560">
        <f t="shared" si="82"/>
        <v>15</v>
      </c>
      <c r="AA560">
        <f t="shared" si="83"/>
        <v>70.791666666664241</v>
      </c>
      <c r="AB560">
        <f t="shared" si="84"/>
        <v>55.791666666664241</v>
      </c>
      <c r="AC560">
        <f>IFERROR(_xlfn.XLOOKUP(B560, HoldSummary!$A:$A, HoldSummary!B:B), 0)</f>
        <v>8</v>
      </c>
      <c r="AD560">
        <f>IFERROR(_xlfn.XLOOKUP(B560, HoldSummary!$A:$A, HoldSummary!C:C), 0)</f>
        <v>0</v>
      </c>
      <c r="AE560">
        <f>IFERROR(_xlfn.XLOOKUP(B560, HoldSummary!$A:$A, HoldSummary!D:D), 0)</f>
        <v>0</v>
      </c>
      <c r="AF560">
        <f>IFERROR(_xlfn.XLOOKUP(B560, HoldSummary!$A:$A, HoldSummary!E:E), 0)</f>
        <v>0</v>
      </c>
      <c r="AG560">
        <f>IFERROR(_xlfn.XLOOKUP(B560, HoldSummary!$A:$A, HoldSummary!F:F), 0)</f>
        <v>0</v>
      </c>
      <c r="AH560">
        <f>IFERROR(_xlfn.XLOOKUP(B560, HoldSummary!$A:$A, HoldSummary!G:G), 0)</f>
        <v>0</v>
      </c>
      <c r="AI560">
        <f>IFERROR(_xlfn.XLOOKUP(B560, HoldSummary!$A:$A, HoldSummary!H:H), 0)</f>
        <v>0</v>
      </c>
      <c r="AJ560">
        <f>IFERROR(_xlfn.XLOOKUP(B560, HoldSummary!$A:$A, HoldSummary!I:I), 0)</f>
        <v>0</v>
      </c>
      <c r="AK560">
        <f t="shared" si="85"/>
        <v>8</v>
      </c>
      <c r="AL560">
        <f t="shared" si="86"/>
        <v>62.791666666664241</v>
      </c>
      <c r="AM560">
        <f t="shared" si="87"/>
        <v>47.791666666664241</v>
      </c>
      <c r="AN560" s="12">
        <f t="shared" si="88"/>
        <v>-24.208333333335759</v>
      </c>
      <c r="AO560">
        <f t="shared" si="89"/>
        <v>1</v>
      </c>
    </row>
    <row r="561" spans="1:41" x14ac:dyDescent="0.35">
      <c r="A561" t="s">
        <v>23</v>
      </c>
      <c r="B561" t="s">
        <v>1281</v>
      </c>
      <c r="C561" t="s">
        <v>135</v>
      </c>
      <c r="D561" t="s">
        <v>44</v>
      </c>
      <c r="E561" t="s">
        <v>45</v>
      </c>
      <c r="F561" t="s">
        <v>28</v>
      </c>
      <c r="H561" t="s">
        <v>1282</v>
      </c>
      <c r="I561" t="s">
        <v>30</v>
      </c>
      <c r="J561" t="s">
        <v>31</v>
      </c>
      <c r="K561" t="s">
        <v>32</v>
      </c>
      <c r="L561" t="s">
        <v>32</v>
      </c>
      <c r="M561" t="s">
        <v>33</v>
      </c>
      <c r="N561" s="2">
        <v>45636.229722222219</v>
      </c>
      <c r="O561" s="2">
        <v>45688.208333333336</v>
      </c>
      <c r="P561" s="2">
        <v>45706.208333333336</v>
      </c>
      <c r="Q561" s="2">
        <v>45702</v>
      </c>
      <c r="R561" s="2">
        <v>45705.812276793979</v>
      </c>
      <c r="T561" s="2">
        <v>45679.208333333336</v>
      </c>
      <c r="U561" s="2">
        <v>45686.208333333336</v>
      </c>
      <c r="V561" s="2">
        <v>45686.208333333336</v>
      </c>
      <c r="W561" s="2">
        <v>45686.208333333336</v>
      </c>
      <c r="X561" s="3">
        <f t="shared" si="80"/>
        <v>7</v>
      </c>
      <c r="Y561">
        <f t="shared" si="81"/>
        <v>0</v>
      </c>
      <c r="Z561">
        <f t="shared" si="82"/>
        <v>7</v>
      </c>
      <c r="AA561">
        <f t="shared" si="83"/>
        <v>65.770277777781303</v>
      </c>
      <c r="AB561">
        <f t="shared" si="84"/>
        <v>58.770277777781303</v>
      </c>
      <c r="AC561">
        <f>IFERROR(_xlfn.XLOOKUP(B561, HoldSummary!$A:$A, HoldSummary!B:B), 0)</f>
        <v>0</v>
      </c>
      <c r="AD561">
        <f>IFERROR(_xlfn.XLOOKUP(B561, HoldSummary!$A:$A, HoldSummary!C:C), 0)</f>
        <v>0</v>
      </c>
      <c r="AE561">
        <f>IFERROR(_xlfn.XLOOKUP(B561, HoldSummary!$A:$A, HoldSummary!D:D), 0)</f>
        <v>0</v>
      </c>
      <c r="AF561">
        <f>IFERROR(_xlfn.XLOOKUP(B561, HoldSummary!$A:$A, HoldSummary!E:E), 0)</f>
        <v>0</v>
      </c>
      <c r="AG561">
        <f>IFERROR(_xlfn.XLOOKUP(B561, HoldSummary!$A:$A, HoldSummary!F:F), 0)</f>
        <v>0</v>
      </c>
      <c r="AH561">
        <f>IFERROR(_xlfn.XLOOKUP(B561, HoldSummary!$A:$A, HoldSummary!G:G), 0)</f>
        <v>0</v>
      </c>
      <c r="AI561">
        <f>IFERROR(_xlfn.XLOOKUP(B561, HoldSummary!$A:$A, HoldSummary!H:H), 0)</f>
        <v>0</v>
      </c>
      <c r="AJ561">
        <f>IFERROR(_xlfn.XLOOKUP(B561, HoldSummary!$A:$A, HoldSummary!I:I), 0)</f>
        <v>0</v>
      </c>
      <c r="AK561">
        <f t="shared" si="85"/>
        <v>0</v>
      </c>
      <c r="AL561">
        <f t="shared" si="86"/>
        <v>65.770277777781303</v>
      </c>
      <c r="AM561">
        <f t="shared" si="87"/>
        <v>58.770277777781303</v>
      </c>
      <c r="AN561" s="12">
        <f t="shared" si="88"/>
        <v>13.791666666664241</v>
      </c>
      <c r="AO561">
        <f t="shared" si="89"/>
        <v>0</v>
      </c>
    </row>
    <row r="562" spans="1:41" x14ac:dyDescent="0.35">
      <c r="A562" t="s">
        <v>23</v>
      </c>
      <c r="B562" t="s">
        <v>1283</v>
      </c>
      <c r="C562" t="s">
        <v>409</v>
      </c>
      <c r="D562" t="s">
        <v>44</v>
      </c>
      <c r="E562" t="s">
        <v>45</v>
      </c>
      <c r="F562" t="s">
        <v>28</v>
      </c>
      <c r="H562" t="s">
        <v>1284</v>
      </c>
      <c r="I562" t="s">
        <v>30</v>
      </c>
      <c r="J562" t="s">
        <v>31</v>
      </c>
      <c r="K562" t="s">
        <v>38</v>
      </c>
      <c r="L562" t="s">
        <v>39</v>
      </c>
      <c r="M562" t="s">
        <v>81</v>
      </c>
      <c r="N562" s="2">
        <v>45572.754363425927</v>
      </c>
      <c r="O562" s="2">
        <v>45856.166666666664</v>
      </c>
      <c r="P562" s="2">
        <v>45828.166666666664</v>
      </c>
      <c r="Q562" s="2">
        <v>45825</v>
      </c>
      <c r="R562" s="2">
        <v>45825.842340868054</v>
      </c>
      <c r="S562" t="s">
        <v>702</v>
      </c>
      <c r="T562" s="2">
        <v>45772.166666666664</v>
      </c>
      <c r="U562" s="2">
        <v>45779.166666666664</v>
      </c>
      <c r="V562" s="2">
        <v>45782.166666666664</v>
      </c>
      <c r="W562" s="2">
        <v>45785.166666666664</v>
      </c>
      <c r="X562" s="3">
        <f t="shared" si="80"/>
        <v>7</v>
      </c>
      <c r="Y562">
        <f t="shared" si="81"/>
        <v>3</v>
      </c>
      <c r="Z562">
        <f t="shared" si="82"/>
        <v>10</v>
      </c>
      <c r="AA562">
        <f t="shared" si="83"/>
        <v>252.24563657407271</v>
      </c>
      <c r="AB562">
        <f t="shared" si="84"/>
        <v>242.24563657407271</v>
      </c>
      <c r="AC562">
        <f>IFERROR(_xlfn.XLOOKUP(B562, HoldSummary!$A:$A, HoldSummary!B:B), 0)</f>
        <v>19</v>
      </c>
      <c r="AD562">
        <f>IFERROR(_xlfn.XLOOKUP(B562, HoldSummary!$A:$A, HoldSummary!C:C), 0)</f>
        <v>0</v>
      </c>
      <c r="AE562">
        <f>IFERROR(_xlfn.XLOOKUP(B562, HoldSummary!$A:$A, HoldSummary!D:D), 0)</f>
        <v>15</v>
      </c>
      <c r="AF562">
        <f>IFERROR(_xlfn.XLOOKUP(B562, HoldSummary!$A:$A, HoldSummary!E:E), 0)</f>
        <v>0</v>
      </c>
      <c r="AG562">
        <f>IFERROR(_xlfn.XLOOKUP(B562, HoldSummary!$A:$A, HoldSummary!F:F), 0)</f>
        <v>0</v>
      </c>
      <c r="AH562">
        <f>IFERROR(_xlfn.XLOOKUP(B562, HoldSummary!$A:$A, HoldSummary!G:G), 0)</f>
        <v>3</v>
      </c>
      <c r="AI562">
        <f>IFERROR(_xlfn.XLOOKUP(B562, HoldSummary!$A:$A, HoldSummary!H:H), 0)</f>
        <v>0</v>
      </c>
      <c r="AJ562">
        <f>IFERROR(_xlfn.XLOOKUP(B562, HoldSummary!$A:$A, HoldSummary!I:I), 0)</f>
        <v>0</v>
      </c>
      <c r="AK562">
        <f t="shared" si="85"/>
        <v>37</v>
      </c>
      <c r="AL562">
        <f t="shared" si="86"/>
        <v>215.24563657407271</v>
      </c>
      <c r="AM562">
        <f t="shared" si="87"/>
        <v>205.24563657407271</v>
      </c>
      <c r="AN562" s="12">
        <f t="shared" si="88"/>
        <v>-31.166666666664241</v>
      </c>
      <c r="AO562">
        <f t="shared" si="89"/>
        <v>1</v>
      </c>
    </row>
    <row r="563" spans="1:41" x14ac:dyDescent="0.35">
      <c r="A563" t="s">
        <v>23</v>
      </c>
      <c r="B563" t="s">
        <v>1285</v>
      </c>
      <c r="C563" t="s">
        <v>76</v>
      </c>
      <c r="D563" t="s">
        <v>44</v>
      </c>
      <c r="E563" t="s">
        <v>27</v>
      </c>
      <c r="F563" t="s">
        <v>28</v>
      </c>
      <c r="H563" t="s">
        <v>1286</v>
      </c>
      <c r="I563" t="s">
        <v>30</v>
      </c>
      <c r="J563" t="s">
        <v>31</v>
      </c>
      <c r="K563" t="s">
        <v>38</v>
      </c>
      <c r="L563" t="s">
        <v>39</v>
      </c>
      <c r="M563" t="s">
        <v>81</v>
      </c>
      <c r="N563" s="2">
        <v>45582.740914351853</v>
      </c>
      <c r="O563" s="2">
        <v>45764.166666666664</v>
      </c>
      <c r="P563" s="2">
        <v>45764.166666666664</v>
      </c>
      <c r="Q563" s="2">
        <v>45741</v>
      </c>
      <c r="R563" s="2">
        <v>45741.775690949071</v>
      </c>
      <c r="T563" s="2"/>
      <c r="U563" s="2"/>
      <c r="V563" s="2"/>
      <c r="W563" s="2"/>
      <c r="X563" s="3" t="str">
        <f t="shared" si="80"/>
        <v/>
      </c>
      <c r="Y563" t="str">
        <f t="shared" si="81"/>
        <v/>
      </c>
      <c r="Z563">
        <f t="shared" si="82"/>
        <v>0</v>
      </c>
      <c r="AA563">
        <f t="shared" si="83"/>
        <v>158.25908564814745</v>
      </c>
      <c r="AB563">
        <f t="shared" si="84"/>
        <v>158.25908564814745</v>
      </c>
      <c r="AC563">
        <f>IFERROR(_xlfn.XLOOKUP(B563, HoldSummary!$A:$A, HoldSummary!B:B), 0)</f>
        <v>16</v>
      </c>
      <c r="AD563">
        <f>IFERROR(_xlfn.XLOOKUP(B563, HoldSummary!$A:$A, HoldSummary!C:C), 0)</f>
        <v>36</v>
      </c>
      <c r="AE563">
        <f>IFERROR(_xlfn.XLOOKUP(B563, HoldSummary!$A:$A, HoldSummary!D:D), 0)</f>
        <v>0</v>
      </c>
      <c r="AF563">
        <f>IFERROR(_xlfn.XLOOKUP(B563, HoldSummary!$A:$A, HoldSummary!E:E), 0)</f>
        <v>0</v>
      </c>
      <c r="AG563">
        <f>IFERROR(_xlfn.XLOOKUP(B563, HoldSummary!$A:$A, HoldSummary!F:F), 0)</f>
        <v>0</v>
      </c>
      <c r="AH563">
        <f>IFERROR(_xlfn.XLOOKUP(B563, HoldSummary!$A:$A, HoldSummary!G:G), 0)</f>
        <v>0</v>
      </c>
      <c r="AI563">
        <f>IFERROR(_xlfn.XLOOKUP(B563, HoldSummary!$A:$A, HoldSummary!H:H), 0)</f>
        <v>0</v>
      </c>
      <c r="AJ563">
        <f>IFERROR(_xlfn.XLOOKUP(B563, HoldSummary!$A:$A, HoldSummary!I:I), 0)</f>
        <v>0</v>
      </c>
      <c r="AK563">
        <f t="shared" si="85"/>
        <v>52</v>
      </c>
      <c r="AL563">
        <f t="shared" si="86"/>
        <v>106.25908564814745</v>
      </c>
      <c r="AM563">
        <f t="shared" si="87"/>
        <v>106.25908564814745</v>
      </c>
      <c r="AN563" s="12">
        <f t="shared" si="88"/>
        <v>-23.166666666664241</v>
      </c>
      <c r="AO563">
        <f t="shared" si="89"/>
        <v>1</v>
      </c>
    </row>
    <row r="564" spans="1:41" x14ac:dyDescent="0.35">
      <c r="A564" t="s">
        <v>23</v>
      </c>
      <c r="B564" t="s">
        <v>1287</v>
      </c>
      <c r="C564" t="s">
        <v>130</v>
      </c>
      <c r="D564" t="s">
        <v>44</v>
      </c>
      <c r="E564" t="s">
        <v>45</v>
      </c>
      <c r="F564" t="s">
        <v>28</v>
      </c>
      <c r="H564" t="s">
        <v>1288</v>
      </c>
      <c r="I564" t="s">
        <v>30</v>
      </c>
      <c r="J564" t="s">
        <v>31</v>
      </c>
      <c r="K564" t="s">
        <v>38</v>
      </c>
      <c r="L564" t="s">
        <v>39</v>
      </c>
      <c r="M564" t="s">
        <v>33</v>
      </c>
      <c r="N564" s="2">
        <v>45589.649062500001</v>
      </c>
      <c r="O564" s="2">
        <v>45789.166666666664</v>
      </c>
      <c r="P564" s="2">
        <v>45749.166666666664</v>
      </c>
      <c r="Q564" s="2">
        <v>45742</v>
      </c>
      <c r="R564" s="2">
        <v>45742.828143379629</v>
      </c>
      <c r="S564" t="s">
        <v>198</v>
      </c>
      <c r="T564" s="2">
        <v>45716.208333333336</v>
      </c>
      <c r="U564" s="2">
        <v>45716.208333333336</v>
      </c>
      <c r="V564" s="2">
        <v>45716.208333333336</v>
      </c>
      <c r="W564" s="2">
        <v>45716.208333333336</v>
      </c>
      <c r="X564" s="3">
        <f t="shared" si="80"/>
        <v>0</v>
      </c>
      <c r="Y564">
        <f t="shared" si="81"/>
        <v>0</v>
      </c>
      <c r="Z564">
        <f t="shared" si="82"/>
        <v>0</v>
      </c>
      <c r="AA564">
        <f t="shared" si="83"/>
        <v>152.35093749999942</v>
      </c>
      <c r="AB564">
        <f t="shared" si="84"/>
        <v>152.35093749999942</v>
      </c>
      <c r="AC564">
        <f>IFERROR(_xlfn.XLOOKUP(B564, HoldSummary!$A:$A, HoldSummary!B:B), 0)</f>
        <v>16</v>
      </c>
      <c r="AD564">
        <f>IFERROR(_xlfn.XLOOKUP(B564, HoldSummary!$A:$A, HoldSummary!C:C), 0)</f>
        <v>0</v>
      </c>
      <c r="AE564">
        <f>IFERROR(_xlfn.XLOOKUP(B564, HoldSummary!$A:$A, HoldSummary!D:D), 0)</f>
        <v>0</v>
      </c>
      <c r="AF564">
        <f>IFERROR(_xlfn.XLOOKUP(B564, HoldSummary!$A:$A, HoldSummary!E:E), 0)</f>
        <v>0</v>
      </c>
      <c r="AG564">
        <f>IFERROR(_xlfn.XLOOKUP(B564, HoldSummary!$A:$A, HoldSummary!F:F), 0)</f>
        <v>0</v>
      </c>
      <c r="AH564">
        <f>IFERROR(_xlfn.XLOOKUP(B564, HoldSummary!$A:$A, HoldSummary!G:G), 0)</f>
        <v>0</v>
      </c>
      <c r="AI564">
        <f>IFERROR(_xlfn.XLOOKUP(B564, HoldSummary!$A:$A, HoldSummary!H:H), 0)</f>
        <v>0</v>
      </c>
      <c r="AJ564">
        <f>IFERROR(_xlfn.XLOOKUP(B564, HoldSummary!$A:$A, HoldSummary!I:I), 0)</f>
        <v>0</v>
      </c>
      <c r="AK564">
        <f t="shared" si="85"/>
        <v>16</v>
      </c>
      <c r="AL564">
        <f t="shared" si="86"/>
        <v>136.35093749999942</v>
      </c>
      <c r="AM564">
        <f t="shared" si="87"/>
        <v>136.35093749999942</v>
      </c>
      <c r="AN564" s="12">
        <f t="shared" si="88"/>
        <v>-47.166666666664241</v>
      </c>
      <c r="AO564">
        <f t="shared" si="89"/>
        <v>1</v>
      </c>
    </row>
    <row r="565" spans="1:41" x14ac:dyDescent="0.35">
      <c r="A565" t="s">
        <v>23</v>
      </c>
      <c r="B565" t="s">
        <v>1289</v>
      </c>
      <c r="C565" t="s">
        <v>130</v>
      </c>
      <c r="D565" t="s">
        <v>44</v>
      </c>
      <c r="E565" t="s">
        <v>45</v>
      </c>
      <c r="F565" t="s">
        <v>28</v>
      </c>
      <c r="H565" t="s">
        <v>1290</v>
      </c>
      <c r="I565" t="s">
        <v>30</v>
      </c>
      <c r="J565" t="s">
        <v>31</v>
      </c>
      <c r="K565" t="s">
        <v>38</v>
      </c>
      <c r="L565" t="s">
        <v>39</v>
      </c>
      <c r="M565" t="s">
        <v>81</v>
      </c>
      <c r="N565" s="2">
        <v>45617.866585648146</v>
      </c>
      <c r="O565" s="2">
        <v>45789.166666666664</v>
      </c>
      <c r="P565" s="2">
        <v>45789.166666666664</v>
      </c>
      <c r="Q565" s="2">
        <v>45768</v>
      </c>
      <c r="R565" s="2">
        <v>45769.566847638889</v>
      </c>
      <c r="S565" t="s">
        <v>93</v>
      </c>
      <c r="T565" s="2">
        <v>45728.166666666664</v>
      </c>
      <c r="U565" s="2">
        <v>45728.166666666664</v>
      </c>
      <c r="V565" s="2">
        <v>45729.166666666664</v>
      </c>
      <c r="W565" s="2">
        <v>45730.166666666664</v>
      </c>
      <c r="X565" s="3">
        <f t="shared" si="80"/>
        <v>0</v>
      </c>
      <c r="Y565">
        <f t="shared" si="81"/>
        <v>1</v>
      </c>
      <c r="Z565">
        <f t="shared" si="82"/>
        <v>1</v>
      </c>
      <c r="AA565">
        <f t="shared" si="83"/>
        <v>150.1334143518543</v>
      </c>
      <c r="AB565">
        <f t="shared" si="84"/>
        <v>149.1334143518543</v>
      </c>
      <c r="AC565">
        <f>IFERROR(_xlfn.XLOOKUP(B565, HoldSummary!$A:$A, HoldSummary!B:B), 0)</f>
        <v>14</v>
      </c>
      <c r="AD565">
        <f>IFERROR(_xlfn.XLOOKUP(B565, HoldSummary!$A:$A, HoldSummary!C:C), 0)</f>
        <v>0</v>
      </c>
      <c r="AE565">
        <f>IFERROR(_xlfn.XLOOKUP(B565, HoldSummary!$A:$A, HoldSummary!D:D), 0)</f>
        <v>0</v>
      </c>
      <c r="AF565">
        <f>IFERROR(_xlfn.XLOOKUP(B565, HoldSummary!$A:$A, HoldSummary!E:E), 0)</f>
        <v>0</v>
      </c>
      <c r="AG565">
        <f>IFERROR(_xlfn.XLOOKUP(B565, HoldSummary!$A:$A, HoldSummary!F:F), 0)</f>
        <v>0</v>
      </c>
      <c r="AH565">
        <f>IFERROR(_xlfn.XLOOKUP(B565, HoldSummary!$A:$A, HoldSummary!G:G), 0)</f>
        <v>0</v>
      </c>
      <c r="AI565">
        <f>IFERROR(_xlfn.XLOOKUP(B565, HoldSummary!$A:$A, HoldSummary!H:H), 0)</f>
        <v>0</v>
      </c>
      <c r="AJ565">
        <f>IFERROR(_xlfn.XLOOKUP(B565, HoldSummary!$A:$A, HoldSummary!I:I), 0)</f>
        <v>0</v>
      </c>
      <c r="AK565">
        <f t="shared" si="85"/>
        <v>14</v>
      </c>
      <c r="AL565">
        <f t="shared" si="86"/>
        <v>136.1334143518543</v>
      </c>
      <c r="AM565">
        <f t="shared" si="87"/>
        <v>135.1334143518543</v>
      </c>
      <c r="AN565" s="12">
        <f t="shared" si="88"/>
        <v>-21.166666666664241</v>
      </c>
      <c r="AO565">
        <f t="shared" si="89"/>
        <v>1</v>
      </c>
    </row>
    <row r="566" spans="1:41" x14ac:dyDescent="0.35">
      <c r="A566" t="s">
        <v>23</v>
      </c>
      <c r="B566" t="s">
        <v>1291</v>
      </c>
      <c r="C566" t="s">
        <v>409</v>
      </c>
      <c r="D566" t="s">
        <v>44</v>
      </c>
      <c r="E566" t="s">
        <v>45</v>
      </c>
      <c r="F566" t="s">
        <v>28</v>
      </c>
      <c r="H566" t="s">
        <v>1292</v>
      </c>
      <c r="I566" t="s">
        <v>30</v>
      </c>
      <c r="J566" t="s">
        <v>31</v>
      </c>
      <c r="K566" t="s">
        <v>38</v>
      </c>
      <c r="L566" t="s">
        <v>39</v>
      </c>
      <c r="M566" t="s">
        <v>33</v>
      </c>
      <c r="N566" s="2">
        <v>45630.841550925928</v>
      </c>
      <c r="O566" s="2">
        <v>45835.166666666664</v>
      </c>
      <c r="P566" s="2">
        <v>45835.166666666664</v>
      </c>
      <c r="Q566" s="2">
        <v>45825</v>
      </c>
      <c r="R566" s="2">
        <v>45826.621427858794</v>
      </c>
      <c r="S566" t="s">
        <v>702</v>
      </c>
      <c r="T566" s="2">
        <v>45762.166666666664</v>
      </c>
      <c r="U566" s="2">
        <v>45762.166666666664</v>
      </c>
      <c r="V566" s="2">
        <v>45762.166666666664</v>
      </c>
      <c r="W566" s="2">
        <v>45769.166666666664</v>
      </c>
      <c r="X566" s="3">
        <f t="shared" si="80"/>
        <v>0</v>
      </c>
      <c r="Y566">
        <f t="shared" si="81"/>
        <v>7</v>
      </c>
      <c r="Z566">
        <f t="shared" si="82"/>
        <v>7</v>
      </c>
      <c r="AA566">
        <f t="shared" si="83"/>
        <v>194.15844907407154</v>
      </c>
      <c r="AB566">
        <f t="shared" si="84"/>
        <v>187.15844907407154</v>
      </c>
      <c r="AC566">
        <f>IFERROR(_xlfn.XLOOKUP(B566, HoldSummary!$A:$A, HoldSummary!B:B), 0)</f>
        <v>0</v>
      </c>
      <c r="AD566">
        <f>IFERROR(_xlfn.XLOOKUP(B566, HoldSummary!$A:$A, HoldSummary!C:C), 0)</f>
        <v>0</v>
      </c>
      <c r="AE566">
        <f>IFERROR(_xlfn.XLOOKUP(B566, HoldSummary!$A:$A, HoldSummary!D:D), 0)</f>
        <v>0</v>
      </c>
      <c r="AF566">
        <f>IFERROR(_xlfn.XLOOKUP(B566, HoldSummary!$A:$A, HoldSummary!E:E), 0)</f>
        <v>0</v>
      </c>
      <c r="AG566">
        <f>IFERROR(_xlfn.XLOOKUP(B566, HoldSummary!$A:$A, HoldSummary!F:F), 0)</f>
        <v>0</v>
      </c>
      <c r="AH566">
        <f>IFERROR(_xlfn.XLOOKUP(B566, HoldSummary!$A:$A, HoldSummary!G:G), 0)</f>
        <v>0</v>
      </c>
      <c r="AI566">
        <f>IFERROR(_xlfn.XLOOKUP(B566, HoldSummary!$A:$A, HoldSummary!H:H), 0)</f>
        <v>0</v>
      </c>
      <c r="AJ566">
        <f>IFERROR(_xlfn.XLOOKUP(B566, HoldSummary!$A:$A, HoldSummary!I:I), 0)</f>
        <v>0</v>
      </c>
      <c r="AK566">
        <f t="shared" si="85"/>
        <v>0</v>
      </c>
      <c r="AL566">
        <f t="shared" si="86"/>
        <v>194.15844907407154</v>
      </c>
      <c r="AM566">
        <f t="shared" si="87"/>
        <v>187.15844907407154</v>
      </c>
      <c r="AN566" s="12">
        <f t="shared" si="88"/>
        <v>-10.166666666664241</v>
      </c>
      <c r="AO566">
        <f t="shared" si="89"/>
        <v>1</v>
      </c>
    </row>
    <row r="567" spans="1:41" x14ac:dyDescent="0.35">
      <c r="A567" t="s">
        <v>23</v>
      </c>
      <c r="B567" t="s">
        <v>1293</v>
      </c>
      <c r="C567" t="s">
        <v>36</v>
      </c>
      <c r="D567" t="s">
        <v>44</v>
      </c>
      <c r="E567" t="s">
        <v>45</v>
      </c>
      <c r="F567" t="s">
        <v>28</v>
      </c>
      <c r="H567" t="s">
        <v>1294</v>
      </c>
      <c r="I567" t="s">
        <v>30</v>
      </c>
      <c r="J567" t="s">
        <v>31</v>
      </c>
      <c r="K567" t="s">
        <v>48</v>
      </c>
      <c r="L567" t="s">
        <v>695</v>
      </c>
      <c r="N567" s="2">
        <v>45646.69840277778</v>
      </c>
      <c r="O567" s="2">
        <v>45674.208333333336</v>
      </c>
      <c r="P567" s="2">
        <v>45674.208333333336</v>
      </c>
      <c r="Q567" s="2">
        <v>45672</v>
      </c>
      <c r="R567" s="2">
        <v>45673.78982528935</v>
      </c>
      <c r="S567" t="s">
        <v>115</v>
      </c>
      <c r="T567" s="2">
        <v>45664.208333333336</v>
      </c>
      <c r="U567" s="2">
        <v>45665.208333333336</v>
      </c>
      <c r="V567" s="2">
        <v>45665.208333333336</v>
      </c>
      <c r="W567" s="2">
        <v>45665.208333333336</v>
      </c>
      <c r="X567" s="3">
        <f t="shared" si="80"/>
        <v>1</v>
      </c>
      <c r="Y567">
        <f t="shared" si="81"/>
        <v>0</v>
      </c>
      <c r="Z567">
        <f t="shared" si="82"/>
        <v>1</v>
      </c>
      <c r="AA567">
        <f t="shared" si="83"/>
        <v>25.301597222220153</v>
      </c>
      <c r="AB567">
        <f t="shared" si="84"/>
        <v>24.301597222220153</v>
      </c>
      <c r="AC567">
        <f>IFERROR(_xlfn.XLOOKUP(B567, HoldSummary!$A:$A, HoldSummary!B:B), 0)</f>
        <v>0</v>
      </c>
      <c r="AD567">
        <f>IFERROR(_xlfn.XLOOKUP(B567, HoldSummary!$A:$A, HoldSummary!C:C), 0)</f>
        <v>0</v>
      </c>
      <c r="AE567">
        <f>IFERROR(_xlfn.XLOOKUP(B567, HoldSummary!$A:$A, HoldSummary!D:D), 0)</f>
        <v>0</v>
      </c>
      <c r="AF567">
        <f>IFERROR(_xlfn.XLOOKUP(B567, HoldSummary!$A:$A, HoldSummary!E:E), 0)</f>
        <v>0</v>
      </c>
      <c r="AG567">
        <f>IFERROR(_xlfn.XLOOKUP(B567, HoldSummary!$A:$A, HoldSummary!F:F), 0)</f>
        <v>0</v>
      </c>
      <c r="AH567">
        <f>IFERROR(_xlfn.XLOOKUP(B567, HoldSummary!$A:$A, HoldSummary!G:G), 0)</f>
        <v>0</v>
      </c>
      <c r="AI567">
        <f>IFERROR(_xlfn.XLOOKUP(B567, HoldSummary!$A:$A, HoldSummary!H:H), 0)</f>
        <v>0</v>
      </c>
      <c r="AJ567">
        <f>IFERROR(_xlfn.XLOOKUP(B567, HoldSummary!$A:$A, HoldSummary!I:I), 0)</f>
        <v>0</v>
      </c>
      <c r="AK567">
        <f t="shared" si="85"/>
        <v>0</v>
      </c>
      <c r="AL567">
        <f t="shared" si="86"/>
        <v>25.301597222220153</v>
      </c>
      <c r="AM567">
        <f t="shared" si="87"/>
        <v>24.301597222220153</v>
      </c>
      <c r="AN567" s="12">
        <f t="shared" si="88"/>
        <v>-2.2083333333357587</v>
      </c>
      <c r="AO567">
        <f t="shared" si="89"/>
        <v>1</v>
      </c>
    </row>
    <row r="568" spans="1:41" x14ac:dyDescent="0.35">
      <c r="A568" t="s">
        <v>23</v>
      </c>
      <c r="B568" t="s">
        <v>1295</v>
      </c>
      <c r="C568" t="s">
        <v>409</v>
      </c>
      <c r="D568" t="s">
        <v>44</v>
      </c>
      <c r="E568" t="s">
        <v>45</v>
      </c>
      <c r="F568" t="s">
        <v>28</v>
      </c>
      <c r="H568" t="s">
        <v>1296</v>
      </c>
      <c r="I568" t="s">
        <v>30</v>
      </c>
      <c r="J568" t="s">
        <v>31</v>
      </c>
      <c r="K568" t="s">
        <v>48</v>
      </c>
      <c r="L568" t="s">
        <v>49</v>
      </c>
      <c r="M568" t="s">
        <v>33</v>
      </c>
      <c r="N568" s="2">
        <v>45611.831631944442</v>
      </c>
      <c r="O568" s="2">
        <v>45744.166666666664</v>
      </c>
      <c r="P568" s="2">
        <v>45838.166666666664</v>
      </c>
      <c r="Q568" s="2">
        <v>45832</v>
      </c>
      <c r="R568" s="2">
        <v>45833.771929884257</v>
      </c>
      <c r="S568" t="s">
        <v>702</v>
      </c>
      <c r="T568" s="2">
        <v>45694.208333333336</v>
      </c>
      <c r="U568" s="2">
        <v>45700.208333333336</v>
      </c>
      <c r="V568" s="2">
        <v>45700.208333333336</v>
      </c>
      <c r="W568" s="2">
        <v>45708.208333333336</v>
      </c>
      <c r="X568" s="3">
        <f t="shared" si="80"/>
        <v>6</v>
      </c>
      <c r="Y568">
        <f t="shared" si="81"/>
        <v>8</v>
      </c>
      <c r="Z568">
        <f t="shared" si="82"/>
        <v>14</v>
      </c>
      <c r="AA568">
        <f t="shared" si="83"/>
        <v>220.16836805555795</v>
      </c>
      <c r="AB568">
        <f t="shared" si="84"/>
        <v>206.16836805555795</v>
      </c>
      <c r="AC568">
        <f>IFERROR(_xlfn.XLOOKUP(B568, HoldSummary!$A:$A, HoldSummary!B:B), 0)</f>
        <v>20.849426967593899</v>
      </c>
      <c r="AD568">
        <f>IFERROR(_xlfn.XLOOKUP(B568, HoldSummary!$A:$A, HoldSummary!C:C), 0)</f>
        <v>0</v>
      </c>
      <c r="AE568">
        <f>IFERROR(_xlfn.XLOOKUP(B568, HoldSummary!$A:$A, HoldSummary!D:D), 0)</f>
        <v>0</v>
      </c>
      <c r="AF568">
        <f>IFERROR(_xlfn.XLOOKUP(B568, HoldSummary!$A:$A, HoldSummary!E:E), 0)</f>
        <v>0</v>
      </c>
      <c r="AG568">
        <f>IFERROR(_xlfn.XLOOKUP(B568, HoldSummary!$A:$A, HoldSummary!F:F), 0)</f>
        <v>0</v>
      </c>
      <c r="AH568">
        <f>IFERROR(_xlfn.XLOOKUP(B568, HoldSummary!$A:$A, HoldSummary!G:G), 0)</f>
        <v>0</v>
      </c>
      <c r="AI568">
        <f>IFERROR(_xlfn.XLOOKUP(B568, HoldSummary!$A:$A, HoldSummary!H:H), 0)</f>
        <v>0</v>
      </c>
      <c r="AJ568">
        <f>IFERROR(_xlfn.XLOOKUP(B568, HoldSummary!$A:$A, HoldSummary!I:I), 0)</f>
        <v>0</v>
      </c>
      <c r="AK568">
        <f t="shared" si="85"/>
        <v>20.849426967593899</v>
      </c>
      <c r="AL568">
        <f t="shared" si="86"/>
        <v>199.31894108796405</v>
      </c>
      <c r="AM568">
        <f t="shared" si="87"/>
        <v>185.31894108796405</v>
      </c>
      <c r="AN568" s="12">
        <f t="shared" si="88"/>
        <v>87.833333333335759</v>
      </c>
      <c r="AO568">
        <f t="shared" si="89"/>
        <v>0</v>
      </c>
    </row>
    <row r="569" spans="1:41" x14ac:dyDescent="0.35">
      <c r="A569" t="s">
        <v>23</v>
      </c>
      <c r="B569" t="s">
        <v>1297</v>
      </c>
      <c r="C569" t="s">
        <v>409</v>
      </c>
      <c r="D569" t="s">
        <v>44</v>
      </c>
      <c r="E569" t="s">
        <v>45</v>
      </c>
      <c r="F569" t="s">
        <v>28</v>
      </c>
      <c r="H569" t="s">
        <v>1298</v>
      </c>
      <c r="I569" t="s">
        <v>30</v>
      </c>
      <c r="J569" t="s">
        <v>31</v>
      </c>
      <c r="K569" t="s">
        <v>48</v>
      </c>
      <c r="L569" t="s">
        <v>49</v>
      </c>
      <c r="M569" t="s">
        <v>33</v>
      </c>
      <c r="N569" s="2">
        <v>45614.60428240741</v>
      </c>
      <c r="O569" s="2">
        <v>45744.166666666664</v>
      </c>
      <c r="P569" s="2">
        <v>45838.166666666664</v>
      </c>
      <c r="Q569" s="2">
        <v>45832</v>
      </c>
      <c r="R569" s="2">
        <v>45833.779009108795</v>
      </c>
      <c r="S569" t="s">
        <v>702</v>
      </c>
      <c r="T569" s="2">
        <v>45694.208333333336</v>
      </c>
      <c r="U569" s="2">
        <v>45700.208333333336</v>
      </c>
      <c r="V569" s="2">
        <v>45700.208333333336</v>
      </c>
      <c r="W569" s="2">
        <v>45708.208333333336</v>
      </c>
      <c r="X569" s="3">
        <f t="shared" si="80"/>
        <v>6</v>
      </c>
      <c r="Y569">
        <f t="shared" si="81"/>
        <v>8</v>
      </c>
      <c r="Z569">
        <f t="shared" si="82"/>
        <v>14</v>
      </c>
      <c r="AA569">
        <f t="shared" si="83"/>
        <v>217.39571759258979</v>
      </c>
      <c r="AB569">
        <f t="shared" si="84"/>
        <v>203.39571759258979</v>
      </c>
      <c r="AC569">
        <f>IFERROR(_xlfn.XLOOKUP(B569, HoldSummary!$A:$A, HoldSummary!B:B), 0)</f>
        <v>20.850135231477907</v>
      </c>
      <c r="AD569">
        <f>IFERROR(_xlfn.XLOOKUP(B569, HoldSummary!$A:$A, HoldSummary!C:C), 0)</f>
        <v>0</v>
      </c>
      <c r="AE569">
        <f>IFERROR(_xlfn.XLOOKUP(B569, HoldSummary!$A:$A, HoldSummary!D:D), 0)</f>
        <v>0</v>
      </c>
      <c r="AF569">
        <f>IFERROR(_xlfn.XLOOKUP(B569, HoldSummary!$A:$A, HoldSummary!E:E), 0)</f>
        <v>0</v>
      </c>
      <c r="AG569">
        <f>IFERROR(_xlfn.XLOOKUP(B569, HoldSummary!$A:$A, HoldSummary!F:F), 0)</f>
        <v>0</v>
      </c>
      <c r="AH569">
        <f>IFERROR(_xlfn.XLOOKUP(B569, HoldSummary!$A:$A, HoldSummary!G:G), 0)</f>
        <v>0</v>
      </c>
      <c r="AI569">
        <f>IFERROR(_xlfn.XLOOKUP(B569, HoldSummary!$A:$A, HoldSummary!H:H), 0)</f>
        <v>0</v>
      </c>
      <c r="AJ569">
        <f>IFERROR(_xlfn.XLOOKUP(B569, HoldSummary!$A:$A, HoldSummary!I:I), 0)</f>
        <v>0</v>
      </c>
      <c r="AK569">
        <f t="shared" si="85"/>
        <v>20.850135231477907</v>
      </c>
      <c r="AL569">
        <f t="shared" si="86"/>
        <v>196.54558236111188</v>
      </c>
      <c r="AM569">
        <f t="shared" si="87"/>
        <v>182.54558236111188</v>
      </c>
      <c r="AN569" s="12">
        <f t="shared" si="88"/>
        <v>87.833333333335759</v>
      </c>
      <c r="AO569">
        <f t="shared" si="89"/>
        <v>0</v>
      </c>
    </row>
    <row r="570" spans="1:41" x14ac:dyDescent="0.35">
      <c r="A570" t="s">
        <v>23</v>
      </c>
      <c r="B570" t="s">
        <v>1299</v>
      </c>
      <c r="C570" t="s">
        <v>36</v>
      </c>
      <c r="D570" t="s">
        <v>44</v>
      </c>
      <c r="E570" t="s">
        <v>45</v>
      </c>
      <c r="F570" t="s">
        <v>28</v>
      </c>
      <c r="H570" t="s">
        <v>1300</v>
      </c>
      <c r="I570" t="s">
        <v>30</v>
      </c>
      <c r="J570" t="s">
        <v>300</v>
      </c>
      <c r="K570" t="s">
        <v>38</v>
      </c>
      <c r="L570" t="s">
        <v>39</v>
      </c>
      <c r="M570" t="s">
        <v>33</v>
      </c>
      <c r="N570" s="2">
        <v>45660.689293981479</v>
      </c>
      <c r="O570" s="2">
        <v>45692.208333333336</v>
      </c>
      <c r="P570" s="2">
        <v>45692.208333333336</v>
      </c>
      <c r="Q570" s="2">
        <v>45687</v>
      </c>
      <c r="R570" s="2">
        <v>45687.897633958331</v>
      </c>
      <c r="T570" s="2"/>
      <c r="U570" s="2"/>
      <c r="V570" s="2"/>
      <c r="W570" s="2"/>
      <c r="X570" s="3" t="str">
        <f t="shared" si="80"/>
        <v/>
      </c>
      <c r="Y570" t="str">
        <f t="shared" si="81"/>
        <v/>
      </c>
      <c r="Z570">
        <f t="shared" si="82"/>
        <v>0</v>
      </c>
      <c r="AA570">
        <f t="shared" si="83"/>
        <v>26.310706018521159</v>
      </c>
      <c r="AB570">
        <f t="shared" si="84"/>
        <v>26.310706018521159</v>
      </c>
      <c r="AC570">
        <f>IFERROR(_xlfn.XLOOKUP(B570, HoldSummary!$A:$A, HoldSummary!B:B), 0)</f>
        <v>0</v>
      </c>
      <c r="AD570">
        <f>IFERROR(_xlfn.XLOOKUP(B570, HoldSummary!$A:$A, HoldSummary!C:C), 0)</f>
        <v>0</v>
      </c>
      <c r="AE570">
        <f>IFERROR(_xlfn.XLOOKUP(B570, HoldSummary!$A:$A, HoldSummary!D:D), 0)</f>
        <v>0</v>
      </c>
      <c r="AF570">
        <f>IFERROR(_xlfn.XLOOKUP(B570, HoldSummary!$A:$A, HoldSummary!E:E), 0)</f>
        <v>0</v>
      </c>
      <c r="AG570">
        <f>IFERROR(_xlfn.XLOOKUP(B570, HoldSummary!$A:$A, HoldSummary!F:F), 0)</f>
        <v>0</v>
      </c>
      <c r="AH570">
        <f>IFERROR(_xlfn.XLOOKUP(B570, HoldSummary!$A:$A, HoldSummary!G:G), 0)</f>
        <v>0</v>
      </c>
      <c r="AI570">
        <f>IFERROR(_xlfn.XLOOKUP(B570, HoldSummary!$A:$A, HoldSummary!H:H), 0)</f>
        <v>0</v>
      </c>
      <c r="AJ570">
        <f>IFERROR(_xlfn.XLOOKUP(B570, HoldSummary!$A:$A, HoldSummary!I:I), 0)</f>
        <v>0</v>
      </c>
      <c r="AK570">
        <f t="shared" si="85"/>
        <v>0</v>
      </c>
      <c r="AL570">
        <f t="shared" si="86"/>
        <v>26.310706018521159</v>
      </c>
      <c r="AM570">
        <f t="shared" si="87"/>
        <v>26.310706018521159</v>
      </c>
      <c r="AN570" s="12">
        <f t="shared" si="88"/>
        <v>-5.2083333333357587</v>
      </c>
      <c r="AO570">
        <f t="shared" si="89"/>
        <v>1</v>
      </c>
    </row>
    <row r="571" spans="1:41" x14ac:dyDescent="0.35">
      <c r="A571" t="s">
        <v>23</v>
      </c>
      <c r="B571" t="s">
        <v>1301</v>
      </c>
      <c r="C571" t="s">
        <v>36</v>
      </c>
      <c r="D571" t="s">
        <v>44</v>
      </c>
      <c r="E571" t="s">
        <v>45</v>
      </c>
      <c r="F571" t="s">
        <v>28</v>
      </c>
      <c r="H571" t="s">
        <v>1302</v>
      </c>
      <c r="I571" t="s">
        <v>30</v>
      </c>
      <c r="J571" t="s">
        <v>70</v>
      </c>
      <c r="K571" t="s">
        <v>38</v>
      </c>
      <c r="L571" t="s">
        <v>39</v>
      </c>
      <c r="M571" t="s">
        <v>33</v>
      </c>
      <c r="N571" s="2">
        <v>45637.58084490741</v>
      </c>
      <c r="O571" s="2">
        <v>45712.208333333336</v>
      </c>
      <c r="P571" s="2">
        <v>45712.208333333336</v>
      </c>
      <c r="Q571" s="2">
        <v>45692</v>
      </c>
      <c r="R571" s="2">
        <v>45693.68411234954</v>
      </c>
      <c r="T571" s="2"/>
      <c r="U571" s="2"/>
      <c r="V571" s="2"/>
      <c r="W571" s="2"/>
      <c r="X571" s="3" t="str">
        <f t="shared" si="80"/>
        <v/>
      </c>
      <c r="Y571" t="str">
        <f t="shared" si="81"/>
        <v/>
      </c>
      <c r="Z571">
        <f t="shared" si="82"/>
        <v>0</v>
      </c>
      <c r="AA571">
        <f t="shared" si="83"/>
        <v>54.41915509258979</v>
      </c>
      <c r="AB571">
        <f t="shared" si="84"/>
        <v>54.41915509258979</v>
      </c>
      <c r="AC571">
        <f>IFERROR(_xlfn.XLOOKUP(B571, HoldSummary!$A:$A, HoldSummary!B:B), 0)</f>
        <v>0</v>
      </c>
      <c r="AD571">
        <f>IFERROR(_xlfn.XLOOKUP(B571, HoldSummary!$A:$A, HoldSummary!C:C), 0)</f>
        <v>0</v>
      </c>
      <c r="AE571">
        <f>IFERROR(_xlfn.XLOOKUP(B571, HoldSummary!$A:$A, HoldSummary!D:D), 0)</f>
        <v>0</v>
      </c>
      <c r="AF571">
        <f>IFERROR(_xlfn.XLOOKUP(B571, HoldSummary!$A:$A, HoldSummary!E:E), 0)</f>
        <v>0</v>
      </c>
      <c r="AG571">
        <f>IFERROR(_xlfn.XLOOKUP(B571, HoldSummary!$A:$A, HoldSummary!F:F), 0)</f>
        <v>0</v>
      </c>
      <c r="AH571">
        <f>IFERROR(_xlfn.XLOOKUP(B571, HoldSummary!$A:$A, HoldSummary!G:G), 0)</f>
        <v>0</v>
      </c>
      <c r="AI571">
        <f>IFERROR(_xlfn.XLOOKUP(B571, HoldSummary!$A:$A, HoldSummary!H:H), 0)</f>
        <v>0</v>
      </c>
      <c r="AJ571">
        <f>IFERROR(_xlfn.XLOOKUP(B571, HoldSummary!$A:$A, HoldSummary!I:I), 0)</f>
        <v>0</v>
      </c>
      <c r="AK571">
        <f t="shared" si="85"/>
        <v>0</v>
      </c>
      <c r="AL571">
        <f t="shared" si="86"/>
        <v>54.41915509258979</v>
      </c>
      <c r="AM571">
        <f t="shared" si="87"/>
        <v>54.41915509258979</v>
      </c>
      <c r="AN571" s="12">
        <f t="shared" si="88"/>
        <v>-20.208333333335759</v>
      </c>
      <c r="AO571">
        <f t="shared" si="89"/>
        <v>1</v>
      </c>
    </row>
    <row r="572" spans="1:41" x14ac:dyDescent="0.35">
      <c r="A572" t="s">
        <v>23</v>
      </c>
      <c r="B572" t="s">
        <v>1303</v>
      </c>
      <c r="C572" t="s">
        <v>36</v>
      </c>
      <c r="D572" t="s">
        <v>44</v>
      </c>
      <c r="E572" t="s">
        <v>45</v>
      </c>
      <c r="F572" t="s">
        <v>28</v>
      </c>
      <c r="H572" t="s">
        <v>1304</v>
      </c>
      <c r="I572" t="s">
        <v>30</v>
      </c>
      <c r="J572" t="s">
        <v>31</v>
      </c>
      <c r="K572" t="s">
        <v>38</v>
      </c>
      <c r="L572" t="s">
        <v>39</v>
      </c>
      <c r="N572" s="2">
        <v>45664.756203703706</v>
      </c>
      <c r="O572" s="2">
        <v>45719.208333333336</v>
      </c>
      <c r="P572" s="2">
        <v>45730.166666666664</v>
      </c>
      <c r="Q572" s="2">
        <v>45726</v>
      </c>
      <c r="R572" s="2">
        <v>45726.85232957176</v>
      </c>
      <c r="T572" s="2"/>
      <c r="U572" s="2"/>
      <c r="V572" s="2"/>
      <c r="W572" s="2"/>
      <c r="X572" s="3" t="str">
        <f t="shared" si="80"/>
        <v/>
      </c>
      <c r="Y572" t="str">
        <f t="shared" si="81"/>
        <v/>
      </c>
      <c r="Z572">
        <f t="shared" si="82"/>
        <v>0</v>
      </c>
      <c r="AA572">
        <f t="shared" si="83"/>
        <v>61.243796296294022</v>
      </c>
      <c r="AB572">
        <f t="shared" si="84"/>
        <v>61.243796296294022</v>
      </c>
      <c r="AC572">
        <f>IFERROR(_xlfn.XLOOKUP(B572, HoldSummary!$A:$A, HoldSummary!B:B), 0)</f>
        <v>0</v>
      </c>
      <c r="AD572">
        <f>IFERROR(_xlfn.XLOOKUP(B572, HoldSummary!$A:$A, HoldSummary!C:C), 0)</f>
        <v>0</v>
      </c>
      <c r="AE572">
        <f>IFERROR(_xlfn.XLOOKUP(B572, HoldSummary!$A:$A, HoldSummary!D:D), 0)</f>
        <v>0</v>
      </c>
      <c r="AF572">
        <f>IFERROR(_xlfn.XLOOKUP(B572, HoldSummary!$A:$A, HoldSummary!E:E), 0)</f>
        <v>0</v>
      </c>
      <c r="AG572">
        <f>IFERROR(_xlfn.XLOOKUP(B572, HoldSummary!$A:$A, HoldSummary!F:F), 0)</f>
        <v>0</v>
      </c>
      <c r="AH572">
        <f>IFERROR(_xlfn.XLOOKUP(B572, HoldSummary!$A:$A, HoldSummary!G:G), 0)</f>
        <v>0</v>
      </c>
      <c r="AI572">
        <f>IFERROR(_xlfn.XLOOKUP(B572, HoldSummary!$A:$A, HoldSummary!H:H), 0)</f>
        <v>0</v>
      </c>
      <c r="AJ572">
        <f>IFERROR(_xlfn.XLOOKUP(B572, HoldSummary!$A:$A, HoldSummary!I:I), 0)</f>
        <v>0</v>
      </c>
      <c r="AK572">
        <f t="shared" si="85"/>
        <v>0</v>
      </c>
      <c r="AL572">
        <f t="shared" si="86"/>
        <v>61.243796296294022</v>
      </c>
      <c r="AM572">
        <f t="shared" si="87"/>
        <v>61.243796296294022</v>
      </c>
      <c r="AN572" s="12">
        <f t="shared" si="88"/>
        <v>6.7916666666642413</v>
      </c>
      <c r="AO572">
        <f t="shared" si="89"/>
        <v>0</v>
      </c>
    </row>
    <row r="573" spans="1:41" x14ac:dyDescent="0.35">
      <c r="A573" t="s">
        <v>23</v>
      </c>
      <c r="B573" t="s">
        <v>1305</v>
      </c>
      <c r="C573" t="s">
        <v>135</v>
      </c>
      <c r="D573" t="s">
        <v>44</v>
      </c>
      <c r="E573" t="s">
        <v>45</v>
      </c>
      <c r="F573" t="s">
        <v>28</v>
      </c>
      <c r="H573" t="s">
        <v>1306</v>
      </c>
      <c r="I573" t="s">
        <v>30</v>
      </c>
      <c r="J573" t="s">
        <v>31</v>
      </c>
      <c r="K573" t="s">
        <v>32</v>
      </c>
      <c r="L573" t="s">
        <v>32</v>
      </c>
      <c r="M573" t="s">
        <v>81</v>
      </c>
      <c r="N573" s="2">
        <v>45611.38863425926</v>
      </c>
      <c r="O573" s="2">
        <v>45765.166666666664</v>
      </c>
      <c r="P573" s="2">
        <v>45749.166666666664</v>
      </c>
      <c r="Q573" s="2">
        <v>45749</v>
      </c>
      <c r="R573" s="2">
        <v>45750.093255844906</v>
      </c>
      <c r="S573" t="s">
        <v>745</v>
      </c>
      <c r="T573" s="2">
        <v>45680.208333333336</v>
      </c>
      <c r="U573" s="2">
        <v>45680.208333333336</v>
      </c>
      <c r="V573" s="2">
        <v>45680.208333333336</v>
      </c>
      <c r="W573" s="2">
        <v>45686.208333333336</v>
      </c>
      <c r="X573" s="3">
        <f t="shared" si="80"/>
        <v>0</v>
      </c>
      <c r="Y573">
        <f t="shared" si="81"/>
        <v>6</v>
      </c>
      <c r="Z573">
        <f t="shared" si="82"/>
        <v>6</v>
      </c>
      <c r="AA573">
        <f t="shared" si="83"/>
        <v>137.61136574074044</v>
      </c>
      <c r="AB573">
        <f t="shared" si="84"/>
        <v>131.61136574074044</v>
      </c>
      <c r="AC573">
        <f>IFERROR(_xlfn.XLOOKUP(B573, HoldSummary!$A:$A, HoldSummary!B:B), 0)</f>
        <v>0</v>
      </c>
      <c r="AD573">
        <f>IFERROR(_xlfn.XLOOKUP(B573, HoldSummary!$A:$A, HoldSummary!C:C), 0)</f>
        <v>0</v>
      </c>
      <c r="AE573">
        <f>IFERROR(_xlfn.XLOOKUP(B573, HoldSummary!$A:$A, HoldSummary!D:D), 0)</f>
        <v>0</v>
      </c>
      <c r="AF573">
        <f>IFERROR(_xlfn.XLOOKUP(B573, HoldSummary!$A:$A, HoldSummary!E:E), 0)</f>
        <v>0</v>
      </c>
      <c r="AG573">
        <f>IFERROR(_xlfn.XLOOKUP(B573, HoldSummary!$A:$A, HoldSummary!F:F), 0)</f>
        <v>0</v>
      </c>
      <c r="AH573">
        <f>IFERROR(_xlfn.XLOOKUP(B573, HoldSummary!$A:$A, HoldSummary!G:G), 0)</f>
        <v>0</v>
      </c>
      <c r="AI573">
        <f>IFERROR(_xlfn.XLOOKUP(B573, HoldSummary!$A:$A, HoldSummary!H:H), 0)</f>
        <v>0</v>
      </c>
      <c r="AJ573">
        <f>IFERROR(_xlfn.XLOOKUP(B573, HoldSummary!$A:$A, HoldSummary!I:I), 0)</f>
        <v>3</v>
      </c>
      <c r="AK573">
        <f t="shared" si="85"/>
        <v>3</v>
      </c>
      <c r="AL573">
        <f t="shared" si="86"/>
        <v>134.61136574074044</v>
      </c>
      <c r="AM573">
        <f t="shared" si="87"/>
        <v>128.61136574074044</v>
      </c>
      <c r="AN573" s="12">
        <f t="shared" si="88"/>
        <v>-16.166666666664241</v>
      </c>
      <c r="AO573">
        <f t="shared" si="89"/>
        <v>1</v>
      </c>
    </row>
    <row r="574" spans="1:41" x14ac:dyDescent="0.35">
      <c r="A574" t="s">
        <v>23</v>
      </c>
      <c r="B574" t="s">
        <v>1307</v>
      </c>
      <c r="C574" t="s">
        <v>54</v>
      </c>
      <c r="D574" t="s">
        <v>44</v>
      </c>
      <c r="E574" t="s">
        <v>45</v>
      </c>
      <c r="F574" t="s">
        <v>28</v>
      </c>
      <c r="H574" t="s">
        <v>1308</v>
      </c>
      <c r="I574" t="s">
        <v>30</v>
      </c>
      <c r="J574" t="s">
        <v>70</v>
      </c>
      <c r="K574" t="s">
        <v>174</v>
      </c>
      <c r="L574" t="s">
        <v>174</v>
      </c>
      <c r="M574" t="s">
        <v>33</v>
      </c>
      <c r="N574" s="2">
        <v>45629.690925925926</v>
      </c>
      <c r="O574" s="2">
        <v>45741.166666666664</v>
      </c>
      <c r="P574" s="2">
        <v>45741.166666666664</v>
      </c>
      <c r="Q574" s="2">
        <v>45747</v>
      </c>
      <c r="R574" s="2">
        <v>45747.776347349536</v>
      </c>
      <c r="S574" t="s">
        <v>162</v>
      </c>
      <c r="T574" s="2">
        <v>45742.166666666664</v>
      </c>
      <c r="U574" s="2">
        <v>45742.166666666664</v>
      </c>
      <c r="V574" s="2">
        <v>45742.166666666664</v>
      </c>
      <c r="W574" s="2">
        <v>45743.166666666664</v>
      </c>
      <c r="X574" s="3">
        <f t="shared" si="80"/>
        <v>0</v>
      </c>
      <c r="Y574">
        <f t="shared" si="81"/>
        <v>1</v>
      </c>
      <c r="Z574">
        <f t="shared" si="82"/>
        <v>1</v>
      </c>
      <c r="AA574">
        <f t="shared" si="83"/>
        <v>117.30907407407358</v>
      </c>
      <c r="AB574">
        <f t="shared" si="84"/>
        <v>116.30907407407358</v>
      </c>
      <c r="AC574">
        <f>IFERROR(_xlfn.XLOOKUP(B574, HoldSummary!$A:$A, HoldSummary!B:B), 0)</f>
        <v>0</v>
      </c>
      <c r="AD574">
        <f>IFERROR(_xlfn.XLOOKUP(B574, HoldSummary!$A:$A, HoldSummary!C:C), 0)</f>
        <v>0</v>
      </c>
      <c r="AE574">
        <f>IFERROR(_xlfn.XLOOKUP(B574, HoldSummary!$A:$A, HoldSummary!D:D), 0)</f>
        <v>0</v>
      </c>
      <c r="AF574">
        <f>IFERROR(_xlfn.XLOOKUP(B574, HoldSummary!$A:$A, HoldSummary!E:E), 0)</f>
        <v>0</v>
      </c>
      <c r="AG574">
        <f>IFERROR(_xlfn.XLOOKUP(B574, HoldSummary!$A:$A, HoldSummary!F:F), 0)</f>
        <v>0</v>
      </c>
      <c r="AH574">
        <f>IFERROR(_xlfn.XLOOKUP(B574, HoldSummary!$A:$A, HoldSummary!G:G), 0)</f>
        <v>0</v>
      </c>
      <c r="AI574">
        <f>IFERROR(_xlfn.XLOOKUP(B574, HoldSummary!$A:$A, HoldSummary!H:H), 0)</f>
        <v>0</v>
      </c>
      <c r="AJ574">
        <f>IFERROR(_xlfn.XLOOKUP(B574, HoldSummary!$A:$A, HoldSummary!I:I), 0)</f>
        <v>0</v>
      </c>
      <c r="AK574">
        <f t="shared" si="85"/>
        <v>0</v>
      </c>
      <c r="AL574">
        <f t="shared" si="86"/>
        <v>117.30907407407358</v>
      </c>
      <c r="AM574">
        <f t="shared" si="87"/>
        <v>116.30907407407358</v>
      </c>
      <c r="AN574" s="12">
        <f t="shared" si="88"/>
        <v>5.8333333333357587</v>
      </c>
      <c r="AO574">
        <f t="shared" si="89"/>
        <v>0</v>
      </c>
    </row>
    <row r="575" spans="1:41" x14ac:dyDescent="0.35">
      <c r="A575" t="s">
        <v>23</v>
      </c>
      <c r="B575" t="s">
        <v>1309</v>
      </c>
      <c r="C575" t="s">
        <v>76</v>
      </c>
      <c r="D575" t="s">
        <v>44</v>
      </c>
      <c r="E575" t="s">
        <v>45</v>
      </c>
      <c r="F575" t="s">
        <v>28</v>
      </c>
      <c r="H575" t="s">
        <v>1310</v>
      </c>
      <c r="I575" t="s">
        <v>30</v>
      </c>
      <c r="J575" t="s">
        <v>31</v>
      </c>
      <c r="K575" t="s">
        <v>48</v>
      </c>
      <c r="L575" t="s">
        <v>49</v>
      </c>
      <c r="M575" t="s">
        <v>33</v>
      </c>
      <c r="N575" s="2">
        <v>45614.67015046296</v>
      </c>
      <c r="O575" s="2">
        <v>45721.208333333336</v>
      </c>
      <c r="P575" s="2">
        <v>45708.208333333336</v>
      </c>
      <c r="Q575" s="2">
        <v>45707</v>
      </c>
      <c r="R575" s="2">
        <v>45707.689016608798</v>
      </c>
      <c r="S575" t="s">
        <v>1311</v>
      </c>
      <c r="T575" s="2">
        <v>45688.208333333336</v>
      </c>
      <c r="U575" s="2">
        <v>45688.208333333336</v>
      </c>
      <c r="V575" s="2">
        <v>45688.208333333336</v>
      </c>
      <c r="W575" s="2">
        <v>45693.208333333336</v>
      </c>
      <c r="X575" s="3">
        <f t="shared" si="80"/>
        <v>0</v>
      </c>
      <c r="Y575">
        <f t="shared" si="81"/>
        <v>5</v>
      </c>
      <c r="Z575">
        <f t="shared" si="82"/>
        <v>5</v>
      </c>
      <c r="AA575">
        <f t="shared" si="83"/>
        <v>92.329849537039991</v>
      </c>
      <c r="AB575">
        <f t="shared" si="84"/>
        <v>87.329849537039991</v>
      </c>
      <c r="AC575">
        <f>IFERROR(_xlfn.XLOOKUP(B575, HoldSummary!$A:$A, HoldSummary!B:B), 0)</f>
        <v>41.703837013890734</v>
      </c>
      <c r="AD575">
        <f>IFERROR(_xlfn.XLOOKUP(B575, HoldSummary!$A:$A, HoldSummary!C:C), 0)</f>
        <v>0</v>
      </c>
      <c r="AE575">
        <f>IFERROR(_xlfn.XLOOKUP(B575, HoldSummary!$A:$A, HoldSummary!D:D), 0)</f>
        <v>0</v>
      </c>
      <c r="AF575">
        <f>IFERROR(_xlfn.XLOOKUP(B575, HoldSummary!$A:$A, HoldSummary!E:E), 0)</f>
        <v>0</v>
      </c>
      <c r="AG575">
        <f>IFERROR(_xlfn.XLOOKUP(B575, HoldSummary!$A:$A, HoldSummary!F:F), 0)</f>
        <v>0</v>
      </c>
      <c r="AH575">
        <f>IFERROR(_xlfn.XLOOKUP(B575, HoldSummary!$A:$A, HoldSummary!G:G), 0)</f>
        <v>0</v>
      </c>
      <c r="AI575">
        <f>IFERROR(_xlfn.XLOOKUP(B575, HoldSummary!$A:$A, HoldSummary!H:H), 0)</f>
        <v>1.0425310648206505</v>
      </c>
      <c r="AJ575">
        <f>IFERROR(_xlfn.XLOOKUP(B575, HoldSummary!$A:$A, HoldSummary!I:I), 0)</f>
        <v>0</v>
      </c>
      <c r="AK575">
        <f t="shared" si="85"/>
        <v>42.746368078711384</v>
      </c>
      <c r="AL575">
        <f t="shared" si="86"/>
        <v>49.583481458328606</v>
      </c>
      <c r="AM575">
        <f t="shared" si="87"/>
        <v>44.583481458328606</v>
      </c>
      <c r="AN575" s="12">
        <f t="shared" si="88"/>
        <v>-14.208333333335759</v>
      </c>
      <c r="AO575">
        <f t="shared" si="89"/>
        <v>1</v>
      </c>
    </row>
    <row r="576" spans="1:41" x14ac:dyDescent="0.35">
      <c r="A576" t="s">
        <v>23</v>
      </c>
      <c r="B576" t="s">
        <v>1312</v>
      </c>
      <c r="C576" t="s">
        <v>36</v>
      </c>
      <c r="D576" t="s">
        <v>44</v>
      </c>
      <c r="E576" t="s">
        <v>45</v>
      </c>
      <c r="F576" t="s">
        <v>28</v>
      </c>
      <c r="H576" t="s">
        <v>1313</v>
      </c>
      <c r="I576" t="s">
        <v>30</v>
      </c>
      <c r="J576" t="s">
        <v>300</v>
      </c>
      <c r="K576" t="s">
        <v>38</v>
      </c>
      <c r="L576" t="s">
        <v>39</v>
      </c>
      <c r="M576" t="s">
        <v>33</v>
      </c>
      <c r="N576" s="2">
        <v>45674.068310185183</v>
      </c>
      <c r="O576" s="2">
        <v>45702.208333333336</v>
      </c>
      <c r="P576" s="2">
        <v>45702.208333333336</v>
      </c>
      <c r="Q576" s="2">
        <v>45698</v>
      </c>
      <c r="R576" s="2">
        <v>45698.858870983793</v>
      </c>
      <c r="T576" s="2"/>
      <c r="U576" s="2"/>
      <c r="V576" s="2"/>
      <c r="W576" s="2"/>
      <c r="X576" s="3" t="str">
        <f t="shared" si="80"/>
        <v/>
      </c>
      <c r="Y576" t="str">
        <f t="shared" si="81"/>
        <v/>
      </c>
      <c r="Z576">
        <f t="shared" si="82"/>
        <v>0</v>
      </c>
      <c r="AA576">
        <f t="shared" si="83"/>
        <v>23.931689814817219</v>
      </c>
      <c r="AB576">
        <f t="shared" si="84"/>
        <v>23.931689814817219</v>
      </c>
      <c r="AC576">
        <f>IFERROR(_xlfn.XLOOKUP(B576, HoldSummary!$A:$A, HoldSummary!B:B), 0)</f>
        <v>0</v>
      </c>
      <c r="AD576">
        <f>IFERROR(_xlfn.XLOOKUP(B576, HoldSummary!$A:$A, HoldSummary!C:C), 0)</f>
        <v>0</v>
      </c>
      <c r="AE576">
        <f>IFERROR(_xlfn.XLOOKUP(B576, HoldSummary!$A:$A, HoldSummary!D:D), 0)</f>
        <v>0</v>
      </c>
      <c r="AF576">
        <f>IFERROR(_xlfn.XLOOKUP(B576, HoldSummary!$A:$A, HoldSummary!E:E), 0)</f>
        <v>0</v>
      </c>
      <c r="AG576">
        <f>IFERROR(_xlfn.XLOOKUP(B576, HoldSummary!$A:$A, HoldSummary!F:F), 0)</f>
        <v>0</v>
      </c>
      <c r="AH576">
        <f>IFERROR(_xlfn.XLOOKUP(B576, HoldSummary!$A:$A, HoldSummary!G:G), 0)</f>
        <v>0</v>
      </c>
      <c r="AI576">
        <f>IFERROR(_xlfn.XLOOKUP(B576, HoldSummary!$A:$A, HoldSummary!H:H), 0)</f>
        <v>0</v>
      </c>
      <c r="AJ576">
        <f>IFERROR(_xlfn.XLOOKUP(B576, HoldSummary!$A:$A, HoldSummary!I:I), 0)</f>
        <v>0</v>
      </c>
      <c r="AK576">
        <f t="shared" si="85"/>
        <v>0</v>
      </c>
      <c r="AL576">
        <f t="shared" si="86"/>
        <v>23.931689814817219</v>
      </c>
      <c r="AM576">
        <f t="shared" si="87"/>
        <v>23.931689814817219</v>
      </c>
      <c r="AN576" s="12">
        <f t="shared" si="88"/>
        <v>-4.2083333333357587</v>
      </c>
      <c r="AO576">
        <f t="shared" si="89"/>
        <v>1</v>
      </c>
    </row>
    <row r="577" spans="1:41" x14ac:dyDescent="0.35">
      <c r="A577" t="s">
        <v>23</v>
      </c>
      <c r="B577" t="s">
        <v>1314</v>
      </c>
      <c r="C577" t="s">
        <v>36</v>
      </c>
      <c r="D577" t="s">
        <v>44</v>
      </c>
      <c r="E577" t="s">
        <v>44</v>
      </c>
      <c r="F577" t="s">
        <v>28</v>
      </c>
      <c r="H577" t="s">
        <v>1315</v>
      </c>
      <c r="I577" t="s">
        <v>30</v>
      </c>
      <c r="J577" t="s">
        <v>300</v>
      </c>
      <c r="K577" t="s">
        <v>38</v>
      </c>
      <c r="L577" t="s">
        <v>39</v>
      </c>
      <c r="M577" t="s">
        <v>33</v>
      </c>
      <c r="N577" s="2">
        <v>45677.208333333336</v>
      </c>
      <c r="O577" s="2">
        <v>45709.208333333336</v>
      </c>
      <c r="P577" s="2">
        <v>45709.208333333336</v>
      </c>
      <c r="Q577" s="2">
        <v>45695</v>
      </c>
      <c r="R577" s="2">
        <v>45695.854187199075</v>
      </c>
      <c r="T577" s="2"/>
      <c r="U577" s="2"/>
      <c r="V577" s="2"/>
      <c r="W577" s="2"/>
      <c r="X577" s="3" t="str">
        <f t="shared" si="80"/>
        <v/>
      </c>
      <c r="Y577" t="str">
        <f t="shared" si="81"/>
        <v/>
      </c>
      <c r="Z577">
        <f t="shared" si="82"/>
        <v>0</v>
      </c>
      <c r="AA577">
        <f t="shared" si="83"/>
        <v>17.791666666664241</v>
      </c>
      <c r="AB577">
        <f t="shared" si="84"/>
        <v>17.791666666664241</v>
      </c>
      <c r="AC577">
        <f>IFERROR(_xlfn.XLOOKUP(B577, HoldSummary!$A:$A, HoldSummary!B:B), 0)</f>
        <v>0</v>
      </c>
      <c r="AD577">
        <f>IFERROR(_xlfn.XLOOKUP(B577, HoldSummary!$A:$A, HoldSummary!C:C), 0)</f>
        <v>0</v>
      </c>
      <c r="AE577">
        <f>IFERROR(_xlfn.XLOOKUP(B577, HoldSummary!$A:$A, HoldSummary!D:D), 0)</f>
        <v>0</v>
      </c>
      <c r="AF577">
        <f>IFERROR(_xlfn.XLOOKUP(B577, HoldSummary!$A:$A, HoldSummary!E:E), 0)</f>
        <v>0</v>
      </c>
      <c r="AG577">
        <f>IFERROR(_xlfn.XLOOKUP(B577, HoldSummary!$A:$A, HoldSummary!F:F), 0)</f>
        <v>0</v>
      </c>
      <c r="AH577">
        <f>IFERROR(_xlfn.XLOOKUP(B577, HoldSummary!$A:$A, HoldSummary!G:G), 0)</f>
        <v>0</v>
      </c>
      <c r="AI577">
        <f>IFERROR(_xlfn.XLOOKUP(B577, HoldSummary!$A:$A, HoldSummary!H:H), 0)</f>
        <v>0</v>
      </c>
      <c r="AJ577">
        <f>IFERROR(_xlfn.XLOOKUP(B577, HoldSummary!$A:$A, HoldSummary!I:I), 0)</f>
        <v>0</v>
      </c>
      <c r="AK577">
        <f t="shared" si="85"/>
        <v>0</v>
      </c>
      <c r="AL577">
        <f t="shared" si="86"/>
        <v>17.791666666664241</v>
      </c>
      <c r="AM577">
        <f t="shared" si="87"/>
        <v>17.791666666664241</v>
      </c>
      <c r="AN577" s="12">
        <f t="shared" si="88"/>
        <v>-14.208333333335759</v>
      </c>
      <c r="AO577">
        <f t="shared" si="89"/>
        <v>1</v>
      </c>
    </row>
    <row r="578" spans="1:41" x14ac:dyDescent="0.35">
      <c r="A578" t="s">
        <v>23</v>
      </c>
      <c r="B578" t="s">
        <v>1316</v>
      </c>
      <c r="C578" t="s">
        <v>76</v>
      </c>
      <c r="D578" t="s">
        <v>44</v>
      </c>
      <c r="E578" t="s">
        <v>44</v>
      </c>
      <c r="F578" t="s">
        <v>28</v>
      </c>
      <c r="H578" t="s">
        <v>1317</v>
      </c>
      <c r="I578" t="s">
        <v>30</v>
      </c>
      <c r="J578" t="s">
        <v>31</v>
      </c>
      <c r="K578" t="s">
        <v>32</v>
      </c>
      <c r="L578" t="s">
        <v>39</v>
      </c>
      <c r="N578" s="2">
        <v>45679.208333333336</v>
      </c>
      <c r="O578" s="2">
        <v>45694.208333333336</v>
      </c>
      <c r="P578" s="2">
        <v>45694.208333333336</v>
      </c>
      <c r="Q578" s="2">
        <v>45681</v>
      </c>
      <c r="R578" s="2">
        <v>45681.711407731484</v>
      </c>
      <c r="S578" t="s">
        <v>1318</v>
      </c>
      <c r="T578" s="2"/>
      <c r="U578" s="2"/>
      <c r="V578" s="2"/>
      <c r="W578" s="2"/>
      <c r="X578" s="3" t="str">
        <f t="shared" si="80"/>
        <v/>
      </c>
      <c r="Y578" t="str">
        <f t="shared" si="81"/>
        <v/>
      </c>
      <c r="Z578">
        <f t="shared" si="82"/>
        <v>0</v>
      </c>
      <c r="AA578">
        <f t="shared" si="83"/>
        <v>1.7916666666642413</v>
      </c>
      <c r="AB578">
        <f t="shared" si="84"/>
        <v>1.7916666666642413</v>
      </c>
      <c r="AC578">
        <f>IFERROR(_xlfn.XLOOKUP(B578, HoldSummary!$A:$A, HoldSummary!B:B), 0)</f>
        <v>0</v>
      </c>
      <c r="AD578">
        <f>IFERROR(_xlfn.XLOOKUP(B578, HoldSummary!$A:$A, HoldSummary!C:C), 0)</f>
        <v>0</v>
      </c>
      <c r="AE578">
        <f>IFERROR(_xlfn.XLOOKUP(B578, HoldSummary!$A:$A, HoldSummary!D:D), 0)</f>
        <v>0</v>
      </c>
      <c r="AF578">
        <f>IFERROR(_xlfn.XLOOKUP(B578, HoldSummary!$A:$A, HoldSummary!E:E), 0)</f>
        <v>0</v>
      </c>
      <c r="AG578">
        <f>IFERROR(_xlfn.XLOOKUP(B578, HoldSummary!$A:$A, HoldSummary!F:F), 0)</f>
        <v>0</v>
      </c>
      <c r="AH578">
        <f>IFERROR(_xlfn.XLOOKUP(B578, HoldSummary!$A:$A, HoldSummary!G:G), 0)</f>
        <v>0</v>
      </c>
      <c r="AI578">
        <f>IFERROR(_xlfn.XLOOKUP(B578, HoldSummary!$A:$A, HoldSummary!H:H), 0)</f>
        <v>0</v>
      </c>
      <c r="AJ578">
        <f>IFERROR(_xlfn.XLOOKUP(B578, HoldSummary!$A:$A, HoldSummary!I:I), 0)</f>
        <v>0</v>
      </c>
      <c r="AK578">
        <f t="shared" si="85"/>
        <v>0</v>
      </c>
      <c r="AL578">
        <f t="shared" si="86"/>
        <v>1.7916666666642413</v>
      </c>
      <c r="AM578">
        <f t="shared" si="87"/>
        <v>1.7916666666642413</v>
      </c>
      <c r="AN578" s="12">
        <f t="shared" si="88"/>
        <v>-13.208333333335759</v>
      </c>
      <c r="AO578">
        <f t="shared" si="89"/>
        <v>1</v>
      </c>
    </row>
    <row r="579" spans="1:41" x14ac:dyDescent="0.35">
      <c r="A579" t="s">
        <v>23</v>
      </c>
      <c r="B579" t="s">
        <v>1319</v>
      </c>
      <c r="C579" t="s">
        <v>76</v>
      </c>
      <c r="D579" t="s">
        <v>44</v>
      </c>
      <c r="E579" t="s">
        <v>45</v>
      </c>
      <c r="F579" t="s">
        <v>28</v>
      </c>
      <c r="H579" t="s">
        <v>1320</v>
      </c>
      <c r="I579" t="s">
        <v>30</v>
      </c>
      <c r="J579" t="s">
        <v>31</v>
      </c>
      <c r="K579" t="s">
        <v>38</v>
      </c>
      <c r="L579" t="s">
        <v>39</v>
      </c>
      <c r="M579" t="s">
        <v>33</v>
      </c>
      <c r="N579" s="2">
        <v>45659.923877314817</v>
      </c>
      <c r="O579" s="2">
        <v>45758.166666666664</v>
      </c>
      <c r="P579" s="2">
        <v>45758.166666666664</v>
      </c>
      <c r="Q579" s="2">
        <v>45744</v>
      </c>
      <c r="R579" s="2">
        <v>45744.644234236112</v>
      </c>
      <c r="T579" s="2">
        <v>45713.208333333336</v>
      </c>
      <c r="U579" s="2">
        <v>45713.208333333336</v>
      </c>
      <c r="V579" s="2">
        <v>45713.208333333336</v>
      </c>
      <c r="W579" s="2">
        <v>45716.208333333336</v>
      </c>
      <c r="X579" s="3">
        <f t="shared" ref="X579:X642" si="90">IF(OR(ISBLANK(T579), ISBLANK(U579)), "", U579 - T579)</f>
        <v>0</v>
      </c>
      <c r="Y579">
        <f t="shared" ref="Y579:Y642" si="91">IF(OR(ISBLANK(V579), ISBLANK(W579)), "", W579 - V579)</f>
        <v>3</v>
      </c>
      <c r="Z579">
        <f t="shared" ref="Z579:Z642" si="92">N(X579) + N(Y579)</f>
        <v>3</v>
      </c>
      <c r="AA579">
        <f t="shared" ref="AA579:AA642" si="93">IF(OR(ISBLANK(N579), ISBLANK(Q579)), "", Q579 - N579)</f>
        <v>84.076122685182781</v>
      </c>
      <c r="AB579">
        <f t="shared" ref="AB579:AB642" si="94">IF(AA579="", "", AA579 - Z579)</f>
        <v>81.076122685182781</v>
      </c>
      <c r="AC579">
        <f>IFERROR(_xlfn.XLOOKUP(B579, HoldSummary!$A:$A, HoldSummary!B:B), 0)</f>
        <v>0</v>
      </c>
      <c r="AD579">
        <f>IFERROR(_xlfn.XLOOKUP(B579, HoldSummary!$A:$A, HoldSummary!C:C), 0)</f>
        <v>0</v>
      </c>
      <c r="AE579">
        <f>IFERROR(_xlfn.XLOOKUP(B579, HoldSummary!$A:$A, HoldSummary!D:D), 0)</f>
        <v>0</v>
      </c>
      <c r="AF579">
        <f>IFERROR(_xlfn.XLOOKUP(B579, HoldSummary!$A:$A, HoldSummary!E:E), 0)</f>
        <v>0</v>
      </c>
      <c r="AG579">
        <f>IFERROR(_xlfn.XLOOKUP(B579, HoldSummary!$A:$A, HoldSummary!F:F), 0)</f>
        <v>0</v>
      </c>
      <c r="AH579">
        <f>IFERROR(_xlfn.XLOOKUP(B579, HoldSummary!$A:$A, HoldSummary!G:G), 0)</f>
        <v>0</v>
      </c>
      <c r="AI579">
        <f>IFERROR(_xlfn.XLOOKUP(B579, HoldSummary!$A:$A, HoldSummary!H:H), 0)</f>
        <v>0</v>
      </c>
      <c r="AJ579">
        <f>IFERROR(_xlfn.XLOOKUP(B579, HoldSummary!$A:$A, HoldSummary!I:I), 0)</f>
        <v>0</v>
      </c>
      <c r="AK579">
        <f t="shared" ref="AK579:AK642" si="95">SUM(AC579:AJ579)</f>
        <v>0</v>
      </c>
      <c r="AL579">
        <f t="shared" ref="AL579:AL642" si="96">IF(AA579="", "", AA579 - AK579)</f>
        <v>84.076122685182781</v>
      </c>
      <c r="AM579">
        <f t="shared" ref="AM579:AM642" si="97">IF(OR(AK579="", AB579=""), "", AB579 - AK579)</f>
        <v>81.076122685182781</v>
      </c>
      <c r="AN579" s="12">
        <f t="shared" ref="AN579:AN642" si="98">Q579-O579</f>
        <v>-14.166666666664241</v>
      </c>
      <c r="AO579">
        <f t="shared" ref="AO579:AO642" si="99">IF(OR(ISBLANK(O579), ISBLANK(Q579)), 1, IF(AN579&lt;=0,1,0))</f>
        <v>1</v>
      </c>
    </row>
    <row r="580" spans="1:41" x14ac:dyDescent="0.35">
      <c r="A580" t="s">
        <v>23</v>
      </c>
      <c r="B580" t="s">
        <v>1321</v>
      </c>
      <c r="C580" t="s">
        <v>135</v>
      </c>
      <c r="D580" t="s">
        <v>44</v>
      </c>
      <c r="E580" t="s">
        <v>45</v>
      </c>
      <c r="F580" t="s">
        <v>28</v>
      </c>
      <c r="H580" t="s">
        <v>1322</v>
      </c>
      <c r="I580" t="s">
        <v>30</v>
      </c>
      <c r="J580" t="s">
        <v>31</v>
      </c>
      <c r="K580" t="s">
        <v>32</v>
      </c>
      <c r="L580" t="s">
        <v>32</v>
      </c>
      <c r="M580" t="s">
        <v>33</v>
      </c>
      <c r="N580" s="2">
        <v>45680.456759259258</v>
      </c>
      <c r="O580" s="2">
        <v>45714.208333333336</v>
      </c>
      <c r="P580" s="2">
        <v>45716.208333333336</v>
      </c>
      <c r="Q580" s="2">
        <v>45714</v>
      </c>
      <c r="R580" s="2">
        <v>45714.833809016207</v>
      </c>
      <c r="T580" s="2">
        <v>45695.208333333336</v>
      </c>
      <c r="U580" s="2">
        <v>45695.208333333336</v>
      </c>
      <c r="V580" s="2">
        <v>45695.208333333336</v>
      </c>
      <c r="W580" s="2">
        <v>45699.208333333336</v>
      </c>
      <c r="X580" s="3">
        <f t="shared" si="90"/>
        <v>0</v>
      </c>
      <c r="Y580">
        <f t="shared" si="91"/>
        <v>4</v>
      </c>
      <c r="Z580">
        <f t="shared" si="92"/>
        <v>4</v>
      </c>
      <c r="AA580">
        <f t="shared" si="93"/>
        <v>33.543240740742476</v>
      </c>
      <c r="AB580">
        <f t="shared" si="94"/>
        <v>29.543240740742476</v>
      </c>
      <c r="AC580">
        <f>IFERROR(_xlfn.XLOOKUP(B580, HoldSummary!$A:$A, HoldSummary!B:B), 0)</f>
        <v>0</v>
      </c>
      <c r="AD580">
        <f>IFERROR(_xlfn.XLOOKUP(B580, HoldSummary!$A:$A, HoldSummary!C:C), 0)</f>
        <v>4</v>
      </c>
      <c r="AE580">
        <f>IFERROR(_xlfn.XLOOKUP(B580, HoldSummary!$A:$A, HoldSummary!D:D), 0)</f>
        <v>0</v>
      </c>
      <c r="AF580">
        <f>IFERROR(_xlfn.XLOOKUP(B580, HoldSummary!$A:$A, HoldSummary!E:E), 0)</f>
        <v>0</v>
      </c>
      <c r="AG580">
        <f>IFERROR(_xlfn.XLOOKUP(B580, HoldSummary!$A:$A, HoldSummary!F:F), 0)</f>
        <v>0</v>
      </c>
      <c r="AH580">
        <f>IFERROR(_xlfn.XLOOKUP(B580, HoldSummary!$A:$A, HoldSummary!G:G), 0)</f>
        <v>0</v>
      </c>
      <c r="AI580">
        <f>IFERROR(_xlfn.XLOOKUP(B580, HoldSummary!$A:$A, HoldSummary!H:H), 0)</f>
        <v>0</v>
      </c>
      <c r="AJ580">
        <f>IFERROR(_xlfn.XLOOKUP(B580, HoldSummary!$A:$A, HoldSummary!I:I), 0)</f>
        <v>0</v>
      </c>
      <c r="AK580">
        <f t="shared" si="95"/>
        <v>4</v>
      </c>
      <c r="AL580">
        <f t="shared" si="96"/>
        <v>29.543240740742476</v>
      </c>
      <c r="AM580">
        <f t="shared" si="97"/>
        <v>25.543240740742476</v>
      </c>
      <c r="AN580" s="12">
        <f t="shared" si="98"/>
        <v>-0.20833333333575865</v>
      </c>
      <c r="AO580">
        <f t="shared" si="99"/>
        <v>1</v>
      </c>
    </row>
    <row r="581" spans="1:41" x14ac:dyDescent="0.35">
      <c r="A581" t="s">
        <v>23</v>
      </c>
      <c r="B581" t="s">
        <v>1323</v>
      </c>
      <c r="C581" t="s">
        <v>36</v>
      </c>
      <c r="D581" t="s">
        <v>44</v>
      </c>
      <c r="E581" t="s">
        <v>44</v>
      </c>
      <c r="F581" t="s">
        <v>28</v>
      </c>
      <c r="H581" t="s">
        <v>1324</v>
      </c>
      <c r="I581" t="s">
        <v>30</v>
      </c>
      <c r="J581" t="s">
        <v>300</v>
      </c>
      <c r="K581" t="s">
        <v>38</v>
      </c>
      <c r="L581" t="s">
        <v>39</v>
      </c>
      <c r="M581" t="s">
        <v>33</v>
      </c>
      <c r="N581" s="2">
        <v>45680.208333333336</v>
      </c>
      <c r="O581" s="2">
        <v>45714.208333333336</v>
      </c>
      <c r="P581" s="2">
        <v>45714.208333333336</v>
      </c>
      <c r="Q581" s="2">
        <v>45706</v>
      </c>
      <c r="R581" s="2">
        <v>45706.648214884262</v>
      </c>
      <c r="T581" s="2"/>
      <c r="U581" s="2"/>
      <c r="V581" s="2"/>
      <c r="W581" s="2"/>
      <c r="X581" s="3" t="str">
        <f t="shared" si="90"/>
        <v/>
      </c>
      <c r="Y581" t="str">
        <f t="shared" si="91"/>
        <v/>
      </c>
      <c r="Z581">
        <f t="shared" si="92"/>
        <v>0</v>
      </c>
      <c r="AA581">
        <f t="shared" si="93"/>
        <v>25.791666666664241</v>
      </c>
      <c r="AB581">
        <f t="shared" si="94"/>
        <v>25.791666666664241</v>
      </c>
      <c r="AC581">
        <f>IFERROR(_xlfn.XLOOKUP(B581, HoldSummary!$A:$A, HoldSummary!B:B), 0)</f>
        <v>0</v>
      </c>
      <c r="AD581">
        <f>IFERROR(_xlfn.XLOOKUP(B581, HoldSummary!$A:$A, HoldSummary!C:C), 0)</f>
        <v>0</v>
      </c>
      <c r="AE581">
        <f>IFERROR(_xlfn.XLOOKUP(B581, HoldSummary!$A:$A, HoldSummary!D:D), 0)</f>
        <v>0</v>
      </c>
      <c r="AF581">
        <f>IFERROR(_xlfn.XLOOKUP(B581, HoldSummary!$A:$A, HoldSummary!E:E), 0)</f>
        <v>0</v>
      </c>
      <c r="AG581">
        <f>IFERROR(_xlfn.XLOOKUP(B581, HoldSummary!$A:$A, HoldSummary!F:F), 0)</f>
        <v>0</v>
      </c>
      <c r="AH581">
        <f>IFERROR(_xlfn.XLOOKUP(B581, HoldSummary!$A:$A, HoldSummary!G:G), 0)</f>
        <v>0</v>
      </c>
      <c r="AI581">
        <f>IFERROR(_xlfn.XLOOKUP(B581, HoldSummary!$A:$A, HoldSummary!H:H), 0)</f>
        <v>0</v>
      </c>
      <c r="AJ581">
        <f>IFERROR(_xlfn.XLOOKUP(B581, HoldSummary!$A:$A, HoldSummary!I:I), 0)</f>
        <v>0</v>
      </c>
      <c r="AK581">
        <f t="shared" si="95"/>
        <v>0</v>
      </c>
      <c r="AL581">
        <f t="shared" si="96"/>
        <v>25.791666666664241</v>
      </c>
      <c r="AM581">
        <f t="shared" si="97"/>
        <v>25.791666666664241</v>
      </c>
      <c r="AN581" s="12">
        <f t="shared" si="98"/>
        <v>-8.2083333333357587</v>
      </c>
      <c r="AO581">
        <f t="shared" si="99"/>
        <v>1</v>
      </c>
    </row>
    <row r="582" spans="1:41" x14ac:dyDescent="0.35">
      <c r="A582" t="s">
        <v>23</v>
      </c>
      <c r="B582" t="s">
        <v>1325</v>
      </c>
      <c r="C582" t="s">
        <v>76</v>
      </c>
      <c r="D582" t="s">
        <v>44</v>
      </c>
      <c r="E582" t="s">
        <v>45</v>
      </c>
      <c r="F582" t="s">
        <v>28</v>
      </c>
      <c r="H582" t="s">
        <v>1326</v>
      </c>
      <c r="I582" t="s">
        <v>30</v>
      </c>
      <c r="J582" t="s">
        <v>31</v>
      </c>
      <c r="K582" t="s">
        <v>32</v>
      </c>
      <c r="L582" t="s">
        <v>32</v>
      </c>
      <c r="M582" t="s">
        <v>81</v>
      </c>
      <c r="N582" s="2">
        <v>45607.554699074077</v>
      </c>
      <c r="O582" s="2">
        <v>45742.166666666664</v>
      </c>
      <c r="P582" s="2">
        <v>45742.166666666664</v>
      </c>
      <c r="Q582" s="2">
        <v>45730</v>
      </c>
      <c r="R582" s="2">
        <v>45730.835542858797</v>
      </c>
      <c r="S582" t="s">
        <v>162</v>
      </c>
      <c r="T582" s="2">
        <v>45693.208333333336</v>
      </c>
      <c r="U582" s="2">
        <v>45702.208333333336</v>
      </c>
      <c r="V582" s="2">
        <v>45702.208333333336</v>
      </c>
      <c r="W582" s="2">
        <v>45705.208333333336</v>
      </c>
      <c r="X582" s="3">
        <f t="shared" si="90"/>
        <v>9</v>
      </c>
      <c r="Y582">
        <f t="shared" si="91"/>
        <v>3</v>
      </c>
      <c r="Z582">
        <f t="shared" si="92"/>
        <v>12</v>
      </c>
      <c r="AA582">
        <f t="shared" si="93"/>
        <v>122.44530092592322</v>
      </c>
      <c r="AB582">
        <f t="shared" si="94"/>
        <v>110.44530092592322</v>
      </c>
      <c r="AC582">
        <f>IFERROR(_xlfn.XLOOKUP(B582, HoldSummary!$A:$A, HoldSummary!B:B), 0)</f>
        <v>4</v>
      </c>
      <c r="AD582">
        <f>IFERROR(_xlfn.XLOOKUP(B582, HoldSummary!$A:$A, HoldSummary!C:C), 0)</f>
        <v>0</v>
      </c>
      <c r="AE582">
        <f>IFERROR(_xlfn.XLOOKUP(B582, HoldSummary!$A:$A, HoldSummary!D:D), 0)</f>
        <v>0</v>
      </c>
      <c r="AF582">
        <f>IFERROR(_xlfn.XLOOKUP(B582, HoldSummary!$A:$A, HoldSummary!E:E), 0)</f>
        <v>0</v>
      </c>
      <c r="AG582">
        <f>IFERROR(_xlfn.XLOOKUP(B582, HoldSummary!$A:$A, HoldSummary!F:F), 0)</f>
        <v>0</v>
      </c>
      <c r="AH582">
        <f>IFERROR(_xlfn.XLOOKUP(B582, HoldSummary!$A:$A, HoldSummary!G:G), 0)</f>
        <v>0</v>
      </c>
      <c r="AI582">
        <f>IFERROR(_xlfn.XLOOKUP(B582, HoldSummary!$A:$A, HoldSummary!H:H), 0)</f>
        <v>0</v>
      </c>
      <c r="AJ582">
        <f>IFERROR(_xlfn.XLOOKUP(B582, HoldSummary!$A:$A, HoldSummary!I:I), 0)</f>
        <v>0</v>
      </c>
      <c r="AK582">
        <f t="shared" si="95"/>
        <v>4</v>
      </c>
      <c r="AL582">
        <f t="shared" si="96"/>
        <v>118.44530092592322</v>
      </c>
      <c r="AM582">
        <f t="shared" si="97"/>
        <v>106.44530092592322</v>
      </c>
      <c r="AN582" s="12">
        <f t="shared" si="98"/>
        <v>-12.166666666664241</v>
      </c>
      <c r="AO582">
        <f t="shared" si="99"/>
        <v>1</v>
      </c>
    </row>
    <row r="583" spans="1:41" x14ac:dyDescent="0.35">
      <c r="A583" t="s">
        <v>23</v>
      </c>
      <c r="B583" t="s">
        <v>1327</v>
      </c>
      <c r="C583" t="s">
        <v>36</v>
      </c>
      <c r="D583" t="s">
        <v>44</v>
      </c>
      <c r="E583" t="s">
        <v>45</v>
      </c>
      <c r="F583" t="s">
        <v>28</v>
      </c>
      <c r="H583" t="s">
        <v>1328</v>
      </c>
      <c r="I583" t="s">
        <v>30</v>
      </c>
      <c r="J583" t="s">
        <v>31</v>
      </c>
      <c r="K583" t="s">
        <v>48</v>
      </c>
      <c r="L583" t="s">
        <v>39</v>
      </c>
      <c r="M583" t="s">
        <v>33</v>
      </c>
      <c r="N583" s="2">
        <v>45672.616863425923</v>
      </c>
      <c r="O583" s="2">
        <v>45747.166666666664</v>
      </c>
      <c r="P583" s="2">
        <v>45747.166666666664</v>
      </c>
      <c r="Q583" s="2">
        <v>45741</v>
      </c>
      <c r="R583" s="2">
        <v>45741.773330497686</v>
      </c>
      <c r="T583" s="2"/>
      <c r="U583" s="2"/>
      <c r="V583" s="2"/>
      <c r="W583" s="2"/>
      <c r="X583" s="3" t="str">
        <f t="shared" si="90"/>
        <v/>
      </c>
      <c r="Y583" t="str">
        <f t="shared" si="91"/>
        <v/>
      </c>
      <c r="Z583">
        <f t="shared" si="92"/>
        <v>0</v>
      </c>
      <c r="AA583">
        <f t="shared" si="93"/>
        <v>68.383136574077071</v>
      </c>
      <c r="AB583">
        <f t="shared" si="94"/>
        <v>68.383136574077071</v>
      </c>
      <c r="AC583">
        <f>IFERROR(_xlfn.XLOOKUP(B583, HoldSummary!$A:$A, HoldSummary!B:B), 0)</f>
        <v>0</v>
      </c>
      <c r="AD583">
        <f>IFERROR(_xlfn.XLOOKUP(B583, HoldSummary!$A:$A, HoldSummary!C:C), 0)</f>
        <v>0</v>
      </c>
      <c r="AE583">
        <f>IFERROR(_xlfn.XLOOKUP(B583, HoldSummary!$A:$A, HoldSummary!D:D), 0)</f>
        <v>0</v>
      </c>
      <c r="AF583">
        <f>IFERROR(_xlfn.XLOOKUP(B583, HoldSummary!$A:$A, HoldSummary!E:E), 0)</f>
        <v>0</v>
      </c>
      <c r="AG583">
        <f>IFERROR(_xlfn.XLOOKUP(B583, HoldSummary!$A:$A, HoldSummary!F:F), 0)</f>
        <v>0</v>
      </c>
      <c r="AH583">
        <f>IFERROR(_xlfn.XLOOKUP(B583, HoldSummary!$A:$A, HoldSummary!G:G), 0)</f>
        <v>0</v>
      </c>
      <c r="AI583">
        <f>IFERROR(_xlfn.XLOOKUP(B583, HoldSummary!$A:$A, HoldSummary!H:H), 0)</f>
        <v>0</v>
      </c>
      <c r="AJ583">
        <f>IFERROR(_xlfn.XLOOKUP(B583, HoldSummary!$A:$A, HoldSummary!I:I), 0)</f>
        <v>0</v>
      </c>
      <c r="AK583">
        <f t="shared" si="95"/>
        <v>0</v>
      </c>
      <c r="AL583">
        <f t="shared" si="96"/>
        <v>68.383136574077071</v>
      </c>
      <c r="AM583">
        <f t="shared" si="97"/>
        <v>68.383136574077071</v>
      </c>
      <c r="AN583" s="12">
        <f t="shared" si="98"/>
        <v>-6.1666666666642413</v>
      </c>
      <c r="AO583">
        <f t="shared" si="99"/>
        <v>1</v>
      </c>
    </row>
    <row r="584" spans="1:41" x14ac:dyDescent="0.35">
      <c r="A584" t="s">
        <v>23</v>
      </c>
      <c r="B584" t="s">
        <v>1329</v>
      </c>
      <c r="C584" t="s">
        <v>36</v>
      </c>
      <c r="D584" t="s">
        <v>44</v>
      </c>
      <c r="E584" t="s">
        <v>45</v>
      </c>
      <c r="F584" t="s">
        <v>28</v>
      </c>
      <c r="H584" t="s">
        <v>1330</v>
      </c>
      <c r="I584" t="s">
        <v>30</v>
      </c>
      <c r="J584" t="s">
        <v>31</v>
      </c>
      <c r="K584" t="s">
        <v>48</v>
      </c>
      <c r="L584" t="s">
        <v>49</v>
      </c>
      <c r="N584" s="2">
        <v>45681.848645833335</v>
      </c>
      <c r="O584" s="2">
        <v>45699.208333333336</v>
      </c>
      <c r="P584" s="2">
        <v>45699.208333333336</v>
      </c>
      <c r="Q584" s="2">
        <v>45699</v>
      </c>
      <c r="R584" s="2">
        <v>45699.801583553242</v>
      </c>
      <c r="T584" s="2"/>
      <c r="U584" s="2"/>
      <c r="V584" s="2"/>
      <c r="W584" s="2"/>
      <c r="X584" s="3" t="str">
        <f t="shared" si="90"/>
        <v/>
      </c>
      <c r="Y584" t="str">
        <f t="shared" si="91"/>
        <v/>
      </c>
      <c r="Z584">
        <f t="shared" si="92"/>
        <v>0</v>
      </c>
      <c r="AA584">
        <f t="shared" si="93"/>
        <v>17.151354166664532</v>
      </c>
      <c r="AB584">
        <f t="shared" si="94"/>
        <v>17.151354166664532</v>
      </c>
      <c r="AC584">
        <f>IFERROR(_xlfn.XLOOKUP(B584, HoldSummary!$A:$A, HoldSummary!B:B), 0)</f>
        <v>0</v>
      </c>
      <c r="AD584">
        <f>IFERROR(_xlfn.XLOOKUP(B584, HoldSummary!$A:$A, HoldSummary!C:C), 0)</f>
        <v>0</v>
      </c>
      <c r="AE584">
        <f>IFERROR(_xlfn.XLOOKUP(B584, HoldSummary!$A:$A, HoldSummary!D:D), 0)</f>
        <v>0</v>
      </c>
      <c r="AF584">
        <f>IFERROR(_xlfn.XLOOKUP(B584, HoldSummary!$A:$A, HoldSummary!E:E), 0)</f>
        <v>0</v>
      </c>
      <c r="AG584">
        <f>IFERROR(_xlfn.XLOOKUP(B584, HoldSummary!$A:$A, HoldSummary!F:F), 0)</f>
        <v>0</v>
      </c>
      <c r="AH584">
        <f>IFERROR(_xlfn.XLOOKUP(B584, HoldSummary!$A:$A, HoldSummary!G:G), 0)</f>
        <v>0</v>
      </c>
      <c r="AI584">
        <f>IFERROR(_xlfn.XLOOKUP(B584, HoldSummary!$A:$A, HoldSummary!H:H), 0)</f>
        <v>0</v>
      </c>
      <c r="AJ584">
        <f>IFERROR(_xlfn.XLOOKUP(B584, HoldSummary!$A:$A, HoldSummary!I:I), 0)</f>
        <v>0</v>
      </c>
      <c r="AK584">
        <f t="shared" si="95"/>
        <v>0</v>
      </c>
      <c r="AL584">
        <f t="shared" si="96"/>
        <v>17.151354166664532</v>
      </c>
      <c r="AM584">
        <f t="shared" si="97"/>
        <v>17.151354166664532</v>
      </c>
      <c r="AN584" s="12">
        <f t="shared" si="98"/>
        <v>-0.20833333333575865</v>
      </c>
      <c r="AO584">
        <f t="shared" si="99"/>
        <v>1</v>
      </c>
    </row>
    <row r="585" spans="1:41" x14ac:dyDescent="0.35">
      <c r="A585" t="s">
        <v>23</v>
      </c>
      <c r="B585" t="s">
        <v>1331</v>
      </c>
      <c r="C585" t="s">
        <v>36</v>
      </c>
      <c r="D585" t="s">
        <v>44</v>
      </c>
      <c r="E585" t="s">
        <v>45</v>
      </c>
      <c r="F585" t="s">
        <v>28</v>
      </c>
      <c r="H585" t="s">
        <v>1332</v>
      </c>
      <c r="I585" t="s">
        <v>30</v>
      </c>
      <c r="J585" t="s">
        <v>31</v>
      </c>
      <c r="K585" t="s">
        <v>48</v>
      </c>
      <c r="L585" t="s">
        <v>827</v>
      </c>
      <c r="N585" s="2">
        <v>45681.8516087963</v>
      </c>
      <c r="O585" s="2">
        <v>45709.208333333336</v>
      </c>
      <c r="P585" s="2">
        <v>45709.208333333336</v>
      </c>
      <c r="Q585" s="2">
        <v>45709</v>
      </c>
      <c r="R585" s="2">
        <v>45709.877961782404</v>
      </c>
      <c r="T585" s="2">
        <v>45693.208333333336</v>
      </c>
      <c r="U585" s="2">
        <v>45698.208333333336</v>
      </c>
      <c r="V585" s="2">
        <v>45698.208333333336</v>
      </c>
      <c r="W585" s="2">
        <v>45698.208333333336</v>
      </c>
      <c r="X585" s="3">
        <f t="shared" si="90"/>
        <v>5</v>
      </c>
      <c r="Y585">
        <f t="shared" si="91"/>
        <v>0</v>
      </c>
      <c r="Z585">
        <f t="shared" si="92"/>
        <v>5</v>
      </c>
      <c r="AA585">
        <f t="shared" si="93"/>
        <v>27.148391203700157</v>
      </c>
      <c r="AB585">
        <f t="shared" si="94"/>
        <v>22.148391203700157</v>
      </c>
      <c r="AC585">
        <f>IFERROR(_xlfn.XLOOKUP(B585, HoldSummary!$A:$A, HoldSummary!B:B), 0)</f>
        <v>0</v>
      </c>
      <c r="AD585">
        <f>IFERROR(_xlfn.XLOOKUP(B585, HoldSummary!$A:$A, HoldSummary!C:C), 0)</f>
        <v>0</v>
      </c>
      <c r="AE585">
        <f>IFERROR(_xlfn.XLOOKUP(B585, HoldSummary!$A:$A, HoldSummary!D:D), 0)</f>
        <v>0</v>
      </c>
      <c r="AF585">
        <f>IFERROR(_xlfn.XLOOKUP(B585, HoldSummary!$A:$A, HoldSummary!E:E), 0)</f>
        <v>0</v>
      </c>
      <c r="AG585">
        <f>IFERROR(_xlfn.XLOOKUP(B585, HoldSummary!$A:$A, HoldSummary!F:F), 0)</f>
        <v>0</v>
      </c>
      <c r="AH585">
        <f>IFERROR(_xlfn.XLOOKUP(B585, HoldSummary!$A:$A, HoldSummary!G:G), 0)</f>
        <v>0</v>
      </c>
      <c r="AI585">
        <f>IFERROR(_xlfn.XLOOKUP(B585, HoldSummary!$A:$A, HoldSummary!H:H), 0)</f>
        <v>0</v>
      </c>
      <c r="AJ585">
        <f>IFERROR(_xlfn.XLOOKUP(B585, HoldSummary!$A:$A, HoldSummary!I:I), 0)</f>
        <v>0</v>
      </c>
      <c r="AK585">
        <f t="shared" si="95"/>
        <v>0</v>
      </c>
      <c r="AL585">
        <f t="shared" si="96"/>
        <v>27.148391203700157</v>
      </c>
      <c r="AM585">
        <f t="shared" si="97"/>
        <v>22.148391203700157</v>
      </c>
      <c r="AN585" s="12">
        <f t="shared" si="98"/>
        <v>-0.20833333333575865</v>
      </c>
      <c r="AO585">
        <f t="shared" si="99"/>
        <v>1</v>
      </c>
    </row>
    <row r="586" spans="1:41" x14ac:dyDescent="0.35">
      <c r="A586" t="s">
        <v>23</v>
      </c>
      <c r="B586" t="s">
        <v>1333</v>
      </c>
      <c r="C586" t="s">
        <v>36</v>
      </c>
      <c r="D586" t="s">
        <v>44</v>
      </c>
      <c r="E586" t="s">
        <v>45</v>
      </c>
      <c r="F586" t="s">
        <v>28</v>
      </c>
      <c r="H586" t="s">
        <v>1334</v>
      </c>
      <c r="I586" t="s">
        <v>30</v>
      </c>
      <c r="J586" t="s">
        <v>70</v>
      </c>
      <c r="K586" t="s">
        <v>48</v>
      </c>
      <c r="L586" t="s">
        <v>49</v>
      </c>
      <c r="M586" t="s">
        <v>33</v>
      </c>
      <c r="N586" s="2">
        <v>45687.41946759259</v>
      </c>
      <c r="O586" s="2">
        <v>45807.166666666664</v>
      </c>
      <c r="P586" s="2">
        <v>45821.166666666664</v>
      </c>
      <c r="Q586" s="2">
        <v>45824</v>
      </c>
      <c r="R586" s="2">
        <v>45825.562563356485</v>
      </c>
      <c r="S586" t="s">
        <v>97</v>
      </c>
      <c r="T586" s="2"/>
      <c r="U586" s="2"/>
      <c r="V586" s="2"/>
      <c r="W586" s="2"/>
      <c r="X586" s="3" t="str">
        <f t="shared" si="90"/>
        <v/>
      </c>
      <c r="Y586" t="str">
        <f t="shared" si="91"/>
        <v/>
      </c>
      <c r="Z586">
        <f t="shared" si="92"/>
        <v>0</v>
      </c>
      <c r="AA586">
        <f t="shared" si="93"/>
        <v>136.58053240740992</v>
      </c>
      <c r="AB586">
        <f t="shared" si="94"/>
        <v>136.58053240740992</v>
      </c>
      <c r="AC586">
        <f>IFERROR(_xlfn.XLOOKUP(B586, HoldSummary!$A:$A, HoldSummary!B:B), 0)</f>
        <v>0</v>
      </c>
      <c r="AD586">
        <f>IFERROR(_xlfn.XLOOKUP(B586, HoldSummary!$A:$A, HoldSummary!C:C), 0)</f>
        <v>0</v>
      </c>
      <c r="AE586">
        <f>IFERROR(_xlfn.XLOOKUP(B586, HoldSummary!$A:$A, HoldSummary!D:D), 0)</f>
        <v>0</v>
      </c>
      <c r="AF586">
        <f>IFERROR(_xlfn.XLOOKUP(B586, HoldSummary!$A:$A, HoldSummary!E:E), 0)</f>
        <v>0</v>
      </c>
      <c r="AG586">
        <f>IFERROR(_xlfn.XLOOKUP(B586, HoldSummary!$A:$A, HoldSummary!F:F), 0)</f>
        <v>0</v>
      </c>
      <c r="AH586">
        <f>IFERROR(_xlfn.XLOOKUP(B586, HoldSummary!$A:$A, HoldSummary!G:G), 0)</f>
        <v>0</v>
      </c>
      <c r="AI586">
        <f>IFERROR(_xlfn.XLOOKUP(B586, HoldSummary!$A:$A, HoldSummary!H:H), 0)</f>
        <v>0</v>
      </c>
      <c r="AJ586">
        <f>IFERROR(_xlfn.XLOOKUP(B586, HoldSummary!$A:$A, HoldSummary!I:I), 0)</f>
        <v>0</v>
      </c>
      <c r="AK586">
        <f t="shared" si="95"/>
        <v>0</v>
      </c>
      <c r="AL586">
        <f t="shared" si="96"/>
        <v>136.58053240740992</v>
      </c>
      <c r="AM586">
        <f t="shared" si="97"/>
        <v>136.58053240740992</v>
      </c>
      <c r="AN586" s="12">
        <f t="shared" si="98"/>
        <v>16.833333333335759</v>
      </c>
      <c r="AO586">
        <f t="shared" si="99"/>
        <v>0</v>
      </c>
    </row>
    <row r="587" spans="1:41" x14ac:dyDescent="0.35">
      <c r="A587" t="s">
        <v>23</v>
      </c>
      <c r="B587" t="s">
        <v>1335</v>
      </c>
      <c r="C587" t="s">
        <v>409</v>
      </c>
      <c r="D587" t="s">
        <v>44</v>
      </c>
      <c r="E587" t="s">
        <v>45</v>
      </c>
      <c r="F587" t="s">
        <v>28</v>
      </c>
      <c r="H587" t="s">
        <v>1336</v>
      </c>
      <c r="I587" t="s">
        <v>30</v>
      </c>
      <c r="J587" t="s">
        <v>31</v>
      </c>
      <c r="K587" t="s">
        <v>38</v>
      </c>
      <c r="L587" t="s">
        <v>39</v>
      </c>
      <c r="M587" t="s">
        <v>33</v>
      </c>
      <c r="N587" s="2">
        <v>45673.856817129628</v>
      </c>
      <c r="O587" s="2">
        <v>45839.166666666664</v>
      </c>
      <c r="P587" s="2">
        <v>45807.166666666664</v>
      </c>
      <c r="Q587" s="2">
        <v>45804</v>
      </c>
      <c r="R587" s="2">
        <v>45804.905316157405</v>
      </c>
      <c r="S587" t="s">
        <v>875</v>
      </c>
      <c r="T587" s="2">
        <v>45764.166666666664</v>
      </c>
      <c r="U587" s="2">
        <v>45764.166666666664</v>
      </c>
      <c r="V587" s="2">
        <v>45764.166666666664</v>
      </c>
      <c r="W587" s="2">
        <v>45772.166666666664</v>
      </c>
      <c r="X587" s="3">
        <f t="shared" si="90"/>
        <v>0</v>
      </c>
      <c r="Y587">
        <f t="shared" si="91"/>
        <v>8</v>
      </c>
      <c r="Z587">
        <f t="shared" si="92"/>
        <v>8</v>
      </c>
      <c r="AA587">
        <f t="shared" si="93"/>
        <v>130.14318287037167</v>
      </c>
      <c r="AB587">
        <f t="shared" si="94"/>
        <v>122.14318287037167</v>
      </c>
      <c r="AC587">
        <f>IFERROR(_xlfn.XLOOKUP(B587, HoldSummary!$A:$A, HoldSummary!B:B), 0)</f>
        <v>0</v>
      </c>
      <c r="AD587">
        <f>IFERROR(_xlfn.XLOOKUP(B587, HoldSummary!$A:$A, HoldSummary!C:C), 0)</f>
        <v>0</v>
      </c>
      <c r="AE587">
        <f>IFERROR(_xlfn.XLOOKUP(B587, HoldSummary!$A:$A, HoldSummary!D:D), 0)</f>
        <v>0</v>
      </c>
      <c r="AF587">
        <f>IFERROR(_xlfn.XLOOKUP(B587, HoldSummary!$A:$A, HoldSummary!E:E), 0)</f>
        <v>0</v>
      </c>
      <c r="AG587">
        <f>IFERROR(_xlfn.XLOOKUP(B587, HoldSummary!$A:$A, HoldSummary!F:F), 0)</f>
        <v>0</v>
      </c>
      <c r="AH587">
        <f>IFERROR(_xlfn.XLOOKUP(B587, HoldSummary!$A:$A, HoldSummary!G:G), 0)</f>
        <v>0</v>
      </c>
      <c r="AI587">
        <f>IFERROR(_xlfn.XLOOKUP(B587, HoldSummary!$A:$A, HoldSummary!H:H), 0)</f>
        <v>0</v>
      </c>
      <c r="AJ587">
        <f>IFERROR(_xlfn.XLOOKUP(B587, HoldSummary!$A:$A, HoldSummary!I:I), 0)</f>
        <v>0</v>
      </c>
      <c r="AK587">
        <f t="shared" si="95"/>
        <v>0</v>
      </c>
      <c r="AL587">
        <f t="shared" si="96"/>
        <v>130.14318287037167</v>
      </c>
      <c r="AM587">
        <f t="shared" si="97"/>
        <v>122.14318287037167</v>
      </c>
      <c r="AN587" s="12">
        <f t="shared" si="98"/>
        <v>-35.166666666664241</v>
      </c>
      <c r="AO587">
        <f t="shared" si="99"/>
        <v>1</v>
      </c>
    </row>
    <row r="588" spans="1:41" x14ac:dyDescent="0.35">
      <c r="A588" t="s">
        <v>23</v>
      </c>
      <c r="B588" t="s">
        <v>1337</v>
      </c>
      <c r="C588" t="s">
        <v>76</v>
      </c>
      <c r="D588" t="s">
        <v>44</v>
      </c>
      <c r="E588" t="s">
        <v>45</v>
      </c>
      <c r="F588" t="s">
        <v>28</v>
      </c>
      <c r="H588" t="s">
        <v>1338</v>
      </c>
      <c r="I588" t="s">
        <v>30</v>
      </c>
      <c r="J588" t="s">
        <v>31</v>
      </c>
      <c r="K588" t="s">
        <v>38</v>
      </c>
      <c r="L588" t="s">
        <v>39</v>
      </c>
      <c r="M588" t="s">
        <v>33</v>
      </c>
      <c r="N588" s="2">
        <v>45687.916273148148</v>
      </c>
      <c r="O588" s="2">
        <v>45785.166666666664</v>
      </c>
      <c r="P588" s="2">
        <v>45764.166666666664</v>
      </c>
      <c r="Q588" s="2">
        <v>45743</v>
      </c>
      <c r="R588" s="2">
        <v>45743.80373363426</v>
      </c>
      <c r="T588" s="2">
        <v>45723.208333333336</v>
      </c>
      <c r="U588" s="2">
        <v>45723.208333333336</v>
      </c>
      <c r="V588" s="2">
        <v>45723.208333333336</v>
      </c>
      <c r="W588" s="2">
        <v>45729.166666666664</v>
      </c>
      <c r="X588" s="3">
        <f t="shared" si="90"/>
        <v>0</v>
      </c>
      <c r="Y588">
        <f t="shared" si="91"/>
        <v>5.9583333333284827</v>
      </c>
      <c r="Z588">
        <f t="shared" si="92"/>
        <v>5.9583333333284827</v>
      </c>
      <c r="AA588">
        <f t="shared" si="93"/>
        <v>55.083726851851679</v>
      </c>
      <c r="AB588">
        <f t="shared" si="94"/>
        <v>49.125393518523197</v>
      </c>
      <c r="AC588">
        <f>IFERROR(_xlfn.XLOOKUP(B588, HoldSummary!$A:$A, HoldSummary!B:B), 0)</f>
        <v>0</v>
      </c>
      <c r="AD588">
        <f>IFERROR(_xlfn.XLOOKUP(B588, HoldSummary!$A:$A, HoldSummary!C:C), 0)</f>
        <v>0</v>
      </c>
      <c r="AE588">
        <f>IFERROR(_xlfn.XLOOKUP(B588, HoldSummary!$A:$A, HoldSummary!D:D), 0)</f>
        <v>0</v>
      </c>
      <c r="AF588">
        <f>IFERROR(_xlfn.XLOOKUP(B588, HoldSummary!$A:$A, HoldSummary!E:E), 0)</f>
        <v>0</v>
      </c>
      <c r="AG588">
        <f>IFERROR(_xlfn.XLOOKUP(B588, HoldSummary!$A:$A, HoldSummary!F:F), 0)</f>
        <v>0</v>
      </c>
      <c r="AH588">
        <f>IFERROR(_xlfn.XLOOKUP(B588, HoldSummary!$A:$A, HoldSummary!G:G), 0)</f>
        <v>0</v>
      </c>
      <c r="AI588">
        <f>IFERROR(_xlfn.XLOOKUP(B588, HoldSummary!$A:$A, HoldSummary!H:H), 0)</f>
        <v>0</v>
      </c>
      <c r="AJ588">
        <f>IFERROR(_xlfn.XLOOKUP(B588, HoldSummary!$A:$A, HoldSummary!I:I), 0)</f>
        <v>0</v>
      </c>
      <c r="AK588">
        <f t="shared" si="95"/>
        <v>0</v>
      </c>
      <c r="AL588">
        <f t="shared" si="96"/>
        <v>55.083726851851679</v>
      </c>
      <c r="AM588">
        <f t="shared" si="97"/>
        <v>49.125393518523197</v>
      </c>
      <c r="AN588" s="12">
        <f t="shared" si="98"/>
        <v>-42.166666666664241</v>
      </c>
      <c r="AO588">
        <f t="shared" si="99"/>
        <v>1</v>
      </c>
    </row>
    <row r="589" spans="1:41" x14ac:dyDescent="0.35">
      <c r="A589" t="s">
        <v>23</v>
      </c>
      <c r="B589" t="s">
        <v>1339</v>
      </c>
      <c r="C589" t="s">
        <v>36</v>
      </c>
      <c r="D589" t="s">
        <v>44</v>
      </c>
      <c r="E589" t="s">
        <v>45</v>
      </c>
      <c r="F589" t="s">
        <v>28</v>
      </c>
      <c r="H589" t="s">
        <v>1340</v>
      </c>
      <c r="I589" t="s">
        <v>30</v>
      </c>
      <c r="J589" t="s">
        <v>300</v>
      </c>
      <c r="K589" t="s">
        <v>38</v>
      </c>
      <c r="L589" t="s">
        <v>39</v>
      </c>
      <c r="M589" t="s">
        <v>33</v>
      </c>
      <c r="N589" s="2">
        <v>45688.80369212963</v>
      </c>
      <c r="O589" s="2">
        <v>45747.166666666664</v>
      </c>
      <c r="P589" s="2">
        <v>45765.166666666664</v>
      </c>
      <c r="Q589" s="2">
        <v>45771</v>
      </c>
      <c r="R589" s="2">
        <v>45771.615896180556</v>
      </c>
      <c r="S589" t="s">
        <v>93</v>
      </c>
      <c r="T589" s="2"/>
      <c r="U589" s="2"/>
      <c r="V589" s="2"/>
      <c r="W589" s="2"/>
      <c r="X589" s="3" t="str">
        <f t="shared" si="90"/>
        <v/>
      </c>
      <c r="Y589" t="str">
        <f t="shared" si="91"/>
        <v/>
      </c>
      <c r="Z589">
        <f t="shared" si="92"/>
        <v>0</v>
      </c>
      <c r="AA589">
        <f t="shared" si="93"/>
        <v>82.196307870370219</v>
      </c>
      <c r="AB589">
        <f t="shared" si="94"/>
        <v>82.196307870370219</v>
      </c>
      <c r="AC589">
        <f>IFERROR(_xlfn.XLOOKUP(B589, HoldSummary!$A:$A, HoldSummary!B:B), 0)</f>
        <v>0</v>
      </c>
      <c r="AD589">
        <f>IFERROR(_xlfn.XLOOKUP(B589, HoldSummary!$A:$A, HoldSummary!C:C), 0)</f>
        <v>0</v>
      </c>
      <c r="AE589">
        <f>IFERROR(_xlfn.XLOOKUP(B589, HoldSummary!$A:$A, HoldSummary!D:D), 0)</f>
        <v>0</v>
      </c>
      <c r="AF589">
        <f>IFERROR(_xlfn.XLOOKUP(B589, HoldSummary!$A:$A, HoldSummary!E:E), 0)</f>
        <v>0</v>
      </c>
      <c r="AG589">
        <f>IFERROR(_xlfn.XLOOKUP(B589, HoldSummary!$A:$A, HoldSummary!F:F), 0)</f>
        <v>0</v>
      </c>
      <c r="AH589">
        <f>IFERROR(_xlfn.XLOOKUP(B589, HoldSummary!$A:$A, HoldSummary!G:G), 0)</f>
        <v>0</v>
      </c>
      <c r="AI589">
        <f>IFERROR(_xlfn.XLOOKUP(B589, HoldSummary!$A:$A, HoldSummary!H:H), 0)</f>
        <v>0</v>
      </c>
      <c r="AJ589">
        <f>IFERROR(_xlfn.XLOOKUP(B589, HoldSummary!$A:$A, HoldSummary!I:I), 0)</f>
        <v>0</v>
      </c>
      <c r="AK589">
        <f t="shared" si="95"/>
        <v>0</v>
      </c>
      <c r="AL589">
        <f t="shared" si="96"/>
        <v>82.196307870370219</v>
      </c>
      <c r="AM589">
        <f t="shared" si="97"/>
        <v>82.196307870370219</v>
      </c>
      <c r="AN589" s="12">
        <f t="shared" si="98"/>
        <v>23.833333333335759</v>
      </c>
      <c r="AO589">
        <f t="shared" si="99"/>
        <v>0</v>
      </c>
    </row>
    <row r="590" spans="1:41" x14ac:dyDescent="0.35">
      <c r="A590" t="s">
        <v>23</v>
      </c>
      <c r="B590" t="s">
        <v>2160</v>
      </c>
      <c r="C590" t="s">
        <v>54</v>
      </c>
      <c r="D590" t="s">
        <v>44</v>
      </c>
      <c r="E590" t="s">
        <v>45</v>
      </c>
      <c r="F590" t="s">
        <v>28</v>
      </c>
      <c r="H590" t="s">
        <v>2161</v>
      </c>
      <c r="I590" t="s">
        <v>30</v>
      </c>
      <c r="J590" t="s">
        <v>31</v>
      </c>
      <c r="K590" t="s">
        <v>38</v>
      </c>
      <c r="L590" t="s">
        <v>39</v>
      </c>
      <c r="N590" s="2">
        <v>45664.600370370368</v>
      </c>
      <c r="O590" s="2">
        <v>45817.166666666664</v>
      </c>
      <c r="P590" s="2">
        <v>45877.166666666664</v>
      </c>
      <c r="Q590" s="2">
        <v>45868</v>
      </c>
      <c r="R590" s="2">
        <v>45868.830372916666</v>
      </c>
      <c r="S590" t="s">
        <v>921</v>
      </c>
      <c r="T590" s="2">
        <v>45792.166666666664</v>
      </c>
      <c r="U590" s="2">
        <v>45792.166666666664</v>
      </c>
      <c r="V590" s="2">
        <v>45832.166666666664</v>
      </c>
      <c r="W590" s="2">
        <v>45833.166666666664</v>
      </c>
      <c r="X590" s="3">
        <f t="shared" si="90"/>
        <v>0</v>
      </c>
      <c r="Y590">
        <f t="shared" si="91"/>
        <v>1</v>
      </c>
      <c r="Z590">
        <f t="shared" si="92"/>
        <v>1</v>
      </c>
      <c r="AA590">
        <f t="shared" si="93"/>
        <v>203.39962962963182</v>
      </c>
      <c r="AB590">
        <f t="shared" si="94"/>
        <v>202.39962962963182</v>
      </c>
      <c r="AC590">
        <f>IFERROR(_xlfn.XLOOKUP(B590, HoldSummary!$A:$A, HoldSummary!B:B), 0)</f>
        <v>12</v>
      </c>
      <c r="AD590">
        <f>IFERROR(_xlfn.XLOOKUP(B590, HoldSummary!$A:$A, HoldSummary!C:C), 0)</f>
        <v>0</v>
      </c>
      <c r="AE590">
        <f>IFERROR(_xlfn.XLOOKUP(B590, HoldSummary!$A:$A, HoldSummary!D:D), 0)</f>
        <v>0</v>
      </c>
      <c r="AF590">
        <f>IFERROR(_xlfn.XLOOKUP(B590, HoldSummary!$A:$A, HoldSummary!E:E), 0)</f>
        <v>0</v>
      </c>
      <c r="AG590">
        <f>IFERROR(_xlfn.XLOOKUP(B590, HoldSummary!$A:$A, HoldSummary!F:F), 0)</f>
        <v>21</v>
      </c>
      <c r="AH590">
        <f>IFERROR(_xlfn.XLOOKUP(B590, HoldSummary!$A:$A, HoldSummary!G:G), 0)</f>
        <v>0</v>
      </c>
      <c r="AI590">
        <f>IFERROR(_xlfn.XLOOKUP(B590, HoldSummary!$A:$A, HoldSummary!H:H), 0)</f>
        <v>17</v>
      </c>
      <c r="AJ590">
        <f>IFERROR(_xlfn.XLOOKUP(B590, HoldSummary!$A:$A, HoldSummary!I:I), 0)</f>
        <v>0</v>
      </c>
      <c r="AK590">
        <f t="shared" si="95"/>
        <v>50</v>
      </c>
      <c r="AL590">
        <f t="shared" si="96"/>
        <v>153.39962962963182</v>
      </c>
      <c r="AM590">
        <f t="shared" si="97"/>
        <v>152.39962962963182</v>
      </c>
      <c r="AN590" s="12">
        <f t="shared" si="98"/>
        <v>50.833333333335759</v>
      </c>
      <c r="AO590">
        <f t="shared" si="99"/>
        <v>0</v>
      </c>
    </row>
    <row r="591" spans="1:41" x14ac:dyDescent="0.35">
      <c r="A591" t="s">
        <v>23</v>
      </c>
      <c r="B591" t="s">
        <v>1341</v>
      </c>
      <c r="C591" t="s">
        <v>36</v>
      </c>
      <c r="D591" t="s">
        <v>44</v>
      </c>
      <c r="E591" t="s">
        <v>45</v>
      </c>
      <c r="F591" t="s">
        <v>28</v>
      </c>
      <c r="H591" t="s">
        <v>1342</v>
      </c>
      <c r="I591" t="s">
        <v>30</v>
      </c>
      <c r="J591" t="s">
        <v>31</v>
      </c>
      <c r="K591" t="s">
        <v>48</v>
      </c>
      <c r="L591" t="s">
        <v>49</v>
      </c>
      <c r="M591" t="s">
        <v>140</v>
      </c>
      <c r="N591" s="2">
        <v>45657.676516203705</v>
      </c>
      <c r="O591" s="2">
        <v>45730.166666666664</v>
      </c>
      <c r="P591" s="2">
        <v>45730.166666666664</v>
      </c>
      <c r="Q591" s="2">
        <v>45741</v>
      </c>
      <c r="R591" s="2">
        <v>45742.557545162039</v>
      </c>
      <c r="S591" t="s">
        <v>162</v>
      </c>
      <c r="T591" s="2">
        <v>45709.208333333336</v>
      </c>
      <c r="U591" s="2">
        <v>45712.208333333336</v>
      </c>
      <c r="V591" s="2">
        <v>45712.208333333336</v>
      </c>
      <c r="W591" s="2">
        <v>45712.208333333336</v>
      </c>
      <c r="X591" s="3">
        <f t="shared" si="90"/>
        <v>3</v>
      </c>
      <c r="Y591">
        <f t="shared" si="91"/>
        <v>0</v>
      </c>
      <c r="Z591">
        <f t="shared" si="92"/>
        <v>3</v>
      </c>
      <c r="AA591">
        <f t="shared" si="93"/>
        <v>83.323483796295477</v>
      </c>
      <c r="AB591">
        <f t="shared" si="94"/>
        <v>80.323483796295477</v>
      </c>
      <c r="AC591">
        <f>IFERROR(_xlfn.XLOOKUP(B591, HoldSummary!$A:$A, HoldSummary!B:B), 0)</f>
        <v>0</v>
      </c>
      <c r="AD591">
        <f>IFERROR(_xlfn.XLOOKUP(B591, HoldSummary!$A:$A, HoldSummary!C:C), 0)</f>
        <v>0</v>
      </c>
      <c r="AE591">
        <f>IFERROR(_xlfn.XLOOKUP(B591, HoldSummary!$A:$A, HoldSummary!D:D), 0)</f>
        <v>0</v>
      </c>
      <c r="AF591">
        <f>IFERROR(_xlfn.XLOOKUP(B591, HoldSummary!$A:$A, HoldSummary!E:E), 0)</f>
        <v>0</v>
      </c>
      <c r="AG591">
        <f>IFERROR(_xlfn.XLOOKUP(B591, HoldSummary!$A:$A, HoldSummary!F:F), 0)</f>
        <v>0</v>
      </c>
      <c r="AH591">
        <f>IFERROR(_xlfn.XLOOKUP(B591, HoldSummary!$A:$A, HoldSummary!G:G), 0)</f>
        <v>0</v>
      </c>
      <c r="AI591">
        <f>IFERROR(_xlfn.XLOOKUP(B591, HoldSummary!$A:$A, HoldSummary!H:H), 0)</f>
        <v>0</v>
      </c>
      <c r="AJ591">
        <f>IFERROR(_xlfn.XLOOKUP(B591, HoldSummary!$A:$A, HoldSummary!I:I), 0)</f>
        <v>0</v>
      </c>
      <c r="AK591">
        <f t="shared" si="95"/>
        <v>0</v>
      </c>
      <c r="AL591">
        <f t="shared" si="96"/>
        <v>83.323483796295477</v>
      </c>
      <c r="AM591">
        <f t="shared" si="97"/>
        <v>80.323483796295477</v>
      </c>
      <c r="AN591" s="12">
        <f t="shared" si="98"/>
        <v>10.833333333335759</v>
      </c>
      <c r="AO591">
        <f t="shared" si="99"/>
        <v>0</v>
      </c>
    </row>
    <row r="592" spans="1:41" x14ac:dyDescent="0.35">
      <c r="A592" t="s">
        <v>23</v>
      </c>
      <c r="B592" t="s">
        <v>1343</v>
      </c>
      <c r="C592" t="s">
        <v>36</v>
      </c>
      <c r="D592" t="s">
        <v>44</v>
      </c>
      <c r="E592" t="s">
        <v>45</v>
      </c>
      <c r="F592" t="s">
        <v>28</v>
      </c>
      <c r="H592" t="s">
        <v>1344</v>
      </c>
      <c r="I592" t="s">
        <v>30</v>
      </c>
      <c r="J592" t="s">
        <v>70</v>
      </c>
      <c r="K592" t="s">
        <v>48</v>
      </c>
      <c r="L592" t="s">
        <v>49</v>
      </c>
      <c r="M592" t="s">
        <v>33</v>
      </c>
      <c r="N592" s="2">
        <v>45694.631643518522</v>
      </c>
      <c r="O592" s="2">
        <v>45758.166666666664</v>
      </c>
      <c r="P592" s="2">
        <v>45814.166666666664</v>
      </c>
      <c r="Q592" s="2">
        <v>45813</v>
      </c>
      <c r="R592" s="2">
        <v>45813.58306138889</v>
      </c>
      <c r="S592" t="s">
        <v>97</v>
      </c>
      <c r="T592" s="2"/>
      <c r="U592" s="2"/>
      <c r="V592" s="2"/>
      <c r="W592" s="2"/>
      <c r="X592" s="3" t="str">
        <f t="shared" si="90"/>
        <v/>
      </c>
      <c r="Y592" t="str">
        <f t="shared" si="91"/>
        <v/>
      </c>
      <c r="Z592">
        <f t="shared" si="92"/>
        <v>0</v>
      </c>
      <c r="AA592">
        <f t="shared" si="93"/>
        <v>118.36835648147826</v>
      </c>
      <c r="AB592">
        <f t="shared" si="94"/>
        <v>118.36835648147826</v>
      </c>
      <c r="AC592">
        <f>IFERROR(_xlfn.XLOOKUP(B592, HoldSummary!$A:$A, HoldSummary!B:B), 0)</f>
        <v>0</v>
      </c>
      <c r="AD592">
        <f>IFERROR(_xlfn.XLOOKUP(B592, HoldSummary!$A:$A, HoldSummary!C:C), 0)</f>
        <v>0</v>
      </c>
      <c r="AE592">
        <f>IFERROR(_xlfn.XLOOKUP(B592, HoldSummary!$A:$A, HoldSummary!D:D), 0)</f>
        <v>0</v>
      </c>
      <c r="AF592">
        <f>IFERROR(_xlfn.XLOOKUP(B592, HoldSummary!$A:$A, HoldSummary!E:E), 0)</f>
        <v>0</v>
      </c>
      <c r="AG592">
        <f>IFERROR(_xlfn.XLOOKUP(B592, HoldSummary!$A:$A, HoldSummary!F:F), 0)</f>
        <v>0</v>
      </c>
      <c r="AH592">
        <f>IFERROR(_xlfn.XLOOKUP(B592, HoldSummary!$A:$A, HoldSummary!G:G), 0)</f>
        <v>35.049358553245838</v>
      </c>
      <c r="AI592">
        <f>IFERROR(_xlfn.XLOOKUP(B592, HoldSummary!$A:$A, HoldSummary!H:H), 0)</f>
        <v>0</v>
      </c>
      <c r="AJ592">
        <f>IFERROR(_xlfn.XLOOKUP(B592, HoldSummary!$A:$A, HoldSummary!I:I), 0)</f>
        <v>0</v>
      </c>
      <c r="AK592">
        <f t="shared" si="95"/>
        <v>35.049358553245838</v>
      </c>
      <c r="AL592">
        <f t="shared" si="96"/>
        <v>83.31899792823242</v>
      </c>
      <c r="AM592">
        <f t="shared" si="97"/>
        <v>83.31899792823242</v>
      </c>
      <c r="AN592" s="12">
        <f t="shared" si="98"/>
        <v>54.833333333335759</v>
      </c>
      <c r="AO592">
        <f t="shared" si="99"/>
        <v>0</v>
      </c>
    </row>
    <row r="593" spans="1:41" x14ac:dyDescent="0.35">
      <c r="A593" t="s">
        <v>23</v>
      </c>
      <c r="B593" t="s">
        <v>1345</v>
      </c>
      <c r="C593" t="s">
        <v>36</v>
      </c>
      <c r="D593" t="s">
        <v>44</v>
      </c>
      <c r="E593" t="s">
        <v>45</v>
      </c>
      <c r="F593" t="s">
        <v>28</v>
      </c>
      <c r="H593" t="s">
        <v>1346</v>
      </c>
      <c r="I593" t="s">
        <v>30</v>
      </c>
      <c r="J593" t="s">
        <v>31</v>
      </c>
      <c r="K593" t="s">
        <v>48</v>
      </c>
      <c r="L593" t="s">
        <v>827</v>
      </c>
      <c r="N593" s="2">
        <v>45705.571006944447</v>
      </c>
      <c r="O593" s="2">
        <v>45713.208333333336</v>
      </c>
      <c r="P593" s="2">
        <v>45713.208333333336</v>
      </c>
      <c r="Q593" s="2">
        <v>45716</v>
      </c>
      <c r="R593" s="2">
        <v>45716.85035079861</v>
      </c>
      <c r="T593" s="2"/>
      <c r="U593" s="2"/>
      <c r="V593" s="2"/>
      <c r="W593" s="2"/>
      <c r="X593" s="3" t="str">
        <f t="shared" si="90"/>
        <v/>
      </c>
      <c r="Y593" t="str">
        <f t="shared" si="91"/>
        <v/>
      </c>
      <c r="Z593">
        <f t="shared" si="92"/>
        <v>0</v>
      </c>
      <c r="AA593">
        <f t="shared" si="93"/>
        <v>10.428993055553292</v>
      </c>
      <c r="AB593">
        <f t="shared" si="94"/>
        <v>10.428993055553292</v>
      </c>
      <c r="AC593">
        <f>IFERROR(_xlfn.XLOOKUP(B593, HoldSummary!$A:$A, HoldSummary!B:B), 0)</f>
        <v>0</v>
      </c>
      <c r="AD593">
        <f>IFERROR(_xlfn.XLOOKUP(B593, HoldSummary!$A:$A, HoldSummary!C:C), 0)</f>
        <v>0</v>
      </c>
      <c r="AE593">
        <f>IFERROR(_xlfn.XLOOKUP(B593, HoldSummary!$A:$A, HoldSummary!D:D), 0)</f>
        <v>0</v>
      </c>
      <c r="AF593">
        <f>IFERROR(_xlfn.XLOOKUP(B593, HoldSummary!$A:$A, HoldSummary!E:E), 0)</f>
        <v>0</v>
      </c>
      <c r="AG593">
        <f>IFERROR(_xlfn.XLOOKUP(B593, HoldSummary!$A:$A, HoldSummary!F:F), 0)</f>
        <v>0</v>
      </c>
      <c r="AH593">
        <f>IFERROR(_xlfn.XLOOKUP(B593, HoldSummary!$A:$A, HoldSummary!G:G), 0)</f>
        <v>0</v>
      </c>
      <c r="AI593">
        <f>IFERROR(_xlfn.XLOOKUP(B593, HoldSummary!$A:$A, HoldSummary!H:H), 0)</f>
        <v>0</v>
      </c>
      <c r="AJ593">
        <f>IFERROR(_xlfn.XLOOKUP(B593, HoldSummary!$A:$A, HoldSummary!I:I), 0)</f>
        <v>0</v>
      </c>
      <c r="AK593">
        <f t="shared" si="95"/>
        <v>0</v>
      </c>
      <c r="AL593">
        <f t="shared" si="96"/>
        <v>10.428993055553292</v>
      </c>
      <c r="AM593">
        <f t="shared" si="97"/>
        <v>10.428993055553292</v>
      </c>
      <c r="AN593" s="12">
        <f t="shared" si="98"/>
        <v>2.7916666666642413</v>
      </c>
      <c r="AO593">
        <f t="shared" si="99"/>
        <v>0</v>
      </c>
    </row>
    <row r="594" spans="1:41" x14ac:dyDescent="0.35">
      <c r="A594" t="s">
        <v>23</v>
      </c>
      <c r="B594" t="s">
        <v>1347</v>
      </c>
      <c r="C594" t="s">
        <v>36</v>
      </c>
      <c r="D594" t="s">
        <v>44</v>
      </c>
      <c r="E594" t="s">
        <v>45</v>
      </c>
      <c r="F594" t="s">
        <v>28</v>
      </c>
      <c r="H594" t="s">
        <v>1348</v>
      </c>
      <c r="I594" t="s">
        <v>30</v>
      </c>
      <c r="J594" t="s">
        <v>70</v>
      </c>
      <c r="K594" t="s">
        <v>57</v>
      </c>
      <c r="L594" t="s">
        <v>39</v>
      </c>
      <c r="M594" t="s">
        <v>81</v>
      </c>
      <c r="N594" s="2">
        <v>45700.670717592591</v>
      </c>
      <c r="O594" s="2">
        <v>45744.166666666664</v>
      </c>
      <c r="P594" s="2">
        <v>45828.166666666664</v>
      </c>
      <c r="Q594" s="2">
        <v>45833</v>
      </c>
      <c r="R594" s="2">
        <v>45834.637606759257</v>
      </c>
      <c r="S594" t="s">
        <v>97</v>
      </c>
      <c r="T594" s="2"/>
      <c r="U594" s="2"/>
      <c r="V594" s="2"/>
      <c r="W594" s="2"/>
      <c r="X594" s="3" t="str">
        <f t="shared" si="90"/>
        <v/>
      </c>
      <c r="Y594" t="str">
        <f t="shared" si="91"/>
        <v/>
      </c>
      <c r="Z594">
        <f t="shared" si="92"/>
        <v>0</v>
      </c>
      <c r="AA594">
        <f t="shared" si="93"/>
        <v>132.32928240740875</v>
      </c>
      <c r="AB594">
        <f t="shared" si="94"/>
        <v>132.32928240740875</v>
      </c>
      <c r="AC594">
        <f>IFERROR(_xlfn.XLOOKUP(B594, HoldSummary!$A:$A, HoldSummary!B:B), 0)</f>
        <v>0</v>
      </c>
      <c r="AD594">
        <f>IFERROR(_xlfn.XLOOKUP(B594, HoldSummary!$A:$A, HoldSummary!C:C), 0)</f>
        <v>0</v>
      </c>
      <c r="AE594">
        <f>IFERROR(_xlfn.XLOOKUP(B594, HoldSummary!$A:$A, HoldSummary!D:D), 0)</f>
        <v>0</v>
      </c>
      <c r="AF594">
        <f>IFERROR(_xlfn.XLOOKUP(B594, HoldSummary!$A:$A, HoldSummary!E:E), 0)</f>
        <v>0</v>
      </c>
      <c r="AG594">
        <f>IFERROR(_xlfn.XLOOKUP(B594, HoldSummary!$A:$A, HoldSummary!F:F), 0)</f>
        <v>0</v>
      </c>
      <c r="AH594">
        <f>IFERROR(_xlfn.XLOOKUP(B594, HoldSummary!$A:$A, HoldSummary!G:G), 0)</f>
        <v>0</v>
      </c>
      <c r="AI594">
        <f>IFERROR(_xlfn.XLOOKUP(B594, HoldSummary!$A:$A, HoldSummary!H:H), 0)</f>
        <v>0</v>
      </c>
      <c r="AJ594">
        <f>IFERROR(_xlfn.XLOOKUP(B594, HoldSummary!$A:$A, HoldSummary!I:I), 0)</f>
        <v>0</v>
      </c>
      <c r="AK594">
        <f t="shared" si="95"/>
        <v>0</v>
      </c>
      <c r="AL594">
        <f t="shared" si="96"/>
        <v>132.32928240740875</v>
      </c>
      <c r="AM594">
        <f t="shared" si="97"/>
        <v>132.32928240740875</v>
      </c>
      <c r="AN594" s="12">
        <f t="shared" si="98"/>
        <v>88.833333333335759</v>
      </c>
      <c r="AO594">
        <f t="shared" si="99"/>
        <v>0</v>
      </c>
    </row>
    <row r="595" spans="1:41" x14ac:dyDescent="0.35">
      <c r="A595" t="s">
        <v>23</v>
      </c>
      <c r="B595" t="s">
        <v>1349</v>
      </c>
      <c r="C595" t="s">
        <v>36</v>
      </c>
      <c r="D595" t="s">
        <v>44</v>
      </c>
      <c r="E595" t="s">
        <v>45</v>
      </c>
      <c r="F595" t="s">
        <v>28</v>
      </c>
      <c r="H595" t="s">
        <v>1350</v>
      </c>
      <c r="I595" t="s">
        <v>30</v>
      </c>
      <c r="J595" t="s">
        <v>70</v>
      </c>
      <c r="K595" t="s">
        <v>174</v>
      </c>
      <c r="L595" t="s">
        <v>174</v>
      </c>
      <c r="M595" t="s">
        <v>81</v>
      </c>
      <c r="N595" s="2">
        <v>45700.675081018519</v>
      </c>
      <c r="O595" s="2">
        <v>45744.166666666664</v>
      </c>
      <c r="P595" s="2">
        <v>45828.166666666664</v>
      </c>
      <c r="Q595" s="2">
        <v>45833</v>
      </c>
      <c r="R595" s="2">
        <v>45834.656178923608</v>
      </c>
      <c r="S595" t="s">
        <v>97</v>
      </c>
      <c r="T595" s="2"/>
      <c r="U595" s="2"/>
      <c r="V595" s="2"/>
      <c r="W595" s="2"/>
      <c r="X595" s="3" t="str">
        <f t="shared" si="90"/>
        <v/>
      </c>
      <c r="Y595" t="str">
        <f t="shared" si="91"/>
        <v/>
      </c>
      <c r="Z595">
        <f t="shared" si="92"/>
        <v>0</v>
      </c>
      <c r="AA595">
        <f t="shared" si="93"/>
        <v>132.32491898148146</v>
      </c>
      <c r="AB595">
        <f t="shared" si="94"/>
        <v>132.32491898148146</v>
      </c>
      <c r="AC595">
        <f>IFERROR(_xlfn.XLOOKUP(B595, HoldSummary!$A:$A, HoldSummary!B:B), 0)</f>
        <v>0</v>
      </c>
      <c r="AD595">
        <f>IFERROR(_xlfn.XLOOKUP(B595, HoldSummary!$A:$A, HoldSummary!C:C), 0)</f>
        <v>0</v>
      </c>
      <c r="AE595">
        <f>IFERROR(_xlfn.XLOOKUP(B595, HoldSummary!$A:$A, HoldSummary!D:D), 0)</f>
        <v>0</v>
      </c>
      <c r="AF595">
        <f>IFERROR(_xlfn.XLOOKUP(B595, HoldSummary!$A:$A, HoldSummary!E:E), 0)</f>
        <v>0</v>
      </c>
      <c r="AG595">
        <f>IFERROR(_xlfn.XLOOKUP(B595, HoldSummary!$A:$A, HoldSummary!F:F), 0)</f>
        <v>0</v>
      </c>
      <c r="AH595">
        <f>IFERROR(_xlfn.XLOOKUP(B595, HoldSummary!$A:$A, HoldSummary!G:G), 0)</f>
        <v>0</v>
      </c>
      <c r="AI595">
        <f>IFERROR(_xlfn.XLOOKUP(B595, HoldSummary!$A:$A, HoldSummary!H:H), 0)</f>
        <v>0</v>
      </c>
      <c r="AJ595">
        <f>IFERROR(_xlfn.XLOOKUP(B595, HoldSummary!$A:$A, HoldSummary!I:I), 0)</f>
        <v>0</v>
      </c>
      <c r="AK595">
        <f t="shared" si="95"/>
        <v>0</v>
      </c>
      <c r="AL595">
        <f t="shared" si="96"/>
        <v>132.32491898148146</v>
      </c>
      <c r="AM595">
        <f t="shared" si="97"/>
        <v>132.32491898148146</v>
      </c>
      <c r="AN595" s="12">
        <f t="shared" si="98"/>
        <v>88.833333333335759</v>
      </c>
      <c r="AO595">
        <f t="shared" si="99"/>
        <v>0</v>
      </c>
    </row>
    <row r="596" spans="1:41" x14ac:dyDescent="0.35">
      <c r="A596" t="s">
        <v>23</v>
      </c>
      <c r="B596" t="s">
        <v>1351</v>
      </c>
      <c r="C596" t="s">
        <v>36</v>
      </c>
      <c r="D596" t="s">
        <v>44</v>
      </c>
      <c r="E596" t="s">
        <v>45</v>
      </c>
      <c r="F596" t="s">
        <v>28</v>
      </c>
      <c r="H596" t="s">
        <v>1352</v>
      </c>
      <c r="I596" t="s">
        <v>30</v>
      </c>
      <c r="J596" t="s">
        <v>31</v>
      </c>
      <c r="K596" t="s">
        <v>48</v>
      </c>
      <c r="L596" t="s">
        <v>49</v>
      </c>
      <c r="M596" t="s">
        <v>33</v>
      </c>
      <c r="N596" s="2">
        <v>45700.863310185188</v>
      </c>
      <c r="O596" s="2">
        <v>45755.166666666664</v>
      </c>
      <c r="P596" s="2">
        <v>45755.166666666664</v>
      </c>
      <c r="Q596" s="2">
        <v>45754</v>
      </c>
      <c r="R596" s="2">
        <v>45755.63711826389</v>
      </c>
      <c r="T596" s="2">
        <v>45714.208333333336</v>
      </c>
      <c r="U596" s="2">
        <v>45716.208333333336</v>
      </c>
      <c r="V596" s="2">
        <v>45716.208333333336</v>
      </c>
      <c r="W596" s="2">
        <v>45727.166666666664</v>
      </c>
      <c r="X596" s="3">
        <f t="shared" si="90"/>
        <v>2</v>
      </c>
      <c r="Y596">
        <f t="shared" si="91"/>
        <v>10.958333333328483</v>
      </c>
      <c r="Z596">
        <f t="shared" si="92"/>
        <v>12.958333333328483</v>
      </c>
      <c r="AA596">
        <f t="shared" si="93"/>
        <v>53.136689814811689</v>
      </c>
      <c r="AB596">
        <f t="shared" si="94"/>
        <v>40.178356481483206</v>
      </c>
      <c r="AC596">
        <f>IFERROR(_xlfn.XLOOKUP(B596, HoldSummary!$A:$A, HoldSummary!B:B), 0)</f>
        <v>0</v>
      </c>
      <c r="AD596">
        <f>IFERROR(_xlfn.XLOOKUP(B596, HoldSummary!$A:$A, HoldSummary!C:C), 0)</f>
        <v>0</v>
      </c>
      <c r="AE596">
        <f>IFERROR(_xlfn.XLOOKUP(B596, HoldSummary!$A:$A, HoldSummary!D:D), 0)</f>
        <v>0</v>
      </c>
      <c r="AF596">
        <f>IFERROR(_xlfn.XLOOKUP(B596, HoldSummary!$A:$A, HoldSummary!E:E), 0)</f>
        <v>0</v>
      </c>
      <c r="AG596">
        <f>IFERROR(_xlfn.XLOOKUP(B596, HoldSummary!$A:$A, HoldSummary!F:F), 0)</f>
        <v>0</v>
      </c>
      <c r="AH596">
        <f>IFERROR(_xlfn.XLOOKUP(B596, HoldSummary!$A:$A, HoldSummary!G:G), 0)</f>
        <v>0</v>
      </c>
      <c r="AI596">
        <f>IFERROR(_xlfn.XLOOKUP(B596, HoldSummary!$A:$A, HoldSummary!H:H), 0)</f>
        <v>0</v>
      </c>
      <c r="AJ596">
        <f>IFERROR(_xlfn.XLOOKUP(B596, HoldSummary!$A:$A, HoldSummary!I:I), 0)</f>
        <v>0</v>
      </c>
      <c r="AK596">
        <f t="shared" si="95"/>
        <v>0</v>
      </c>
      <c r="AL596">
        <f t="shared" si="96"/>
        <v>53.136689814811689</v>
      </c>
      <c r="AM596">
        <f t="shared" si="97"/>
        <v>40.178356481483206</v>
      </c>
      <c r="AN596" s="12">
        <f t="shared" si="98"/>
        <v>-1.1666666666642413</v>
      </c>
      <c r="AO596">
        <f t="shared" si="99"/>
        <v>1</v>
      </c>
    </row>
    <row r="597" spans="1:41" x14ac:dyDescent="0.35">
      <c r="A597" t="s">
        <v>23</v>
      </c>
      <c r="B597" t="s">
        <v>1353</v>
      </c>
      <c r="C597" t="s">
        <v>36</v>
      </c>
      <c r="D597" t="s">
        <v>44</v>
      </c>
      <c r="E597" t="s">
        <v>27</v>
      </c>
      <c r="F597" t="s">
        <v>28</v>
      </c>
      <c r="H597" t="s">
        <v>1354</v>
      </c>
      <c r="I597" t="s">
        <v>30</v>
      </c>
      <c r="J597" t="s">
        <v>70</v>
      </c>
      <c r="K597" t="s">
        <v>38</v>
      </c>
      <c r="L597" t="s">
        <v>39</v>
      </c>
      <c r="M597" t="s">
        <v>33</v>
      </c>
      <c r="N597" s="2">
        <v>45531.458043981482</v>
      </c>
      <c r="O597" s="2">
        <v>45772.166666666664</v>
      </c>
      <c r="P597" s="2">
        <v>45786.166666666664</v>
      </c>
      <c r="Q597" s="2">
        <v>45789</v>
      </c>
      <c r="R597" s="2">
        <v>45789.792289733799</v>
      </c>
      <c r="S597" t="s">
        <v>104</v>
      </c>
      <c r="T597" s="2"/>
      <c r="U597" s="2"/>
      <c r="V597" s="2"/>
      <c r="W597" s="2"/>
      <c r="X597" s="3" t="str">
        <f t="shared" si="90"/>
        <v/>
      </c>
      <c r="Y597" t="str">
        <f t="shared" si="91"/>
        <v/>
      </c>
      <c r="Z597">
        <f t="shared" si="92"/>
        <v>0</v>
      </c>
      <c r="AA597">
        <f t="shared" si="93"/>
        <v>257.54195601851825</v>
      </c>
      <c r="AB597">
        <f t="shared" si="94"/>
        <v>257.54195601851825</v>
      </c>
      <c r="AC597">
        <f>IFERROR(_xlfn.XLOOKUP(B597, HoldSummary!$A:$A, HoldSummary!B:B), 0)</f>
        <v>0</v>
      </c>
      <c r="AD597">
        <f>IFERROR(_xlfn.XLOOKUP(B597, HoldSummary!$A:$A, HoldSummary!C:C), 0)</f>
        <v>0</v>
      </c>
      <c r="AE597">
        <f>IFERROR(_xlfn.XLOOKUP(B597, HoldSummary!$A:$A, HoldSummary!D:D), 0)</f>
        <v>0</v>
      </c>
      <c r="AF597">
        <f>IFERROR(_xlfn.XLOOKUP(B597, HoldSummary!$A:$A, HoldSummary!E:E), 0)</f>
        <v>0</v>
      </c>
      <c r="AG597">
        <f>IFERROR(_xlfn.XLOOKUP(B597, HoldSummary!$A:$A, HoldSummary!F:F), 0)</f>
        <v>0</v>
      </c>
      <c r="AH597">
        <f>IFERROR(_xlfn.XLOOKUP(B597, HoldSummary!$A:$A, HoldSummary!G:G), 0)</f>
        <v>0</v>
      </c>
      <c r="AI597">
        <f>IFERROR(_xlfn.XLOOKUP(B597, HoldSummary!$A:$A, HoldSummary!H:H), 0)</f>
        <v>0</v>
      </c>
      <c r="AJ597">
        <f>IFERROR(_xlfn.XLOOKUP(B597, HoldSummary!$A:$A, HoldSummary!I:I), 0)</f>
        <v>0</v>
      </c>
      <c r="AK597">
        <f t="shared" si="95"/>
        <v>0</v>
      </c>
      <c r="AL597">
        <f t="shared" si="96"/>
        <v>257.54195601851825</v>
      </c>
      <c r="AM597">
        <f t="shared" si="97"/>
        <v>257.54195601851825</v>
      </c>
      <c r="AN597" s="12">
        <f t="shared" si="98"/>
        <v>16.833333333335759</v>
      </c>
      <c r="AO597">
        <f t="shared" si="99"/>
        <v>0</v>
      </c>
    </row>
    <row r="598" spans="1:41" x14ac:dyDescent="0.35">
      <c r="A598" t="s">
        <v>23</v>
      </c>
      <c r="B598" t="s">
        <v>1355</v>
      </c>
      <c r="C598" t="s">
        <v>36</v>
      </c>
      <c r="D598" t="s">
        <v>44</v>
      </c>
      <c r="E598" t="s">
        <v>45</v>
      </c>
      <c r="F598" t="s">
        <v>28</v>
      </c>
      <c r="H598" t="s">
        <v>1356</v>
      </c>
      <c r="I598" t="s">
        <v>30</v>
      </c>
      <c r="J598" t="s">
        <v>31</v>
      </c>
      <c r="K598" t="s">
        <v>48</v>
      </c>
      <c r="L598" t="s">
        <v>827</v>
      </c>
      <c r="M598" t="s">
        <v>33</v>
      </c>
      <c r="N598" s="2">
        <v>45705.874525462961</v>
      </c>
      <c r="O598" s="2">
        <v>45716.208333333336</v>
      </c>
      <c r="P598" s="2">
        <v>45716.208333333336</v>
      </c>
      <c r="Q598" s="2">
        <v>45715</v>
      </c>
      <c r="R598" s="2">
        <v>45715.561405567132</v>
      </c>
      <c r="T598" s="2"/>
      <c r="U598" s="2"/>
      <c r="V598" s="2"/>
      <c r="W598" s="2"/>
      <c r="X598" s="3" t="str">
        <f t="shared" si="90"/>
        <v/>
      </c>
      <c r="Y598" t="str">
        <f t="shared" si="91"/>
        <v/>
      </c>
      <c r="Z598">
        <f t="shared" si="92"/>
        <v>0</v>
      </c>
      <c r="AA598">
        <f t="shared" si="93"/>
        <v>9.1254745370388264</v>
      </c>
      <c r="AB598">
        <f t="shared" si="94"/>
        <v>9.1254745370388264</v>
      </c>
      <c r="AC598">
        <f>IFERROR(_xlfn.XLOOKUP(B598, HoldSummary!$A:$A, HoldSummary!B:B), 0)</f>
        <v>0</v>
      </c>
      <c r="AD598">
        <f>IFERROR(_xlfn.XLOOKUP(B598, HoldSummary!$A:$A, HoldSummary!C:C), 0)</f>
        <v>0</v>
      </c>
      <c r="AE598">
        <f>IFERROR(_xlfn.XLOOKUP(B598, HoldSummary!$A:$A, HoldSummary!D:D), 0)</f>
        <v>0</v>
      </c>
      <c r="AF598">
        <f>IFERROR(_xlfn.XLOOKUP(B598, HoldSummary!$A:$A, HoldSummary!E:E), 0)</f>
        <v>0</v>
      </c>
      <c r="AG598">
        <f>IFERROR(_xlfn.XLOOKUP(B598, HoldSummary!$A:$A, HoldSummary!F:F), 0)</f>
        <v>0</v>
      </c>
      <c r="AH598">
        <f>IFERROR(_xlfn.XLOOKUP(B598, HoldSummary!$A:$A, HoldSummary!G:G), 0)</f>
        <v>0</v>
      </c>
      <c r="AI598">
        <f>IFERROR(_xlfn.XLOOKUP(B598, HoldSummary!$A:$A, HoldSummary!H:H), 0)</f>
        <v>0</v>
      </c>
      <c r="AJ598">
        <f>IFERROR(_xlfn.XLOOKUP(B598, HoldSummary!$A:$A, HoldSummary!I:I), 0)</f>
        <v>0</v>
      </c>
      <c r="AK598">
        <f t="shared" si="95"/>
        <v>0</v>
      </c>
      <c r="AL598">
        <f t="shared" si="96"/>
        <v>9.1254745370388264</v>
      </c>
      <c r="AM598">
        <f t="shared" si="97"/>
        <v>9.1254745370388264</v>
      </c>
      <c r="AN598" s="12">
        <f t="shared" si="98"/>
        <v>-1.2083333333357587</v>
      </c>
      <c r="AO598">
        <f t="shared" si="99"/>
        <v>1</v>
      </c>
    </row>
    <row r="599" spans="1:41" x14ac:dyDescent="0.35">
      <c r="A599" t="s">
        <v>23</v>
      </c>
      <c r="B599" t="s">
        <v>1357</v>
      </c>
      <c r="C599" t="s">
        <v>130</v>
      </c>
      <c r="D599" t="s">
        <v>44</v>
      </c>
      <c r="E599" t="s">
        <v>45</v>
      </c>
      <c r="F599" t="s">
        <v>28</v>
      </c>
      <c r="H599" t="s">
        <v>1358</v>
      </c>
      <c r="I599" t="s">
        <v>30</v>
      </c>
      <c r="J599" t="s">
        <v>31</v>
      </c>
      <c r="K599" t="s">
        <v>38</v>
      </c>
      <c r="L599" t="s">
        <v>39</v>
      </c>
      <c r="M599" t="s">
        <v>33</v>
      </c>
      <c r="N599" s="2">
        <v>45712.795335648145</v>
      </c>
      <c r="O599" s="2">
        <v>45876.166666666664</v>
      </c>
      <c r="P599" s="2">
        <v>45819.166666666664</v>
      </c>
      <c r="Q599" s="2">
        <v>45811</v>
      </c>
      <c r="R599" s="2">
        <v>45811.768311446758</v>
      </c>
      <c r="S599" t="s">
        <v>1359</v>
      </c>
      <c r="T599" s="2">
        <v>45777.166666666664</v>
      </c>
      <c r="U599" s="2">
        <v>45777.166666666664</v>
      </c>
      <c r="V599" s="2">
        <v>45777.166666666664</v>
      </c>
      <c r="W599" s="2">
        <v>45777.166666666664</v>
      </c>
      <c r="X599" s="3">
        <f t="shared" si="90"/>
        <v>0</v>
      </c>
      <c r="Y599">
        <f t="shared" si="91"/>
        <v>0</v>
      </c>
      <c r="Z599">
        <f t="shared" si="92"/>
        <v>0</v>
      </c>
      <c r="AA599">
        <f t="shared" si="93"/>
        <v>98.204664351855172</v>
      </c>
      <c r="AB599">
        <f t="shared" si="94"/>
        <v>98.204664351855172</v>
      </c>
      <c r="AC599">
        <f>IFERROR(_xlfn.XLOOKUP(B599, HoldSummary!$A:$A, HoldSummary!B:B), 0)</f>
        <v>0</v>
      </c>
      <c r="AD599">
        <f>IFERROR(_xlfn.XLOOKUP(B599, HoldSummary!$A:$A, HoldSummary!C:C), 0)</f>
        <v>9</v>
      </c>
      <c r="AE599">
        <f>IFERROR(_xlfn.XLOOKUP(B599, HoldSummary!$A:$A, HoldSummary!D:D), 0)</f>
        <v>0</v>
      </c>
      <c r="AF599">
        <f>IFERROR(_xlfn.XLOOKUP(B599, HoldSummary!$A:$A, HoldSummary!E:E), 0)</f>
        <v>0</v>
      </c>
      <c r="AG599">
        <f>IFERROR(_xlfn.XLOOKUP(B599, HoldSummary!$A:$A, HoldSummary!F:F), 0)</f>
        <v>0</v>
      </c>
      <c r="AH599">
        <f>IFERROR(_xlfn.XLOOKUP(B599, HoldSummary!$A:$A, HoldSummary!G:G), 0)</f>
        <v>0</v>
      </c>
      <c r="AI599">
        <f>IFERROR(_xlfn.XLOOKUP(B599, HoldSummary!$A:$A, HoldSummary!H:H), 0)</f>
        <v>0</v>
      </c>
      <c r="AJ599">
        <f>IFERROR(_xlfn.XLOOKUP(B599, HoldSummary!$A:$A, HoldSummary!I:I), 0)</f>
        <v>0</v>
      </c>
      <c r="AK599">
        <f t="shared" si="95"/>
        <v>9</v>
      </c>
      <c r="AL599">
        <f t="shared" si="96"/>
        <v>89.204664351855172</v>
      </c>
      <c r="AM599">
        <f t="shared" si="97"/>
        <v>89.204664351855172</v>
      </c>
      <c r="AN599" s="12">
        <f t="shared" si="98"/>
        <v>-65.166666666664241</v>
      </c>
      <c r="AO599">
        <f t="shared" si="99"/>
        <v>1</v>
      </c>
    </row>
    <row r="600" spans="1:41" x14ac:dyDescent="0.35">
      <c r="A600" t="s">
        <v>23</v>
      </c>
      <c r="B600" t="s">
        <v>1360</v>
      </c>
      <c r="C600" t="s">
        <v>36</v>
      </c>
      <c r="D600" t="s">
        <v>44</v>
      </c>
      <c r="E600" t="s">
        <v>45</v>
      </c>
      <c r="F600" t="s">
        <v>28</v>
      </c>
      <c r="H600" t="s">
        <v>1361</v>
      </c>
      <c r="I600" t="s">
        <v>30</v>
      </c>
      <c r="J600" t="s">
        <v>70</v>
      </c>
      <c r="K600" t="s">
        <v>38</v>
      </c>
      <c r="L600" t="s">
        <v>39</v>
      </c>
      <c r="M600" t="s">
        <v>33</v>
      </c>
      <c r="N600" s="2">
        <v>45645.548784722225</v>
      </c>
      <c r="O600" s="2">
        <v>45737.166666666664</v>
      </c>
      <c r="P600" s="2">
        <v>45757.166666666664</v>
      </c>
      <c r="Q600" s="2">
        <v>45755</v>
      </c>
      <c r="R600" s="2">
        <v>45755.813613437502</v>
      </c>
      <c r="S600" t="s">
        <v>93</v>
      </c>
      <c r="T600" s="2"/>
      <c r="U600" s="2"/>
      <c r="V600" s="2"/>
      <c r="W600" s="2"/>
      <c r="X600" s="3" t="str">
        <f t="shared" si="90"/>
        <v/>
      </c>
      <c r="Y600" t="str">
        <f t="shared" si="91"/>
        <v/>
      </c>
      <c r="Z600">
        <f t="shared" si="92"/>
        <v>0</v>
      </c>
      <c r="AA600">
        <f t="shared" si="93"/>
        <v>109.45121527777519</v>
      </c>
      <c r="AB600">
        <f t="shared" si="94"/>
        <v>109.45121527777519</v>
      </c>
      <c r="AC600">
        <f>IFERROR(_xlfn.XLOOKUP(B600, HoldSummary!$A:$A, HoldSummary!B:B), 0)</f>
        <v>0</v>
      </c>
      <c r="AD600">
        <f>IFERROR(_xlfn.XLOOKUP(B600, HoldSummary!$A:$A, HoldSummary!C:C), 0)</f>
        <v>0</v>
      </c>
      <c r="AE600">
        <f>IFERROR(_xlfn.XLOOKUP(B600, HoldSummary!$A:$A, HoldSummary!D:D), 0)</f>
        <v>0</v>
      </c>
      <c r="AF600">
        <f>IFERROR(_xlfn.XLOOKUP(B600, HoldSummary!$A:$A, HoldSummary!E:E), 0)</f>
        <v>0</v>
      </c>
      <c r="AG600">
        <f>IFERROR(_xlfn.XLOOKUP(B600, HoldSummary!$A:$A, HoldSummary!F:F), 0)</f>
        <v>0</v>
      </c>
      <c r="AH600">
        <f>IFERROR(_xlfn.XLOOKUP(B600, HoldSummary!$A:$A, HoldSummary!G:G), 0)</f>
        <v>0</v>
      </c>
      <c r="AI600">
        <f>IFERROR(_xlfn.XLOOKUP(B600, HoldSummary!$A:$A, HoldSummary!H:H), 0)</f>
        <v>0</v>
      </c>
      <c r="AJ600">
        <f>IFERROR(_xlfn.XLOOKUP(B600, HoldSummary!$A:$A, HoldSummary!I:I), 0)</f>
        <v>0</v>
      </c>
      <c r="AK600">
        <f t="shared" si="95"/>
        <v>0</v>
      </c>
      <c r="AL600">
        <f t="shared" si="96"/>
        <v>109.45121527777519</v>
      </c>
      <c r="AM600">
        <f t="shared" si="97"/>
        <v>109.45121527777519</v>
      </c>
      <c r="AN600" s="12">
        <f t="shared" si="98"/>
        <v>17.833333333335759</v>
      </c>
      <c r="AO600">
        <f t="shared" si="99"/>
        <v>0</v>
      </c>
    </row>
    <row r="601" spans="1:41" x14ac:dyDescent="0.35">
      <c r="A601" t="s">
        <v>23</v>
      </c>
      <c r="B601" t="s">
        <v>1362</v>
      </c>
      <c r="C601" t="s">
        <v>36</v>
      </c>
      <c r="D601" t="s">
        <v>44</v>
      </c>
      <c r="E601" t="s">
        <v>45</v>
      </c>
      <c r="F601" t="s">
        <v>28</v>
      </c>
      <c r="H601" t="s">
        <v>1363</v>
      </c>
      <c r="I601" t="s">
        <v>30</v>
      </c>
      <c r="J601" t="s">
        <v>70</v>
      </c>
      <c r="K601" t="s">
        <v>48</v>
      </c>
      <c r="L601" t="s">
        <v>49</v>
      </c>
      <c r="M601" t="s">
        <v>33</v>
      </c>
      <c r="N601" s="2">
        <v>45712.660543981481</v>
      </c>
      <c r="O601" s="2">
        <v>45747.166666666664</v>
      </c>
      <c r="P601" s="2">
        <v>45747.166666666664</v>
      </c>
      <c r="Q601" s="2">
        <v>45729</v>
      </c>
      <c r="R601" s="2">
        <v>45735.825525682871</v>
      </c>
      <c r="T601" s="2"/>
      <c r="U601" s="2"/>
      <c r="V601" s="2"/>
      <c r="W601" s="2"/>
      <c r="X601" s="3" t="str">
        <f t="shared" si="90"/>
        <v/>
      </c>
      <c r="Y601" t="str">
        <f t="shared" si="91"/>
        <v/>
      </c>
      <c r="Z601">
        <f t="shared" si="92"/>
        <v>0</v>
      </c>
      <c r="AA601">
        <f t="shared" si="93"/>
        <v>16.339456018518831</v>
      </c>
      <c r="AB601">
        <f t="shared" si="94"/>
        <v>16.339456018518831</v>
      </c>
      <c r="AC601">
        <f>IFERROR(_xlfn.XLOOKUP(B601, HoldSummary!$A:$A, HoldSummary!B:B), 0)</f>
        <v>0</v>
      </c>
      <c r="AD601">
        <f>IFERROR(_xlfn.XLOOKUP(B601, HoldSummary!$A:$A, HoldSummary!C:C), 0)</f>
        <v>0</v>
      </c>
      <c r="AE601">
        <f>IFERROR(_xlfn.XLOOKUP(B601, HoldSummary!$A:$A, HoldSummary!D:D), 0)</f>
        <v>0</v>
      </c>
      <c r="AF601">
        <f>IFERROR(_xlfn.XLOOKUP(B601, HoldSummary!$A:$A, HoldSummary!E:E), 0)</f>
        <v>0</v>
      </c>
      <c r="AG601">
        <f>IFERROR(_xlfn.XLOOKUP(B601, HoldSummary!$A:$A, HoldSummary!F:F), 0)</f>
        <v>0</v>
      </c>
      <c r="AH601">
        <f>IFERROR(_xlfn.XLOOKUP(B601, HoldSummary!$A:$A, HoldSummary!G:G), 0)</f>
        <v>0</v>
      </c>
      <c r="AI601">
        <f>IFERROR(_xlfn.XLOOKUP(B601, HoldSummary!$A:$A, HoldSummary!H:H), 0)</f>
        <v>0</v>
      </c>
      <c r="AJ601">
        <f>IFERROR(_xlfn.XLOOKUP(B601, HoldSummary!$A:$A, HoldSummary!I:I), 0)</f>
        <v>0</v>
      </c>
      <c r="AK601">
        <f t="shared" si="95"/>
        <v>0</v>
      </c>
      <c r="AL601">
        <f t="shared" si="96"/>
        <v>16.339456018518831</v>
      </c>
      <c r="AM601">
        <f t="shared" si="97"/>
        <v>16.339456018518831</v>
      </c>
      <c r="AN601" s="12">
        <f t="shared" si="98"/>
        <v>-18.166666666664241</v>
      </c>
      <c r="AO601">
        <f t="shared" si="99"/>
        <v>1</v>
      </c>
    </row>
    <row r="602" spans="1:41" x14ac:dyDescent="0.35">
      <c r="A602" t="s">
        <v>23</v>
      </c>
      <c r="B602" t="s">
        <v>1364</v>
      </c>
      <c r="C602" t="s">
        <v>36</v>
      </c>
      <c r="D602" t="s">
        <v>44</v>
      </c>
      <c r="E602" t="s">
        <v>44</v>
      </c>
      <c r="F602" t="s">
        <v>28</v>
      </c>
      <c r="H602" t="s">
        <v>1365</v>
      </c>
      <c r="I602" t="s">
        <v>30</v>
      </c>
      <c r="J602" t="s">
        <v>70</v>
      </c>
      <c r="K602" t="s">
        <v>48</v>
      </c>
      <c r="L602" t="s">
        <v>49</v>
      </c>
      <c r="M602" t="s">
        <v>33</v>
      </c>
      <c r="N602" s="2">
        <v>45712.208333333336</v>
      </c>
      <c r="O602" s="2">
        <v>45737.166666666664</v>
      </c>
      <c r="P602" s="2">
        <v>45737.166666666664</v>
      </c>
      <c r="Q602" s="2">
        <v>45743</v>
      </c>
      <c r="R602" s="2">
        <v>45743.794994814816</v>
      </c>
      <c r="S602" t="s">
        <v>1366</v>
      </c>
      <c r="T602" s="2"/>
      <c r="U602" s="2"/>
      <c r="V602" s="2"/>
      <c r="W602" s="2"/>
      <c r="X602" s="3" t="str">
        <f t="shared" si="90"/>
        <v/>
      </c>
      <c r="Y602" t="str">
        <f t="shared" si="91"/>
        <v/>
      </c>
      <c r="Z602">
        <f t="shared" si="92"/>
        <v>0</v>
      </c>
      <c r="AA602">
        <f t="shared" si="93"/>
        <v>30.791666666664241</v>
      </c>
      <c r="AB602">
        <f t="shared" si="94"/>
        <v>30.791666666664241</v>
      </c>
      <c r="AC602">
        <f>IFERROR(_xlfn.XLOOKUP(B602, HoldSummary!$A:$A, HoldSummary!B:B), 0)</f>
        <v>0</v>
      </c>
      <c r="AD602">
        <f>IFERROR(_xlfn.XLOOKUP(B602, HoldSummary!$A:$A, HoldSummary!C:C), 0)</f>
        <v>0</v>
      </c>
      <c r="AE602">
        <f>IFERROR(_xlfn.XLOOKUP(B602, HoldSummary!$A:$A, HoldSummary!D:D), 0)</f>
        <v>0</v>
      </c>
      <c r="AF602">
        <f>IFERROR(_xlfn.XLOOKUP(B602, HoldSummary!$A:$A, HoldSummary!E:E), 0)</f>
        <v>0</v>
      </c>
      <c r="AG602">
        <f>IFERROR(_xlfn.XLOOKUP(B602, HoldSummary!$A:$A, HoldSummary!F:F), 0)</f>
        <v>0</v>
      </c>
      <c r="AH602">
        <f>IFERROR(_xlfn.XLOOKUP(B602, HoldSummary!$A:$A, HoldSummary!G:G), 0)</f>
        <v>0</v>
      </c>
      <c r="AI602">
        <f>IFERROR(_xlfn.XLOOKUP(B602, HoldSummary!$A:$A, HoldSummary!H:H), 0)</f>
        <v>0</v>
      </c>
      <c r="AJ602">
        <f>IFERROR(_xlfn.XLOOKUP(B602, HoldSummary!$A:$A, HoldSummary!I:I), 0)</f>
        <v>0</v>
      </c>
      <c r="AK602">
        <f t="shared" si="95"/>
        <v>0</v>
      </c>
      <c r="AL602">
        <f t="shared" si="96"/>
        <v>30.791666666664241</v>
      </c>
      <c r="AM602">
        <f t="shared" si="97"/>
        <v>30.791666666664241</v>
      </c>
      <c r="AN602" s="12">
        <f t="shared" si="98"/>
        <v>5.8333333333357587</v>
      </c>
      <c r="AO602">
        <f t="shared" si="99"/>
        <v>0</v>
      </c>
    </row>
    <row r="603" spans="1:41" x14ac:dyDescent="0.35">
      <c r="A603" t="s">
        <v>23</v>
      </c>
      <c r="B603" t="s">
        <v>1367</v>
      </c>
      <c r="C603" t="s">
        <v>130</v>
      </c>
      <c r="D603" t="s">
        <v>44</v>
      </c>
      <c r="E603" t="s">
        <v>45</v>
      </c>
      <c r="F603" t="s">
        <v>28</v>
      </c>
      <c r="H603" t="s">
        <v>1368</v>
      </c>
      <c r="I603" t="s">
        <v>30</v>
      </c>
      <c r="J603" t="s">
        <v>31</v>
      </c>
      <c r="K603" t="s">
        <v>38</v>
      </c>
      <c r="L603" t="s">
        <v>39</v>
      </c>
      <c r="M603" t="s">
        <v>33</v>
      </c>
      <c r="N603" s="2">
        <v>45687.808194444442</v>
      </c>
      <c r="O603" s="2">
        <v>45876.166666666664</v>
      </c>
      <c r="P603" s="2">
        <v>45855.166666666664</v>
      </c>
      <c r="Q603" s="2">
        <v>45811</v>
      </c>
      <c r="R603" s="2">
        <v>45812.585670208333</v>
      </c>
      <c r="S603" t="s">
        <v>97</v>
      </c>
      <c r="T603" s="2">
        <v>45805.166666666664</v>
      </c>
      <c r="U603" s="2">
        <v>45805.166666666664</v>
      </c>
      <c r="V603" s="2">
        <v>45805.166666666664</v>
      </c>
      <c r="W603" s="2">
        <v>45805.166666666664</v>
      </c>
      <c r="X603" s="3">
        <f t="shared" si="90"/>
        <v>0</v>
      </c>
      <c r="Y603">
        <f t="shared" si="91"/>
        <v>0</v>
      </c>
      <c r="Z603">
        <f t="shared" si="92"/>
        <v>0</v>
      </c>
      <c r="AA603">
        <f t="shared" si="93"/>
        <v>123.19180555555795</v>
      </c>
      <c r="AB603">
        <f t="shared" si="94"/>
        <v>123.19180555555795</v>
      </c>
      <c r="AC603">
        <f>IFERROR(_xlfn.XLOOKUP(B603, HoldSummary!$A:$A, HoldSummary!B:B), 0)</f>
        <v>17</v>
      </c>
      <c r="AD603">
        <f>IFERROR(_xlfn.XLOOKUP(B603, HoldSummary!$A:$A, HoldSummary!C:C), 0)</f>
        <v>0</v>
      </c>
      <c r="AE603">
        <f>IFERROR(_xlfn.XLOOKUP(B603, HoldSummary!$A:$A, HoldSummary!D:D), 0)</f>
        <v>0</v>
      </c>
      <c r="AF603">
        <f>IFERROR(_xlfn.XLOOKUP(B603, HoldSummary!$A:$A, HoldSummary!E:E), 0)</f>
        <v>0</v>
      </c>
      <c r="AG603">
        <f>IFERROR(_xlfn.XLOOKUP(B603, HoldSummary!$A:$A, HoldSummary!F:F), 0)</f>
        <v>0</v>
      </c>
      <c r="AH603">
        <f>IFERROR(_xlfn.XLOOKUP(B603, HoldSummary!$A:$A, HoldSummary!G:G), 0)</f>
        <v>0</v>
      </c>
      <c r="AI603">
        <f>IFERROR(_xlfn.XLOOKUP(B603, HoldSummary!$A:$A, HoldSummary!H:H), 0)</f>
        <v>0</v>
      </c>
      <c r="AJ603">
        <f>IFERROR(_xlfn.XLOOKUP(B603, HoldSummary!$A:$A, HoldSummary!I:I), 0)</f>
        <v>0</v>
      </c>
      <c r="AK603">
        <f t="shared" si="95"/>
        <v>17</v>
      </c>
      <c r="AL603">
        <f t="shared" si="96"/>
        <v>106.19180555555795</v>
      </c>
      <c r="AM603">
        <f t="shared" si="97"/>
        <v>106.19180555555795</v>
      </c>
      <c r="AN603" s="12">
        <f t="shared" si="98"/>
        <v>-65.166666666664241</v>
      </c>
      <c r="AO603">
        <f t="shared" si="99"/>
        <v>1</v>
      </c>
    </row>
    <row r="604" spans="1:41" x14ac:dyDescent="0.35">
      <c r="A604" t="s">
        <v>23</v>
      </c>
      <c r="B604" t="s">
        <v>1369</v>
      </c>
      <c r="C604" t="s">
        <v>36</v>
      </c>
      <c r="D604" t="s">
        <v>44</v>
      </c>
      <c r="E604" t="s">
        <v>45</v>
      </c>
      <c r="F604" t="s">
        <v>28</v>
      </c>
      <c r="H604" t="s">
        <v>1370</v>
      </c>
      <c r="I604" t="s">
        <v>30</v>
      </c>
      <c r="J604" t="s">
        <v>31</v>
      </c>
      <c r="K604" t="s">
        <v>48</v>
      </c>
      <c r="L604" t="s">
        <v>49</v>
      </c>
      <c r="M604" t="s">
        <v>33</v>
      </c>
      <c r="N604" s="2">
        <v>45719.735879629632</v>
      </c>
      <c r="O604" s="2">
        <v>45758.166666666664</v>
      </c>
      <c r="P604" s="2">
        <v>45758.166666666664</v>
      </c>
      <c r="Q604" s="2">
        <v>45756</v>
      </c>
      <c r="R604" s="2">
        <v>45757.456524270834</v>
      </c>
      <c r="T604" s="2">
        <v>45728.166666666664</v>
      </c>
      <c r="U604" s="2">
        <v>45728.166666666664</v>
      </c>
      <c r="V604" s="2"/>
      <c r="W604" s="2">
        <v>45736.166666666664</v>
      </c>
      <c r="X604" s="3">
        <f t="shared" si="90"/>
        <v>0</v>
      </c>
      <c r="Y604" t="str">
        <f t="shared" si="91"/>
        <v/>
      </c>
      <c r="Z604">
        <f t="shared" si="92"/>
        <v>0</v>
      </c>
      <c r="AA604">
        <f t="shared" si="93"/>
        <v>36.264120370367891</v>
      </c>
      <c r="AB604">
        <f t="shared" si="94"/>
        <v>36.264120370367891</v>
      </c>
      <c r="AC604">
        <f>IFERROR(_xlfn.XLOOKUP(B604, HoldSummary!$A:$A, HoldSummary!B:B), 0)</f>
        <v>0</v>
      </c>
      <c r="AD604">
        <f>IFERROR(_xlfn.XLOOKUP(B604, HoldSummary!$A:$A, HoldSummary!C:C), 0)</f>
        <v>0</v>
      </c>
      <c r="AE604">
        <f>IFERROR(_xlfn.XLOOKUP(B604, HoldSummary!$A:$A, HoldSummary!D:D), 0)</f>
        <v>0</v>
      </c>
      <c r="AF604">
        <f>IFERROR(_xlfn.XLOOKUP(B604, HoldSummary!$A:$A, HoldSummary!E:E), 0)</f>
        <v>0</v>
      </c>
      <c r="AG604">
        <f>IFERROR(_xlfn.XLOOKUP(B604, HoldSummary!$A:$A, HoldSummary!F:F), 0)</f>
        <v>0</v>
      </c>
      <c r="AH604">
        <f>IFERROR(_xlfn.XLOOKUP(B604, HoldSummary!$A:$A, HoldSummary!G:G), 0)</f>
        <v>0</v>
      </c>
      <c r="AI604">
        <f>IFERROR(_xlfn.XLOOKUP(B604, HoldSummary!$A:$A, HoldSummary!H:H), 0)</f>
        <v>0</v>
      </c>
      <c r="AJ604">
        <f>IFERROR(_xlfn.XLOOKUP(B604, HoldSummary!$A:$A, HoldSummary!I:I), 0)</f>
        <v>0</v>
      </c>
      <c r="AK604">
        <f t="shared" si="95"/>
        <v>0</v>
      </c>
      <c r="AL604">
        <f t="shared" si="96"/>
        <v>36.264120370367891</v>
      </c>
      <c r="AM604">
        <f t="shared" si="97"/>
        <v>36.264120370367891</v>
      </c>
      <c r="AN604" s="12">
        <f t="shared" si="98"/>
        <v>-2.1666666666642413</v>
      </c>
      <c r="AO604">
        <f t="shared" si="99"/>
        <v>1</v>
      </c>
    </row>
    <row r="605" spans="1:41" x14ac:dyDescent="0.35">
      <c r="A605" t="s">
        <v>23</v>
      </c>
      <c r="B605" t="s">
        <v>1371</v>
      </c>
      <c r="C605" t="s">
        <v>36</v>
      </c>
      <c r="D605" t="s">
        <v>44</v>
      </c>
      <c r="E605" t="s">
        <v>45</v>
      </c>
      <c r="F605" t="s">
        <v>28</v>
      </c>
      <c r="H605" t="s">
        <v>1372</v>
      </c>
      <c r="I605" t="s">
        <v>30</v>
      </c>
      <c r="J605" t="s">
        <v>31</v>
      </c>
      <c r="K605" t="s">
        <v>48</v>
      </c>
      <c r="L605" t="s">
        <v>192</v>
      </c>
      <c r="M605" t="s">
        <v>33</v>
      </c>
      <c r="N605" s="2">
        <v>45720.822476851848</v>
      </c>
      <c r="O605" s="2">
        <v>45754.166666666664</v>
      </c>
      <c r="P605" s="2">
        <v>45754.166666666664</v>
      </c>
      <c r="Q605" s="2">
        <v>45744</v>
      </c>
      <c r="R605" s="2">
        <v>45747.636482372684</v>
      </c>
      <c r="T605" s="2">
        <v>45737.166666666664</v>
      </c>
      <c r="U605" s="2">
        <v>45737.166666666664</v>
      </c>
      <c r="V605" s="2"/>
      <c r="W605" s="2">
        <v>45737.166666666664</v>
      </c>
      <c r="X605" s="3">
        <f t="shared" si="90"/>
        <v>0</v>
      </c>
      <c r="Y605" t="str">
        <f t="shared" si="91"/>
        <v/>
      </c>
      <c r="Z605">
        <f t="shared" si="92"/>
        <v>0</v>
      </c>
      <c r="AA605">
        <f t="shared" si="93"/>
        <v>23.177523148151522</v>
      </c>
      <c r="AB605">
        <f t="shared" si="94"/>
        <v>23.177523148151522</v>
      </c>
      <c r="AC605">
        <f>IFERROR(_xlfn.XLOOKUP(B605, HoldSummary!$A:$A, HoldSummary!B:B), 0)</f>
        <v>0</v>
      </c>
      <c r="AD605">
        <f>IFERROR(_xlfn.XLOOKUP(B605, HoldSummary!$A:$A, HoldSummary!C:C), 0)</f>
        <v>0</v>
      </c>
      <c r="AE605">
        <f>IFERROR(_xlfn.XLOOKUP(B605, HoldSummary!$A:$A, HoldSummary!D:D), 0)</f>
        <v>0</v>
      </c>
      <c r="AF605">
        <f>IFERROR(_xlfn.XLOOKUP(B605, HoldSummary!$A:$A, HoldSummary!E:E), 0)</f>
        <v>0</v>
      </c>
      <c r="AG605">
        <f>IFERROR(_xlfn.XLOOKUP(B605, HoldSummary!$A:$A, HoldSummary!F:F), 0)</f>
        <v>0</v>
      </c>
      <c r="AH605">
        <f>IFERROR(_xlfn.XLOOKUP(B605, HoldSummary!$A:$A, HoldSummary!G:G), 0)</f>
        <v>0</v>
      </c>
      <c r="AI605">
        <f>IFERROR(_xlfn.XLOOKUP(B605, HoldSummary!$A:$A, HoldSummary!H:H), 0)</f>
        <v>0</v>
      </c>
      <c r="AJ605">
        <f>IFERROR(_xlfn.XLOOKUP(B605, HoldSummary!$A:$A, HoldSummary!I:I), 0)</f>
        <v>0</v>
      </c>
      <c r="AK605">
        <f t="shared" si="95"/>
        <v>0</v>
      </c>
      <c r="AL605">
        <f t="shared" si="96"/>
        <v>23.177523148151522</v>
      </c>
      <c r="AM605">
        <f t="shared" si="97"/>
        <v>23.177523148151522</v>
      </c>
      <c r="AN605" s="12">
        <f t="shared" si="98"/>
        <v>-10.166666666664241</v>
      </c>
      <c r="AO605">
        <f t="shared" si="99"/>
        <v>1</v>
      </c>
    </row>
    <row r="606" spans="1:41" x14ac:dyDescent="0.35">
      <c r="A606" t="s">
        <v>23</v>
      </c>
      <c r="B606" t="s">
        <v>1373</v>
      </c>
      <c r="C606" t="s">
        <v>36</v>
      </c>
      <c r="D606" t="s">
        <v>44</v>
      </c>
      <c r="E606" t="s">
        <v>45</v>
      </c>
      <c r="F606" t="s">
        <v>28</v>
      </c>
      <c r="H606" t="s">
        <v>1374</v>
      </c>
      <c r="I606" t="s">
        <v>30</v>
      </c>
      <c r="J606" t="s">
        <v>31</v>
      </c>
      <c r="K606" t="s">
        <v>48</v>
      </c>
      <c r="L606" t="s">
        <v>49</v>
      </c>
      <c r="M606" t="s">
        <v>33</v>
      </c>
      <c r="N606" s="2">
        <v>45726.702060185184</v>
      </c>
      <c r="O606" s="2">
        <v>45751.166666666664</v>
      </c>
      <c r="P606" s="2">
        <v>45751.166666666664</v>
      </c>
      <c r="Q606" s="2">
        <v>45754</v>
      </c>
      <c r="R606" s="2">
        <v>45755.527930949072</v>
      </c>
      <c r="T606" s="2">
        <v>45729.166666666664</v>
      </c>
      <c r="U606" s="2">
        <v>45729.166666666664</v>
      </c>
      <c r="V606" s="2"/>
      <c r="W606" s="2">
        <v>45736.166666666664</v>
      </c>
      <c r="X606" s="3">
        <f t="shared" si="90"/>
        <v>0</v>
      </c>
      <c r="Y606" t="str">
        <f t="shared" si="91"/>
        <v/>
      </c>
      <c r="Z606">
        <f t="shared" si="92"/>
        <v>0</v>
      </c>
      <c r="AA606">
        <f t="shared" si="93"/>
        <v>27.297939814816345</v>
      </c>
      <c r="AB606">
        <f t="shared" si="94"/>
        <v>27.297939814816345</v>
      </c>
      <c r="AC606">
        <f>IFERROR(_xlfn.XLOOKUP(B606, HoldSummary!$A:$A, HoldSummary!B:B), 0)</f>
        <v>0</v>
      </c>
      <c r="AD606">
        <f>IFERROR(_xlfn.XLOOKUP(B606, HoldSummary!$A:$A, HoldSummary!C:C), 0)</f>
        <v>0</v>
      </c>
      <c r="AE606">
        <f>IFERROR(_xlfn.XLOOKUP(B606, HoldSummary!$A:$A, HoldSummary!D:D), 0)</f>
        <v>0</v>
      </c>
      <c r="AF606">
        <f>IFERROR(_xlfn.XLOOKUP(B606, HoldSummary!$A:$A, HoldSummary!E:E), 0)</f>
        <v>0</v>
      </c>
      <c r="AG606">
        <f>IFERROR(_xlfn.XLOOKUP(B606, HoldSummary!$A:$A, HoldSummary!F:F), 0)</f>
        <v>0</v>
      </c>
      <c r="AH606">
        <f>IFERROR(_xlfn.XLOOKUP(B606, HoldSummary!$A:$A, HoldSummary!G:G), 0)</f>
        <v>0</v>
      </c>
      <c r="AI606">
        <f>IFERROR(_xlfn.XLOOKUP(B606, HoldSummary!$A:$A, HoldSummary!H:H), 0)</f>
        <v>0</v>
      </c>
      <c r="AJ606">
        <f>IFERROR(_xlfn.XLOOKUP(B606, HoldSummary!$A:$A, HoldSummary!I:I), 0)</f>
        <v>0</v>
      </c>
      <c r="AK606">
        <f t="shared" si="95"/>
        <v>0</v>
      </c>
      <c r="AL606">
        <f t="shared" si="96"/>
        <v>27.297939814816345</v>
      </c>
      <c r="AM606">
        <f t="shared" si="97"/>
        <v>27.297939814816345</v>
      </c>
      <c r="AN606" s="12">
        <f t="shared" si="98"/>
        <v>2.8333333333357587</v>
      </c>
      <c r="AO606">
        <f t="shared" si="99"/>
        <v>0</v>
      </c>
    </row>
    <row r="607" spans="1:41" x14ac:dyDescent="0.35">
      <c r="A607" t="s">
        <v>23</v>
      </c>
      <c r="B607" t="s">
        <v>1375</v>
      </c>
      <c r="C607" t="s">
        <v>36</v>
      </c>
      <c r="D607" t="s">
        <v>44</v>
      </c>
      <c r="E607" t="s">
        <v>45</v>
      </c>
      <c r="F607" t="s">
        <v>28</v>
      </c>
      <c r="H607" t="s">
        <v>1376</v>
      </c>
      <c r="I607" t="s">
        <v>30</v>
      </c>
      <c r="J607" t="s">
        <v>70</v>
      </c>
      <c r="K607" t="s">
        <v>38</v>
      </c>
      <c r="L607" t="s">
        <v>39</v>
      </c>
      <c r="M607" t="s">
        <v>33</v>
      </c>
      <c r="N607" s="2">
        <v>45726.713263888887</v>
      </c>
      <c r="O607" s="2">
        <v>45756.166666666664</v>
      </c>
      <c r="P607" s="2">
        <v>45756.166666666664</v>
      </c>
      <c r="Q607" s="2">
        <v>45755</v>
      </c>
      <c r="R607" s="2">
        <v>45755.766219016201</v>
      </c>
      <c r="T607" s="2"/>
      <c r="U607" s="2"/>
      <c r="V607" s="2"/>
      <c r="W607" s="2"/>
      <c r="X607" s="3" t="str">
        <f t="shared" si="90"/>
        <v/>
      </c>
      <c r="Y607" t="str">
        <f t="shared" si="91"/>
        <v/>
      </c>
      <c r="Z607">
        <f t="shared" si="92"/>
        <v>0</v>
      </c>
      <c r="AA607">
        <f t="shared" si="93"/>
        <v>28.286736111112987</v>
      </c>
      <c r="AB607">
        <f t="shared" si="94"/>
        <v>28.286736111112987</v>
      </c>
      <c r="AC607">
        <f>IFERROR(_xlfn.XLOOKUP(B607, HoldSummary!$A:$A, HoldSummary!B:B), 0)</f>
        <v>0</v>
      </c>
      <c r="AD607">
        <f>IFERROR(_xlfn.XLOOKUP(B607, HoldSummary!$A:$A, HoldSummary!C:C), 0)</f>
        <v>0</v>
      </c>
      <c r="AE607">
        <f>IFERROR(_xlfn.XLOOKUP(B607, HoldSummary!$A:$A, HoldSummary!D:D), 0)</f>
        <v>0</v>
      </c>
      <c r="AF607">
        <f>IFERROR(_xlfn.XLOOKUP(B607, HoldSummary!$A:$A, HoldSummary!E:E), 0)</f>
        <v>0</v>
      </c>
      <c r="AG607">
        <f>IFERROR(_xlfn.XLOOKUP(B607, HoldSummary!$A:$A, HoldSummary!F:F), 0)</f>
        <v>0</v>
      </c>
      <c r="AH607">
        <f>IFERROR(_xlfn.XLOOKUP(B607, HoldSummary!$A:$A, HoldSummary!G:G), 0)</f>
        <v>0</v>
      </c>
      <c r="AI607">
        <f>IFERROR(_xlfn.XLOOKUP(B607, HoldSummary!$A:$A, HoldSummary!H:H), 0)</f>
        <v>0</v>
      </c>
      <c r="AJ607">
        <f>IFERROR(_xlfn.XLOOKUP(B607, HoldSummary!$A:$A, HoldSummary!I:I), 0)</f>
        <v>0</v>
      </c>
      <c r="AK607">
        <f t="shared" si="95"/>
        <v>0</v>
      </c>
      <c r="AL607">
        <f t="shared" si="96"/>
        <v>28.286736111112987</v>
      </c>
      <c r="AM607">
        <f t="shared" si="97"/>
        <v>28.286736111112987</v>
      </c>
      <c r="AN607" s="12">
        <f t="shared" si="98"/>
        <v>-1.1666666666642413</v>
      </c>
      <c r="AO607">
        <f t="shared" si="99"/>
        <v>1</v>
      </c>
    </row>
    <row r="608" spans="1:41" x14ac:dyDescent="0.35">
      <c r="A608" t="s">
        <v>23</v>
      </c>
      <c r="B608" t="s">
        <v>1377</v>
      </c>
      <c r="C608" t="s">
        <v>54</v>
      </c>
      <c r="D608" t="s">
        <v>44</v>
      </c>
      <c r="E608" t="s">
        <v>45</v>
      </c>
      <c r="F608" t="s">
        <v>28</v>
      </c>
      <c r="H608" t="s">
        <v>1378</v>
      </c>
      <c r="I608" t="s">
        <v>30</v>
      </c>
      <c r="J608" t="s">
        <v>31</v>
      </c>
      <c r="K608" t="s">
        <v>38</v>
      </c>
      <c r="L608" t="s">
        <v>39</v>
      </c>
      <c r="M608" t="s">
        <v>81</v>
      </c>
      <c r="N608" s="2">
        <v>45685.49962962963</v>
      </c>
      <c r="O608" s="2">
        <v>45856.166666666664</v>
      </c>
      <c r="P608" s="2">
        <v>45856.166666666664</v>
      </c>
      <c r="Q608" s="2">
        <v>45838</v>
      </c>
      <c r="R608" s="2">
        <v>45839.249318379632</v>
      </c>
      <c r="S608" t="s">
        <v>1379</v>
      </c>
      <c r="T608" s="2">
        <v>45782.166666666664</v>
      </c>
      <c r="U608" s="2">
        <v>45789.166666666664</v>
      </c>
      <c r="V608" s="2">
        <v>45789.166666666664</v>
      </c>
      <c r="W608" s="2">
        <v>45807.166666666664</v>
      </c>
      <c r="X608" s="3">
        <f t="shared" si="90"/>
        <v>7</v>
      </c>
      <c r="Y608">
        <f t="shared" si="91"/>
        <v>18</v>
      </c>
      <c r="Z608">
        <f t="shared" si="92"/>
        <v>25</v>
      </c>
      <c r="AA608">
        <f t="shared" si="93"/>
        <v>152.50037037036964</v>
      </c>
      <c r="AB608">
        <f t="shared" si="94"/>
        <v>127.50037037036964</v>
      </c>
      <c r="AC608">
        <f>IFERROR(_xlfn.XLOOKUP(B608, HoldSummary!$A:$A, HoldSummary!B:B), 0)</f>
        <v>10</v>
      </c>
      <c r="AD608">
        <f>IFERROR(_xlfn.XLOOKUP(B608, HoldSummary!$A:$A, HoldSummary!C:C), 0)</f>
        <v>16</v>
      </c>
      <c r="AE608">
        <f>IFERROR(_xlfn.XLOOKUP(B608, HoldSummary!$A:$A, HoldSummary!D:D), 0)</f>
        <v>0</v>
      </c>
      <c r="AF608">
        <f>IFERROR(_xlfn.XLOOKUP(B608, HoldSummary!$A:$A, HoldSummary!E:E), 0)</f>
        <v>0</v>
      </c>
      <c r="AG608">
        <f>IFERROR(_xlfn.XLOOKUP(B608, HoldSummary!$A:$A, HoldSummary!F:F), 0)</f>
        <v>0</v>
      </c>
      <c r="AH608">
        <f>IFERROR(_xlfn.XLOOKUP(B608, HoldSummary!$A:$A, HoldSummary!G:G), 0)</f>
        <v>0</v>
      </c>
      <c r="AI608">
        <f>IFERROR(_xlfn.XLOOKUP(B608, HoldSummary!$A:$A, HoldSummary!H:H), 0)</f>
        <v>0</v>
      </c>
      <c r="AJ608">
        <f>IFERROR(_xlfn.XLOOKUP(B608, HoldSummary!$A:$A, HoldSummary!I:I), 0)</f>
        <v>0</v>
      </c>
      <c r="AK608">
        <f t="shared" si="95"/>
        <v>26</v>
      </c>
      <c r="AL608">
        <f t="shared" si="96"/>
        <v>126.50037037036964</v>
      </c>
      <c r="AM608">
        <f t="shared" si="97"/>
        <v>101.50037037036964</v>
      </c>
      <c r="AN608" s="12">
        <f t="shared" si="98"/>
        <v>-18.166666666664241</v>
      </c>
      <c r="AO608">
        <f t="shared" si="99"/>
        <v>1</v>
      </c>
    </row>
    <row r="609" spans="1:41" x14ac:dyDescent="0.35">
      <c r="A609" t="s">
        <v>23</v>
      </c>
      <c r="B609" t="s">
        <v>1380</v>
      </c>
      <c r="C609" t="s">
        <v>54</v>
      </c>
      <c r="D609" t="s">
        <v>44</v>
      </c>
      <c r="E609" t="s">
        <v>45</v>
      </c>
      <c r="F609" t="s">
        <v>28</v>
      </c>
      <c r="H609" t="s">
        <v>1381</v>
      </c>
      <c r="I609" t="s">
        <v>30</v>
      </c>
      <c r="J609" t="s">
        <v>31</v>
      </c>
      <c r="K609" t="s">
        <v>38</v>
      </c>
      <c r="L609" t="s">
        <v>39</v>
      </c>
      <c r="M609" t="s">
        <v>33</v>
      </c>
      <c r="N609" s="2">
        <v>45716.512280092589</v>
      </c>
      <c r="O609" s="2">
        <v>45856.166666666664</v>
      </c>
      <c r="P609" s="2">
        <v>45856.166666666664</v>
      </c>
      <c r="Q609" s="2">
        <v>45817</v>
      </c>
      <c r="R609" s="2">
        <v>45818.091868009258</v>
      </c>
      <c r="S609" t="s">
        <v>1382</v>
      </c>
      <c r="T609" s="2">
        <v>45764.166666666664</v>
      </c>
      <c r="U609" s="2">
        <v>45764.166666666664</v>
      </c>
      <c r="V609" s="2">
        <v>45792.166666666664</v>
      </c>
      <c r="W609" s="2">
        <v>45796.166666666664</v>
      </c>
      <c r="X609" s="3">
        <f t="shared" si="90"/>
        <v>0</v>
      </c>
      <c r="Y609">
        <f t="shared" si="91"/>
        <v>4</v>
      </c>
      <c r="Z609">
        <f t="shared" si="92"/>
        <v>4</v>
      </c>
      <c r="AA609">
        <f t="shared" si="93"/>
        <v>100.48771990741079</v>
      </c>
      <c r="AB609">
        <f t="shared" si="94"/>
        <v>96.487719907410792</v>
      </c>
      <c r="AC609">
        <f>IFERROR(_xlfn.XLOOKUP(B609, HoldSummary!$A:$A, HoldSummary!B:B), 0)</f>
        <v>0</v>
      </c>
      <c r="AD609">
        <f>IFERROR(_xlfn.XLOOKUP(B609, HoldSummary!$A:$A, HoldSummary!C:C), 0)</f>
        <v>9</v>
      </c>
      <c r="AE609">
        <f>IFERROR(_xlfn.XLOOKUP(B609, HoldSummary!$A:$A, HoldSummary!D:D), 0)</f>
        <v>0</v>
      </c>
      <c r="AF609">
        <f>IFERROR(_xlfn.XLOOKUP(B609, HoldSummary!$A:$A, HoldSummary!E:E), 0)</f>
        <v>0</v>
      </c>
      <c r="AG609">
        <f>IFERROR(_xlfn.XLOOKUP(B609, HoldSummary!$A:$A, HoldSummary!F:F), 0)</f>
        <v>0</v>
      </c>
      <c r="AH609">
        <f>IFERROR(_xlfn.XLOOKUP(B609, HoldSummary!$A:$A, HoldSummary!G:G), 0)</f>
        <v>0</v>
      </c>
      <c r="AI609">
        <f>IFERROR(_xlfn.XLOOKUP(B609, HoldSummary!$A:$A, HoldSummary!H:H), 0)</f>
        <v>0</v>
      </c>
      <c r="AJ609">
        <f>IFERROR(_xlfn.XLOOKUP(B609, HoldSummary!$A:$A, HoldSummary!I:I), 0)</f>
        <v>0</v>
      </c>
      <c r="AK609">
        <f t="shared" si="95"/>
        <v>9</v>
      </c>
      <c r="AL609">
        <f t="shared" si="96"/>
        <v>91.487719907410792</v>
      </c>
      <c r="AM609">
        <f t="shared" si="97"/>
        <v>87.487719907410792</v>
      </c>
      <c r="AN609" s="12">
        <f t="shared" si="98"/>
        <v>-39.166666666664241</v>
      </c>
      <c r="AO609">
        <f t="shared" si="99"/>
        <v>1</v>
      </c>
    </row>
    <row r="610" spans="1:41" x14ac:dyDescent="0.35">
      <c r="A610" t="s">
        <v>23</v>
      </c>
      <c r="B610" t="s">
        <v>1383</v>
      </c>
      <c r="C610" t="s">
        <v>36</v>
      </c>
      <c r="D610" t="s">
        <v>44</v>
      </c>
      <c r="E610" t="s">
        <v>45</v>
      </c>
      <c r="F610" t="s">
        <v>28</v>
      </c>
      <c r="H610" t="s">
        <v>1384</v>
      </c>
      <c r="I610" t="s">
        <v>30</v>
      </c>
      <c r="J610" t="s">
        <v>31</v>
      </c>
      <c r="K610" t="s">
        <v>38</v>
      </c>
      <c r="L610" t="s">
        <v>39</v>
      </c>
      <c r="M610" t="s">
        <v>81</v>
      </c>
      <c r="N610" s="2">
        <v>45726.794340277775</v>
      </c>
      <c r="O610" s="2">
        <v>45770.166666666664</v>
      </c>
      <c r="P610" s="2">
        <v>45807.166666666664</v>
      </c>
      <c r="Q610" s="2">
        <v>45810</v>
      </c>
      <c r="R610" s="2">
        <v>45810.643300150463</v>
      </c>
      <c r="S610" t="s">
        <v>97</v>
      </c>
      <c r="T610" s="2">
        <v>45805.166666666664</v>
      </c>
      <c r="U610" s="2">
        <v>45805.166666666664</v>
      </c>
      <c r="V610" s="2">
        <v>45805.166666666664</v>
      </c>
      <c r="W610" s="2">
        <v>45805.166666666664</v>
      </c>
      <c r="X610" s="3">
        <f t="shared" si="90"/>
        <v>0</v>
      </c>
      <c r="Y610">
        <f t="shared" si="91"/>
        <v>0</v>
      </c>
      <c r="Z610">
        <f t="shared" si="92"/>
        <v>0</v>
      </c>
      <c r="AA610">
        <f t="shared" si="93"/>
        <v>83.205659722225391</v>
      </c>
      <c r="AB610">
        <f t="shared" si="94"/>
        <v>83.205659722225391</v>
      </c>
      <c r="AC610">
        <f>IFERROR(_xlfn.XLOOKUP(B610, HoldSummary!$A:$A, HoldSummary!B:B), 0)</f>
        <v>0</v>
      </c>
      <c r="AD610">
        <f>IFERROR(_xlfn.XLOOKUP(B610, HoldSummary!$A:$A, HoldSummary!C:C), 0)</f>
        <v>0</v>
      </c>
      <c r="AE610">
        <f>IFERROR(_xlfn.XLOOKUP(B610, HoldSummary!$A:$A, HoldSummary!D:D), 0)</f>
        <v>0</v>
      </c>
      <c r="AF610">
        <f>IFERROR(_xlfn.XLOOKUP(B610, HoldSummary!$A:$A, HoldSummary!E:E), 0)</f>
        <v>0</v>
      </c>
      <c r="AG610">
        <f>IFERROR(_xlfn.XLOOKUP(B610, HoldSummary!$A:$A, HoldSummary!F:F), 0)</f>
        <v>0</v>
      </c>
      <c r="AH610">
        <f>IFERROR(_xlfn.XLOOKUP(B610, HoldSummary!$A:$A, HoldSummary!G:G), 0)</f>
        <v>0</v>
      </c>
      <c r="AI610">
        <f>IFERROR(_xlfn.XLOOKUP(B610, HoldSummary!$A:$A, HoldSummary!H:H), 0)</f>
        <v>0</v>
      </c>
      <c r="AJ610">
        <f>IFERROR(_xlfn.XLOOKUP(B610, HoldSummary!$A:$A, HoldSummary!I:I), 0)</f>
        <v>0</v>
      </c>
      <c r="AK610">
        <f t="shared" si="95"/>
        <v>0</v>
      </c>
      <c r="AL610">
        <f t="shared" si="96"/>
        <v>83.205659722225391</v>
      </c>
      <c r="AM610">
        <f t="shared" si="97"/>
        <v>83.205659722225391</v>
      </c>
      <c r="AN610" s="12">
        <f t="shared" si="98"/>
        <v>39.833333333335759</v>
      </c>
      <c r="AO610">
        <f t="shared" si="99"/>
        <v>0</v>
      </c>
    </row>
    <row r="611" spans="1:41" x14ac:dyDescent="0.35">
      <c r="A611" t="s">
        <v>23</v>
      </c>
      <c r="B611" t="s">
        <v>1385</v>
      </c>
      <c r="C611" t="s">
        <v>36</v>
      </c>
      <c r="D611" t="s">
        <v>44</v>
      </c>
      <c r="E611" t="s">
        <v>45</v>
      </c>
      <c r="F611" t="s">
        <v>28</v>
      </c>
      <c r="H611" t="s">
        <v>1386</v>
      </c>
      <c r="I611" t="s">
        <v>30</v>
      </c>
      <c r="J611" t="s">
        <v>31</v>
      </c>
      <c r="K611" t="s">
        <v>48</v>
      </c>
      <c r="L611" t="s">
        <v>49</v>
      </c>
      <c r="M611" t="s">
        <v>33</v>
      </c>
      <c r="N611" s="2">
        <v>45720.874548611115</v>
      </c>
      <c r="O611" s="2">
        <v>45758.166666666664</v>
      </c>
      <c r="P611" s="2">
        <v>45758.166666666664</v>
      </c>
      <c r="Q611" s="2">
        <v>45757</v>
      </c>
      <c r="R611" s="2">
        <v>45757.863662060183</v>
      </c>
      <c r="T611" s="2">
        <v>45740.166666666664</v>
      </c>
      <c r="U611" s="2">
        <v>45741.166666666664</v>
      </c>
      <c r="V611" s="2">
        <v>45742.166666666664</v>
      </c>
      <c r="W611" s="2">
        <v>45744.166666666664</v>
      </c>
      <c r="X611" s="3">
        <f t="shared" si="90"/>
        <v>1</v>
      </c>
      <c r="Y611">
        <f t="shared" si="91"/>
        <v>2</v>
      </c>
      <c r="Z611">
        <f t="shared" si="92"/>
        <v>3</v>
      </c>
      <c r="AA611">
        <f t="shared" si="93"/>
        <v>36.125451388885267</v>
      </c>
      <c r="AB611">
        <f t="shared" si="94"/>
        <v>33.125451388885267</v>
      </c>
      <c r="AC611">
        <f>IFERROR(_xlfn.XLOOKUP(B611, HoldSummary!$A:$A, HoldSummary!B:B), 0)</f>
        <v>0</v>
      </c>
      <c r="AD611">
        <f>IFERROR(_xlfn.XLOOKUP(B611, HoldSummary!$A:$A, HoldSummary!C:C), 0)</f>
        <v>0</v>
      </c>
      <c r="AE611">
        <f>IFERROR(_xlfn.XLOOKUP(B611, HoldSummary!$A:$A, HoldSummary!D:D), 0)</f>
        <v>0</v>
      </c>
      <c r="AF611">
        <f>IFERROR(_xlfn.XLOOKUP(B611, HoldSummary!$A:$A, HoldSummary!E:E), 0)</f>
        <v>0</v>
      </c>
      <c r="AG611">
        <f>IFERROR(_xlfn.XLOOKUP(B611, HoldSummary!$A:$A, HoldSummary!F:F), 0)</f>
        <v>0</v>
      </c>
      <c r="AH611">
        <f>IFERROR(_xlfn.XLOOKUP(B611, HoldSummary!$A:$A, HoldSummary!G:G), 0)</f>
        <v>0</v>
      </c>
      <c r="AI611">
        <f>IFERROR(_xlfn.XLOOKUP(B611, HoldSummary!$A:$A, HoldSummary!H:H), 0)</f>
        <v>0</v>
      </c>
      <c r="AJ611">
        <f>IFERROR(_xlfn.XLOOKUP(B611, HoldSummary!$A:$A, HoldSummary!I:I), 0)</f>
        <v>0</v>
      </c>
      <c r="AK611">
        <f t="shared" si="95"/>
        <v>0</v>
      </c>
      <c r="AL611">
        <f t="shared" si="96"/>
        <v>36.125451388885267</v>
      </c>
      <c r="AM611">
        <f t="shared" si="97"/>
        <v>33.125451388885267</v>
      </c>
      <c r="AN611" s="12">
        <f t="shared" si="98"/>
        <v>-1.1666666666642413</v>
      </c>
      <c r="AO611">
        <f t="shared" si="99"/>
        <v>1</v>
      </c>
    </row>
    <row r="612" spans="1:41" x14ac:dyDescent="0.35">
      <c r="A612" t="s">
        <v>23</v>
      </c>
      <c r="B612" t="s">
        <v>1387</v>
      </c>
      <c r="C612" t="s">
        <v>36</v>
      </c>
      <c r="D612" t="s">
        <v>44</v>
      </c>
      <c r="E612" t="s">
        <v>45</v>
      </c>
      <c r="F612" t="s">
        <v>28</v>
      </c>
      <c r="H612" t="s">
        <v>1388</v>
      </c>
      <c r="I612" t="s">
        <v>30</v>
      </c>
      <c r="J612" t="s">
        <v>31</v>
      </c>
      <c r="K612" t="s">
        <v>48</v>
      </c>
      <c r="L612" t="s">
        <v>49</v>
      </c>
      <c r="M612" t="s">
        <v>33</v>
      </c>
      <c r="N612" s="2">
        <v>45721.765266203707</v>
      </c>
      <c r="O612" s="2">
        <v>45764.166666666664</v>
      </c>
      <c r="P612" s="2">
        <v>45764.166666666664</v>
      </c>
      <c r="Q612" s="2">
        <v>45764</v>
      </c>
      <c r="R612" s="2">
        <v>45768.620739583333</v>
      </c>
      <c r="T612" s="2">
        <v>45741.166666666664</v>
      </c>
      <c r="U612" s="2">
        <v>45741.166666666664</v>
      </c>
      <c r="V612" s="2">
        <v>45742.166666666664</v>
      </c>
      <c r="W612" s="2">
        <v>45744.166666666664</v>
      </c>
      <c r="X612" s="3">
        <f t="shared" si="90"/>
        <v>0</v>
      </c>
      <c r="Y612">
        <f t="shared" si="91"/>
        <v>2</v>
      </c>
      <c r="Z612">
        <f t="shared" si="92"/>
        <v>2</v>
      </c>
      <c r="AA612">
        <f t="shared" si="93"/>
        <v>42.234733796292858</v>
      </c>
      <c r="AB612">
        <f t="shared" si="94"/>
        <v>40.234733796292858</v>
      </c>
      <c r="AC612">
        <f>IFERROR(_xlfn.XLOOKUP(B612, HoldSummary!$A:$A, HoldSummary!B:B), 0)</f>
        <v>0</v>
      </c>
      <c r="AD612">
        <f>IFERROR(_xlfn.XLOOKUP(B612, HoldSummary!$A:$A, HoldSummary!C:C), 0)</f>
        <v>0</v>
      </c>
      <c r="AE612">
        <f>IFERROR(_xlfn.XLOOKUP(B612, HoldSummary!$A:$A, HoldSummary!D:D), 0)</f>
        <v>0</v>
      </c>
      <c r="AF612">
        <f>IFERROR(_xlfn.XLOOKUP(B612, HoldSummary!$A:$A, HoldSummary!E:E), 0)</f>
        <v>0</v>
      </c>
      <c r="AG612">
        <f>IFERROR(_xlfn.XLOOKUP(B612, HoldSummary!$A:$A, HoldSummary!F:F), 0)</f>
        <v>0</v>
      </c>
      <c r="AH612">
        <f>IFERROR(_xlfn.XLOOKUP(B612, HoldSummary!$A:$A, HoldSummary!G:G), 0)</f>
        <v>0</v>
      </c>
      <c r="AI612">
        <f>IFERROR(_xlfn.XLOOKUP(B612, HoldSummary!$A:$A, HoldSummary!H:H), 0)</f>
        <v>0</v>
      </c>
      <c r="AJ612">
        <f>IFERROR(_xlfn.XLOOKUP(B612, HoldSummary!$A:$A, HoldSummary!I:I), 0)</f>
        <v>0</v>
      </c>
      <c r="AK612">
        <f t="shared" si="95"/>
        <v>0</v>
      </c>
      <c r="AL612">
        <f t="shared" si="96"/>
        <v>42.234733796292858</v>
      </c>
      <c r="AM612">
        <f t="shared" si="97"/>
        <v>40.234733796292858</v>
      </c>
      <c r="AN612" s="12">
        <f t="shared" si="98"/>
        <v>-0.16666666666424135</v>
      </c>
      <c r="AO612">
        <f t="shared" si="99"/>
        <v>1</v>
      </c>
    </row>
    <row r="613" spans="1:41" x14ac:dyDescent="0.35">
      <c r="A613" t="s">
        <v>23</v>
      </c>
      <c r="B613">
        <v>111804</v>
      </c>
      <c r="C613" t="s">
        <v>54</v>
      </c>
      <c r="D613" t="s">
        <v>44</v>
      </c>
      <c r="E613" t="s">
        <v>55</v>
      </c>
      <c r="F613" t="s">
        <v>28</v>
      </c>
      <c r="H613" t="s">
        <v>1389</v>
      </c>
      <c r="I613" t="s">
        <v>30</v>
      </c>
      <c r="J613" t="s">
        <v>31</v>
      </c>
      <c r="K613" t="s">
        <v>57</v>
      </c>
      <c r="L613" t="s">
        <v>39</v>
      </c>
      <c r="M613" t="s">
        <v>33</v>
      </c>
      <c r="N613" s="2">
        <v>45734.166666666664</v>
      </c>
      <c r="O613" s="2">
        <v>45856.166666666664</v>
      </c>
      <c r="P613" s="2">
        <v>45793.166666666664</v>
      </c>
      <c r="Q613" s="2">
        <v>45755</v>
      </c>
      <c r="R613" s="2">
        <v>45755.666425659721</v>
      </c>
      <c r="T613" s="2">
        <v>45750.166666666664</v>
      </c>
      <c r="U613" s="2">
        <v>45750.166666666664</v>
      </c>
      <c r="V613" s="2">
        <v>45750.166666666664</v>
      </c>
      <c r="W613" s="2">
        <v>45750.166666666664</v>
      </c>
      <c r="X613" s="3">
        <f t="shared" si="90"/>
        <v>0</v>
      </c>
      <c r="Y613">
        <f t="shared" si="91"/>
        <v>0</v>
      </c>
      <c r="Z613">
        <f t="shared" si="92"/>
        <v>0</v>
      </c>
      <c r="AA613">
        <f t="shared" si="93"/>
        <v>20.833333333335759</v>
      </c>
      <c r="AB613">
        <f t="shared" si="94"/>
        <v>20.833333333335759</v>
      </c>
      <c r="AC613">
        <f>IFERROR(_xlfn.XLOOKUP(B613, HoldSummary!$A:$A, HoldSummary!B:B), 0)</f>
        <v>0</v>
      </c>
      <c r="AD613">
        <f>IFERROR(_xlfn.XLOOKUP(B613, HoldSummary!$A:$A, HoldSummary!C:C), 0)</f>
        <v>0</v>
      </c>
      <c r="AE613">
        <f>IFERROR(_xlfn.XLOOKUP(B613, HoldSummary!$A:$A, HoldSummary!D:D), 0)</f>
        <v>0</v>
      </c>
      <c r="AF613">
        <f>IFERROR(_xlfn.XLOOKUP(B613, HoldSummary!$A:$A, HoldSummary!E:E), 0)</f>
        <v>0</v>
      </c>
      <c r="AG613">
        <f>IFERROR(_xlfn.XLOOKUP(B613, HoldSummary!$A:$A, HoldSummary!F:F), 0)</f>
        <v>0</v>
      </c>
      <c r="AH613">
        <f>IFERROR(_xlfn.XLOOKUP(B613, HoldSummary!$A:$A, HoldSummary!G:G), 0)</f>
        <v>0</v>
      </c>
      <c r="AI613">
        <f>IFERROR(_xlfn.XLOOKUP(B613, HoldSummary!$A:$A, HoldSummary!H:H), 0)</f>
        <v>0</v>
      </c>
      <c r="AJ613">
        <f>IFERROR(_xlfn.XLOOKUP(B613, HoldSummary!$A:$A, HoldSummary!I:I), 0)</f>
        <v>0</v>
      </c>
      <c r="AK613">
        <f t="shared" si="95"/>
        <v>0</v>
      </c>
      <c r="AL613">
        <f t="shared" si="96"/>
        <v>20.833333333335759</v>
      </c>
      <c r="AM613">
        <f t="shared" si="97"/>
        <v>20.833333333335759</v>
      </c>
      <c r="AN613" s="12">
        <f t="shared" si="98"/>
        <v>-101.16666666666424</v>
      </c>
      <c r="AO613">
        <f t="shared" si="99"/>
        <v>1</v>
      </c>
    </row>
    <row r="614" spans="1:41" x14ac:dyDescent="0.35">
      <c r="A614" t="s">
        <v>23</v>
      </c>
      <c r="B614" t="s">
        <v>1390</v>
      </c>
      <c r="C614" t="s">
        <v>409</v>
      </c>
      <c r="D614" t="s">
        <v>44</v>
      </c>
      <c r="E614" t="s">
        <v>45</v>
      </c>
      <c r="F614" t="s">
        <v>28</v>
      </c>
      <c r="H614" t="s">
        <v>1391</v>
      </c>
      <c r="I614" t="s">
        <v>30</v>
      </c>
      <c r="J614" t="s">
        <v>31</v>
      </c>
      <c r="K614" t="s">
        <v>38</v>
      </c>
      <c r="L614" t="s">
        <v>39</v>
      </c>
      <c r="M614" t="s">
        <v>33</v>
      </c>
      <c r="N614" s="2">
        <v>45646.652928240743</v>
      </c>
      <c r="O614" s="2">
        <v>45842.166666666664</v>
      </c>
      <c r="P614" s="2">
        <v>45828.166666666664</v>
      </c>
      <c r="Q614" s="2">
        <v>45817</v>
      </c>
      <c r="R614" s="2">
        <v>45817.837487743054</v>
      </c>
      <c r="S614" t="s">
        <v>702</v>
      </c>
      <c r="T614" s="2">
        <v>45763.166666666664</v>
      </c>
      <c r="U614" s="2">
        <v>45768.166666666664</v>
      </c>
      <c r="V614" s="2">
        <v>45772.166666666664</v>
      </c>
      <c r="W614" s="2">
        <v>45786.166666666664</v>
      </c>
      <c r="X614" s="3">
        <f t="shared" si="90"/>
        <v>5</v>
      </c>
      <c r="Y614">
        <f t="shared" si="91"/>
        <v>14</v>
      </c>
      <c r="Z614">
        <f t="shared" si="92"/>
        <v>19</v>
      </c>
      <c r="AA614">
        <f t="shared" si="93"/>
        <v>170.34707175925723</v>
      </c>
      <c r="AB614">
        <f t="shared" si="94"/>
        <v>151.34707175925723</v>
      </c>
      <c r="AC614">
        <f>IFERROR(_xlfn.XLOOKUP(B614, HoldSummary!$A:$A, HoldSummary!B:B), 0)</f>
        <v>49</v>
      </c>
      <c r="AD614">
        <f>IFERROR(_xlfn.XLOOKUP(B614, HoldSummary!$A:$A, HoldSummary!C:C), 0)</f>
        <v>0</v>
      </c>
      <c r="AE614">
        <f>IFERROR(_xlfn.XLOOKUP(B614, HoldSummary!$A:$A, HoldSummary!D:D), 0)</f>
        <v>0</v>
      </c>
      <c r="AF614">
        <f>IFERROR(_xlfn.XLOOKUP(B614, HoldSummary!$A:$A, HoldSummary!E:E), 0)</f>
        <v>0</v>
      </c>
      <c r="AG614">
        <f>IFERROR(_xlfn.XLOOKUP(B614, HoldSummary!$A:$A, HoldSummary!F:F), 0)</f>
        <v>0</v>
      </c>
      <c r="AH614">
        <f>IFERROR(_xlfn.XLOOKUP(B614, HoldSummary!$A:$A, HoldSummary!G:G), 0)</f>
        <v>0</v>
      </c>
      <c r="AI614">
        <f>IFERROR(_xlfn.XLOOKUP(B614, HoldSummary!$A:$A, HoldSummary!H:H), 0)</f>
        <v>0</v>
      </c>
      <c r="AJ614">
        <f>IFERROR(_xlfn.XLOOKUP(B614, HoldSummary!$A:$A, HoldSummary!I:I), 0)</f>
        <v>0</v>
      </c>
      <c r="AK614">
        <f t="shared" si="95"/>
        <v>49</v>
      </c>
      <c r="AL614">
        <f t="shared" si="96"/>
        <v>121.34707175925723</v>
      </c>
      <c r="AM614">
        <f t="shared" si="97"/>
        <v>102.34707175925723</v>
      </c>
      <c r="AN614" s="12">
        <f t="shared" si="98"/>
        <v>-25.166666666664241</v>
      </c>
      <c r="AO614">
        <f t="shared" si="99"/>
        <v>1</v>
      </c>
    </row>
    <row r="615" spans="1:41" x14ac:dyDescent="0.35">
      <c r="A615" t="s">
        <v>23</v>
      </c>
      <c r="B615" t="s">
        <v>24</v>
      </c>
      <c r="C615" t="s">
        <v>25</v>
      </c>
      <c r="D615" t="s">
        <v>44</v>
      </c>
      <c r="E615" t="s">
        <v>45</v>
      </c>
      <c r="F615" t="s">
        <v>28</v>
      </c>
      <c r="H615" t="s">
        <v>29</v>
      </c>
      <c r="I615" t="s">
        <v>30</v>
      </c>
      <c r="J615" t="s">
        <v>31</v>
      </c>
      <c r="K615" t="s">
        <v>32</v>
      </c>
      <c r="L615" t="s">
        <v>32</v>
      </c>
      <c r="M615" t="s">
        <v>33</v>
      </c>
      <c r="N615" s="2">
        <v>45714.455983796295</v>
      </c>
      <c r="O615" s="2">
        <v>45884.166666666664</v>
      </c>
      <c r="P615" s="2">
        <v>45867.166666666664</v>
      </c>
      <c r="Q615" s="2">
        <v>45859</v>
      </c>
      <c r="R615" s="2">
        <v>45861.828634583333</v>
      </c>
      <c r="S615" t="s">
        <v>34</v>
      </c>
      <c r="T615" s="2">
        <v>45782.166666666664</v>
      </c>
      <c r="U615" s="2">
        <v>45782.166666666664</v>
      </c>
      <c r="V615" s="2">
        <v>45782.166666666664</v>
      </c>
      <c r="W615" s="2">
        <v>45782.166666666664</v>
      </c>
      <c r="X615" s="3">
        <f t="shared" si="90"/>
        <v>0</v>
      </c>
      <c r="Y615">
        <f t="shared" si="91"/>
        <v>0</v>
      </c>
      <c r="Z615">
        <f t="shared" si="92"/>
        <v>0</v>
      </c>
      <c r="AA615">
        <f t="shared" si="93"/>
        <v>144.54401620370481</v>
      </c>
      <c r="AB615">
        <f t="shared" si="94"/>
        <v>144.54401620370481</v>
      </c>
      <c r="AC615">
        <f>IFERROR(_xlfn.XLOOKUP(B615, HoldSummary!$A:$A, HoldSummary!B:B), 0)</f>
        <v>0</v>
      </c>
      <c r="AD615">
        <f>IFERROR(_xlfn.XLOOKUP(B615, HoldSummary!$A:$A, HoldSummary!C:C), 0)</f>
        <v>0</v>
      </c>
      <c r="AE615">
        <f>IFERROR(_xlfn.XLOOKUP(B615, HoldSummary!$A:$A, HoldSummary!D:D), 0)</f>
        <v>0</v>
      </c>
      <c r="AF615">
        <f>IFERROR(_xlfn.XLOOKUP(B615, HoldSummary!$A:$A, HoldSummary!E:E), 0)</f>
        <v>0</v>
      </c>
      <c r="AG615">
        <f>IFERROR(_xlfn.XLOOKUP(B615, HoldSummary!$A:$A, HoldSummary!F:F), 0)</f>
        <v>0</v>
      </c>
      <c r="AH615">
        <f>IFERROR(_xlfn.XLOOKUP(B615, HoldSummary!$A:$A, HoldSummary!G:G), 0)</f>
        <v>0</v>
      </c>
      <c r="AI615">
        <f>IFERROR(_xlfn.XLOOKUP(B615, HoldSummary!$A:$A, HoldSummary!H:H), 0)</f>
        <v>0</v>
      </c>
      <c r="AJ615">
        <f>IFERROR(_xlfn.XLOOKUP(B615, HoldSummary!$A:$A, HoldSummary!I:I), 0)</f>
        <v>0</v>
      </c>
      <c r="AK615">
        <f t="shared" si="95"/>
        <v>0</v>
      </c>
      <c r="AL615">
        <f t="shared" si="96"/>
        <v>144.54401620370481</v>
      </c>
      <c r="AM615">
        <f t="shared" si="97"/>
        <v>144.54401620370481</v>
      </c>
      <c r="AN615" s="12">
        <f t="shared" si="98"/>
        <v>-25.166666666664241</v>
      </c>
      <c r="AO615">
        <f t="shared" si="99"/>
        <v>1</v>
      </c>
    </row>
    <row r="616" spans="1:41" x14ac:dyDescent="0.35">
      <c r="A616" t="s">
        <v>23</v>
      </c>
      <c r="B616">
        <v>111932</v>
      </c>
      <c r="C616" t="s">
        <v>36</v>
      </c>
      <c r="D616" t="s">
        <v>44</v>
      </c>
      <c r="E616" t="s">
        <v>55</v>
      </c>
      <c r="F616" t="s">
        <v>28</v>
      </c>
      <c r="H616" t="s">
        <v>1392</v>
      </c>
      <c r="I616" t="s">
        <v>30</v>
      </c>
      <c r="J616" t="s">
        <v>31</v>
      </c>
      <c r="K616" t="s">
        <v>57</v>
      </c>
      <c r="L616" t="s">
        <v>39</v>
      </c>
      <c r="M616" t="s">
        <v>33</v>
      </c>
      <c r="N616" s="2">
        <v>45740.166666666664</v>
      </c>
      <c r="O616" s="2">
        <v>45769.166666666664</v>
      </c>
      <c r="P616" s="2">
        <v>45769.166666666664</v>
      </c>
      <c r="Q616" s="2">
        <v>45769</v>
      </c>
      <c r="R616" s="2">
        <v>45769.826338935185</v>
      </c>
      <c r="T616" s="2"/>
      <c r="U616" s="2"/>
      <c r="V616" s="2"/>
      <c r="W616" s="2"/>
      <c r="X616" s="3" t="str">
        <f t="shared" si="90"/>
        <v/>
      </c>
      <c r="Y616" t="str">
        <f t="shared" si="91"/>
        <v/>
      </c>
      <c r="Z616">
        <f t="shared" si="92"/>
        <v>0</v>
      </c>
      <c r="AA616">
        <f t="shared" si="93"/>
        <v>28.833333333335759</v>
      </c>
      <c r="AB616">
        <f t="shared" si="94"/>
        <v>28.833333333335759</v>
      </c>
      <c r="AC616">
        <f>IFERROR(_xlfn.XLOOKUP(B616, HoldSummary!$A:$A, HoldSummary!B:B), 0)</f>
        <v>0</v>
      </c>
      <c r="AD616">
        <f>IFERROR(_xlfn.XLOOKUP(B616, HoldSummary!$A:$A, HoldSummary!C:C), 0)</f>
        <v>0</v>
      </c>
      <c r="AE616">
        <f>IFERROR(_xlfn.XLOOKUP(B616, HoldSummary!$A:$A, HoldSummary!D:D), 0)</f>
        <v>0</v>
      </c>
      <c r="AF616">
        <f>IFERROR(_xlfn.XLOOKUP(B616, HoldSummary!$A:$A, HoldSummary!E:E), 0)</f>
        <v>0</v>
      </c>
      <c r="AG616">
        <f>IFERROR(_xlfn.XLOOKUP(B616, HoldSummary!$A:$A, HoldSummary!F:F), 0)</f>
        <v>0</v>
      </c>
      <c r="AH616">
        <f>IFERROR(_xlfn.XLOOKUP(B616, HoldSummary!$A:$A, HoldSummary!G:G), 0)</f>
        <v>0</v>
      </c>
      <c r="AI616">
        <f>IFERROR(_xlfn.XLOOKUP(B616, HoldSummary!$A:$A, HoldSummary!H:H), 0)</f>
        <v>0</v>
      </c>
      <c r="AJ616">
        <f>IFERROR(_xlfn.XLOOKUP(B616, HoldSummary!$A:$A, HoldSummary!I:I), 0)</f>
        <v>0</v>
      </c>
      <c r="AK616">
        <f t="shared" si="95"/>
        <v>0</v>
      </c>
      <c r="AL616">
        <f t="shared" si="96"/>
        <v>28.833333333335759</v>
      </c>
      <c r="AM616">
        <f t="shared" si="97"/>
        <v>28.833333333335759</v>
      </c>
      <c r="AN616" s="12">
        <f t="shared" si="98"/>
        <v>-0.16666666666424135</v>
      </c>
      <c r="AO616">
        <f t="shared" si="99"/>
        <v>1</v>
      </c>
    </row>
    <row r="617" spans="1:41" x14ac:dyDescent="0.35">
      <c r="A617" t="s">
        <v>23</v>
      </c>
      <c r="B617" t="s">
        <v>1393</v>
      </c>
      <c r="C617" t="s">
        <v>135</v>
      </c>
      <c r="D617" t="s">
        <v>44</v>
      </c>
      <c r="E617" t="s">
        <v>45</v>
      </c>
      <c r="F617" t="s">
        <v>28</v>
      </c>
      <c r="H617" t="s">
        <v>1394</v>
      </c>
      <c r="I617" t="s">
        <v>30</v>
      </c>
      <c r="J617" t="s">
        <v>31</v>
      </c>
      <c r="K617" t="s">
        <v>32</v>
      </c>
      <c r="L617" t="s">
        <v>32</v>
      </c>
      <c r="M617" t="s">
        <v>33</v>
      </c>
      <c r="N617" s="2">
        <v>45728.694675925923</v>
      </c>
      <c r="O617" s="2">
        <v>45828.166666666664</v>
      </c>
      <c r="P617" s="2">
        <v>45828.166666666664</v>
      </c>
      <c r="Q617" s="2">
        <v>45821</v>
      </c>
      <c r="R617" s="2">
        <v>45824.759984039352</v>
      </c>
      <c r="S617" t="s">
        <v>97</v>
      </c>
      <c r="T617" s="2">
        <v>45791.166666666664</v>
      </c>
      <c r="U617" s="2">
        <v>45791.166666666664</v>
      </c>
      <c r="V617" s="2">
        <v>45791.166666666664</v>
      </c>
      <c r="W617" s="2">
        <v>45799.166666666664</v>
      </c>
      <c r="X617" s="3">
        <f t="shared" si="90"/>
        <v>0</v>
      </c>
      <c r="Y617">
        <f t="shared" si="91"/>
        <v>8</v>
      </c>
      <c r="Z617">
        <f t="shared" si="92"/>
        <v>8</v>
      </c>
      <c r="AA617">
        <f t="shared" si="93"/>
        <v>92.305324074077362</v>
      </c>
      <c r="AB617">
        <f t="shared" si="94"/>
        <v>84.305324074077362</v>
      </c>
      <c r="AC617">
        <f>IFERROR(_xlfn.XLOOKUP(B617, HoldSummary!$A:$A, HoldSummary!B:B), 0)</f>
        <v>0</v>
      </c>
      <c r="AD617">
        <f>IFERROR(_xlfn.XLOOKUP(B617, HoldSummary!$A:$A, HoldSummary!C:C), 0)</f>
        <v>0</v>
      </c>
      <c r="AE617">
        <f>IFERROR(_xlfn.XLOOKUP(B617, HoldSummary!$A:$A, HoldSummary!D:D), 0)</f>
        <v>0</v>
      </c>
      <c r="AF617">
        <f>IFERROR(_xlfn.XLOOKUP(B617, HoldSummary!$A:$A, HoldSummary!E:E), 0)</f>
        <v>0</v>
      </c>
      <c r="AG617">
        <f>IFERROR(_xlfn.XLOOKUP(B617, HoldSummary!$A:$A, HoldSummary!F:F), 0)</f>
        <v>0</v>
      </c>
      <c r="AH617">
        <f>IFERROR(_xlfn.XLOOKUP(B617, HoldSummary!$A:$A, HoldSummary!G:G), 0)</f>
        <v>0</v>
      </c>
      <c r="AI617">
        <f>IFERROR(_xlfn.XLOOKUP(B617, HoldSummary!$A:$A, HoldSummary!H:H), 0)</f>
        <v>0</v>
      </c>
      <c r="AJ617">
        <f>IFERROR(_xlfn.XLOOKUP(B617, HoldSummary!$A:$A, HoldSummary!I:I), 0)</f>
        <v>0</v>
      </c>
      <c r="AK617">
        <f t="shared" si="95"/>
        <v>0</v>
      </c>
      <c r="AL617">
        <f t="shared" si="96"/>
        <v>92.305324074077362</v>
      </c>
      <c r="AM617">
        <f t="shared" si="97"/>
        <v>84.305324074077362</v>
      </c>
      <c r="AN617" s="12">
        <f t="shared" si="98"/>
        <v>-7.1666666666642413</v>
      </c>
      <c r="AO617">
        <f t="shared" si="99"/>
        <v>1</v>
      </c>
    </row>
    <row r="618" spans="1:41" x14ac:dyDescent="0.35">
      <c r="A618" t="s">
        <v>23</v>
      </c>
      <c r="B618" t="s">
        <v>2283</v>
      </c>
      <c r="C618" t="s">
        <v>409</v>
      </c>
      <c r="D618" t="s">
        <v>44</v>
      </c>
      <c r="E618" t="s">
        <v>45</v>
      </c>
      <c r="F618" t="s">
        <v>28</v>
      </c>
      <c r="H618" t="s">
        <v>2284</v>
      </c>
      <c r="I618" t="s">
        <v>30</v>
      </c>
      <c r="J618" t="s">
        <v>70</v>
      </c>
      <c r="K618" t="s">
        <v>174</v>
      </c>
      <c r="L618" t="s">
        <v>174</v>
      </c>
      <c r="M618" t="s">
        <v>33</v>
      </c>
      <c r="N618" s="2">
        <v>45593.470254629632</v>
      </c>
      <c r="O618" s="2">
        <v>45870.166666666664</v>
      </c>
      <c r="P618" s="2">
        <v>45891.166666666664</v>
      </c>
      <c r="Q618" s="2">
        <v>45866</v>
      </c>
      <c r="R618" s="2">
        <v>45867.582391909724</v>
      </c>
      <c r="S618" t="s">
        <v>1439</v>
      </c>
      <c r="T618" s="2">
        <v>45771.166666666664</v>
      </c>
      <c r="U618" s="2">
        <v>45771.166666666664</v>
      </c>
      <c r="V618" s="2">
        <v>45775.166666666664</v>
      </c>
      <c r="W618" s="2">
        <v>45797.166666666664</v>
      </c>
      <c r="X618" s="3">
        <f t="shared" si="90"/>
        <v>0</v>
      </c>
      <c r="Y618">
        <f t="shared" si="91"/>
        <v>22</v>
      </c>
      <c r="Z618">
        <f t="shared" si="92"/>
        <v>22</v>
      </c>
      <c r="AA618">
        <f t="shared" si="93"/>
        <v>272.52974537036789</v>
      </c>
      <c r="AB618">
        <f t="shared" si="94"/>
        <v>250.52974537036789</v>
      </c>
      <c r="AC618">
        <f>IFERROR(_xlfn.XLOOKUP(B618, HoldSummary!$A:$A, HoldSummary!B:B), 0)</f>
        <v>0</v>
      </c>
      <c r="AD618">
        <f>IFERROR(_xlfn.XLOOKUP(B618, HoldSummary!$A:$A, HoldSummary!C:C), 0)</f>
        <v>0</v>
      </c>
      <c r="AE618">
        <f>IFERROR(_xlfn.XLOOKUP(B618, HoldSummary!$A:$A, HoldSummary!D:D), 0)</f>
        <v>0</v>
      </c>
      <c r="AF618">
        <f>IFERROR(_xlfn.XLOOKUP(B618, HoldSummary!$A:$A, HoldSummary!E:E), 0)</f>
        <v>0</v>
      </c>
      <c r="AG618">
        <f>IFERROR(_xlfn.XLOOKUP(B618, HoldSummary!$A:$A, HoldSummary!F:F), 0)</f>
        <v>0</v>
      </c>
      <c r="AH618">
        <f>IFERROR(_xlfn.XLOOKUP(B618, HoldSummary!$A:$A, HoldSummary!G:G), 0)</f>
        <v>0</v>
      </c>
      <c r="AI618">
        <f>IFERROR(_xlfn.XLOOKUP(B618, HoldSummary!$A:$A, HoldSummary!H:H), 0)</f>
        <v>0</v>
      </c>
      <c r="AJ618">
        <f>IFERROR(_xlfn.XLOOKUP(B618, HoldSummary!$A:$A, HoldSummary!I:I), 0)</f>
        <v>0</v>
      </c>
      <c r="AK618">
        <f t="shared" si="95"/>
        <v>0</v>
      </c>
      <c r="AL618">
        <f t="shared" si="96"/>
        <v>272.52974537036789</v>
      </c>
      <c r="AM618">
        <f t="shared" si="97"/>
        <v>250.52974537036789</v>
      </c>
      <c r="AN618" s="12">
        <f t="shared" si="98"/>
        <v>-4.1666666666642413</v>
      </c>
      <c r="AO618">
        <f t="shared" si="99"/>
        <v>1</v>
      </c>
    </row>
    <row r="619" spans="1:41" x14ac:dyDescent="0.35">
      <c r="A619" t="s">
        <v>23</v>
      </c>
      <c r="B619" t="s">
        <v>1395</v>
      </c>
      <c r="C619" t="s">
        <v>36</v>
      </c>
      <c r="D619" t="s">
        <v>44</v>
      </c>
      <c r="E619" t="s">
        <v>44</v>
      </c>
      <c r="F619" t="s">
        <v>28</v>
      </c>
      <c r="H619" t="s">
        <v>1396</v>
      </c>
      <c r="I619" t="s">
        <v>30</v>
      </c>
      <c r="J619" t="s">
        <v>31</v>
      </c>
      <c r="K619" t="s">
        <v>38</v>
      </c>
      <c r="L619" t="s">
        <v>39</v>
      </c>
      <c r="M619" t="s">
        <v>33</v>
      </c>
      <c r="N619" s="2">
        <v>45756.166666666664</v>
      </c>
      <c r="O619" s="2">
        <v>45770.166666666664</v>
      </c>
      <c r="P619" s="2">
        <v>45807.166666666664</v>
      </c>
      <c r="Q619" s="2">
        <v>45810</v>
      </c>
      <c r="R619" s="2">
        <v>45810.79483298611</v>
      </c>
      <c r="S619" t="s">
        <v>97</v>
      </c>
      <c r="T619" s="2">
        <v>45805.166666666664</v>
      </c>
      <c r="U619" s="2">
        <v>45805.166666666664</v>
      </c>
      <c r="V619" s="2">
        <v>45805.166666666664</v>
      </c>
      <c r="W619" s="2">
        <v>45805.166666666664</v>
      </c>
      <c r="X619" s="3">
        <f t="shared" si="90"/>
        <v>0</v>
      </c>
      <c r="Y619">
        <f t="shared" si="91"/>
        <v>0</v>
      </c>
      <c r="Z619">
        <f t="shared" si="92"/>
        <v>0</v>
      </c>
      <c r="AA619">
        <f t="shared" si="93"/>
        <v>53.833333333335759</v>
      </c>
      <c r="AB619">
        <f t="shared" si="94"/>
        <v>53.833333333335759</v>
      </c>
      <c r="AC619">
        <f>IFERROR(_xlfn.XLOOKUP(B619, HoldSummary!$A:$A, HoldSummary!B:B), 0)</f>
        <v>0</v>
      </c>
      <c r="AD619">
        <f>IFERROR(_xlfn.XLOOKUP(B619, HoldSummary!$A:$A, HoldSummary!C:C), 0)</f>
        <v>0</v>
      </c>
      <c r="AE619">
        <f>IFERROR(_xlfn.XLOOKUP(B619, HoldSummary!$A:$A, HoldSummary!D:D), 0)</f>
        <v>0</v>
      </c>
      <c r="AF619">
        <f>IFERROR(_xlfn.XLOOKUP(B619, HoldSummary!$A:$A, HoldSummary!E:E), 0)</f>
        <v>0</v>
      </c>
      <c r="AG619">
        <f>IFERROR(_xlfn.XLOOKUP(B619, HoldSummary!$A:$A, HoldSummary!F:F), 0)</f>
        <v>0</v>
      </c>
      <c r="AH619">
        <f>IFERROR(_xlfn.XLOOKUP(B619, HoldSummary!$A:$A, HoldSummary!G:G), 0)</f>
        <v>0</v>
      </c>
      <c r="AI619">
        <f>IFERROR(_xlfn.XLOOKUP(B619, HoldSummary!$A:$A, HoldSummary!H:H), 0)</f>
        <v>0</v>
      </c>
      <c r="AJ619">
        <f>IFERROR(_xlfn.XLOOKUP(B619, HoldSummary!$A:$A, HoldSummary!I:I), 0)</f>
        <v>0</v>
      </c>
      <c r="AK619">
        <f t="shared" si="95"/>
        <v>0</v>
      </c>
      <c r="AL619">
        <f t="shared" si="96"/>
        <v>53.833333333335759</v>
      </c>
      <c r="AM619">
        <f t="shared" si="97"/>
        <v>53.833333333335759</v>
      </c>
      <c r="AN619" s="12">
        <f t="shared" si="98"/>
        <v>39.833333333335759</v>
      </c>
      <c r="AO619">
        <f t="shared" si="99"/>
        <v>0</v>
      </c>
    </row>
    <row r="620" spans="1:41" x14ac:dyDescent="0.35">
      <c r="A620" t="s">
        <v>23</v>
      </c>
      <c r="B620" t="s">
        <v>1397</v>
      </c>
      <c r="C620" t="s">
        <v>409</v>
      </c>
      <c r="D620" t="s">
        <v>44</v>
      </c>
      <c r="E620" t="s">
        <v>45</v>
      </c>
      <c r="F620" t="s">
        <v>28</v>
      </c>
      <c r="H620" t="s">
        <v>1398</v>
      </c>
      <c r="I620" t="s">
        <v>30</v>
      </c>
      <c r="J620" t="s">
        <v>31</v>
      </c>
      <c r="K620" t="s">
        <v>48</v>
      </c>
      <c r="L620" t="s">
        <v>49</v>
      </c>
      <c r="M620" t="s">
        <v>33</v>
      </c>
      <c r="N620" s="2">
        <v>45757.4765162037</v>
      </c>
      <c r="O620" s="2">
        <v>45824.166666666664</v>
      </c>
      <c r="P620" s="2">
        <v>45856.166666666664</v>
      </c>
      <c r="Q620" s="2">
        <v>45841</v>
      </c>
      <c r="R620" s="2">
        <v>45841.667468541666</v>
      </c>
      <c r="S620" t="s">
        <v>1399</v>
      </c>
      <c r="T620" s="2"/>
      <c r="U620" s="2"/>
      <c r="V620" s="2"/>
      <c r="W620" s="2"/>
      <c r="X620" s="3" t="str">
        <f t="shared" si="90"/>
        <v/>
      </c>
      <c r="Y620" t="str">
        <f t="shared" si="91"/>
        <v/>
      </c>
      <c r="Z620">
        <f t="shared" si="92"/>
        <v>0</v>
      </c>
      <c r="AA620">
        <f t="shared" si="93"/>
        <v>83.523483796299843</v>
      </c>
      <c r="AB620">
        <f t="shared" si="94"/>
        <v>83.523483796299843</v>
      </c>
      <c r="AC620">
        <f>IFERROR(_xlfn.XLOOKUP(B620, HoldSummary!$A:$A, HoldSummary!B:B), 0)</f>
        <v>0</v>
      </c>
      <c r="AD620">
        <f>IFERROR(_xlfn.XLOOKUP(B620, HoldSummary!$A:$A, HoldSummary!C:C), 0)</f>
        <v>4.7220414814801188</v>
      </c>
      <c r="AE620">
        <f>IFERROR(_xlfn.XLOOKUP(B620, HoldSummary!$A:$A, HoldSummary!D:D), 0)</f>
        <v>0</v>
      </c>
      <c r="AF620">
        <f>IFERROR(_xlfn.XLOOKUP(B620, HoldSummary!$A:$A, HoldSummary!E:E), 0)</f>
        <v>0</v>
      </c>
      <c r="AG620">
        <f>IFERROR(_xlfn.XLOOKUP(B620, HoldSummary!$A:$A, HoldSummary!F:F), 0)</f>
        <v>10.564514456018514</v>
      </c>
      <c r="AH620">
        <f>IFERROR(_xlfn.XLOOKUP(B620, HoldSummary!$A:$A, HoldSummary!G:G), 0)</f>
        <v>0</v>
      </c>
      <c r="AI620">
        <f>IFERROR(_xlfn.XLOOKUP(B620, HoldSummary!$A:$A, HoldSummary!H:H), 0)</f>
        <v>0</v>
      </c>
      <c r="AJ620">
        <f>IFERROR(_xlfn.XLOOKUP(B620, HoldSummary!$A:$A, HoldSummary!I:I), 0)</f>
        <v>23.758786585654889</v>
      </c>
      <c r="AK620">
        <f t="shared" si="95"/>
        <v>39.045342523153522</v>
      </c>
      <c r="AL620">
        <f t="shared" si="96"/>
        <v>44.478141273146321</v>
      </c>
      <c r="AM620">
        <f t="shared" si="97"/>
        <v>44.478141273146321</v>
      </c>
      <c r="AN620" s="12">
        <f t="shared" si="98"/>
        <v>16.833333333335759</v>
      </c>
      <c r="AO620">
        <f t="shared" si="99"/>
        <v>0</v>
      </c>
    </row>
    <row r="621" spans="1:41" x14ac:dyDescent="0.35">
      <c r="A621" t="s">
        <v>23</v>
      </c>
      <c r="B621" t="s">
        <v>1400</v>
      </c>
      <c r="C621" t="s">
        <v>36</v>
      </c>
      <c r="D621" t="s">
        <v>44</v>
      </c>
      <c r="E621" t="s">
        <v>45</v>
      </c>
      <c r="F621" t="s">
        <v>28</v>
      </c>
      <c r="H621" t="s">
        <v>1401</v>
      </c>
      <c r="I621" t="s">
        <v>30</v>
      </c>
      <c r="J621" t="s">
        <v>31</v>
      </c>
      <c r="K621" t="s">
        <v>38</v>
      </c>
      <c r="L621" t="s">
        <v>39</v>
      </c>
      <c r="M621" t="s">
        <v>33</v>
      </c>
      <c r="N621" s="2">
        <v>45768.764143518521</v>
      </c>
      <c r="O621" s="2">
        <v>45791.166666666664</v>
      </c>
      <c r="P621" s="2">
        <v>45805.166666666664</v>
      </c>
      <c r="Q621" s="2">
        <v>45800</v>
      </c>
      <c r="R621" s="2">
        <v>45800.759610428242</v>
      </c>
      <c r="S621" t="s">
        <v>104</v>
      </c>
      <c r="T621" s="2"/>
      <c r="U621" s="2"/>
      <c r="V621" s="2"/>
      <c r="W621" s="2"/>
      <c r="X621" s="3" t="str">
        <f t="shared" si="90"/>
        <v/>
      </c>
      <c r="Y621" t="str">
        <f t="shared" si="91"/>
        <v/>
      </c>
      <c r="Z621">
        <f t="shared" si="92"/>
        <v>0</v>
      </c>
      <c r="AA621">
        <f t="shared" si="93"/>
        <v>31.23585648147855</v>
      </c>
      <c r="AB621">
        <f t="shared" si="94"/>
        <v>31.23585648147855</v>
      </c>
      <c r="AC621">
        <f>IFERROR(_xlfn.XLOOKUP(B621, HoldSummary!$A:$A, HoldSummary!B:B), 0)</f>
        <v>0</v>
      </c>
      <c r="AD621">
        <f>IFERROR(_xlfn.XLOOKUP(B621, HoldSummary!$A:$A, HoldSummary!C:C), 0)</f>
        <v>0</v>
      </c>
      <c r="AE621">
        <f>IFERROR(_xlfn.XLOOKUP(B621, HoldSummary!$A:$A, HoldSummary!D:D), 0)</f>
        <v>0</v>
      </c>
      <c r="AF621">
        <f>IFERROR(_xlfn.XLOOKUP(B621, HoldSummary!$A:$A, HoldSummary!E:E), 0)</f>
        <v>0</v>
      </c>
      <c r="AG621">
        <f>IFERROR(_xlfn.XLOOKUP(B621, HoldSummary!$A:$A, HoldSummary!F:F), 0)</f>
        <v>0</v>
      </c>
      <c r="AH621">
        <f>IFERROR(_xlfn.XLOOKUP(B621, HoldSummary!$A:$A, HoldSummary!G:G), 0)</f>
        <v>0</v>
      </c>
      <c r="AI621">
        <f>IFERROR(_xlfn.XLOOKUP(B621, HoldSummary!$A:$A, HoldSummary!H:H), 0)</f>
        <v>0</v>
      </c>
      <c r="AJ621">
        <f>IFERROR(_xlfn.XLOOKUP(B621, HoldSummary!$A:$A, HoldSummary!I:I), 0)</f>
        <v>0</v>
      </c>
      <c r="AK621">
        <f t="shared" si="95"/>
        <v>0</v>
      </c>
      <c r="AL621">
        <f t="shared" si="96"/>
        <v>31.23585648147855</v>
      </c>
      <c r="AM621">
        <f t="shared" si="97"/>
        <v>31.23585648147855</v>
      </c>
      <c r="AN621" s="12">
        <f t="shared" si="98"/>
        <v>8.8333333333357587</v>
      </c>
      <c r="AO621">
        <f t="shared" si="99"/>
        <v>0</v>
      </c>
    </row>
    <row r="622" spans="1:41" x14ac:dyDescent="0.35">
      <c r="A622" t="s">
        <v>23</v>
      </c>
      <c r="B622" t="s">
        <v>1402</v>
      </c>
      <c r="C622" t="s">
        <v>36</v>
      </c>
      <c r="D622" t="s">
        <v>44</v>
      </c>
      <c r="E622" t="s">
        <v>45</v>
      </c>
      <c r="F622" t="s">
        <v>28</v>
      </c>
      <c r="H622" t="s">
        <v>1403</v>
      </c>
      <c r="I622" t="s">
        <v>30</v>
      </c>
      <c r="J622" t="s">
        <v>31</v>
      </c>
      <c r="K622" t="s">
        <v>48</v>
      </c>
      <c r="L622" t="s">
        <v>695</v>
      </c>
      <c r="M622" t="s">
        <v>33</v>
      </c>
      <c r="N622" s="2">
        <v>45769.682673611111</v>
      </c>
      <c r="O622" s="2">
        <v>45786.166666666664</v>
      </c>
      <c r="P622" s="2">
        <v>45786.166666666664</v>
      </c>
      <c r="Q622" s="2">
        <v>45777</v>
      </c>
      <c r="R622" s="2">
        <v>45777.788235775464</v>
      </c>
      <c r="T622" s="2">
        <v>45775.166666666664</v>
      </c>
      <c r="U622" s="2">
        <v>45775.166666666664</v>
      </c>
      <c r="V622" s="2"/>
      <c r="W622" s="2">
        <v>45775.166666666664</v>
      </c>
      <c r="X622" s="3">
        <f t="shared" si="90"/>
        <v>0</v>
      </c>
      <c r="Y622" t="str">
        <f t="shared" si="91"/>
        <v/>
      </c>
      <c r="Z622">
        <f t="shared" si="92"/>
        <v>0</v>
      </c>
      <c r="AA622">
        <f t="shared" si="93"/>
        <v>7.3173263888893416</v>
      </c>
      <c r="AB622">
        <f t="shared" si="94"/>
        <v>7.3173263888893416</v>
      </c>
      <c r="AC622">
        <f>IFERROR(_xlfn.XLOOKUP(B622, HoldSummary!$A:$A, HoldSummary!B:B), 0)</f>
        <v>0</v>
      </c>
      <c r="AD622">
        <f>IFERROR(_xlfn.XLOOKUP(B622, HoldSummary!$A:$A, HoldSummary!C:C), 0)</f>
        <v>0</v>
      </c>
      <c r="AE622">
        <f>IFERROR(_xlfn.XLOOKUP(B622, HoldSummary!$A:$A, HoldSummary!D:D), 0)</f>
        <v>0</v>
      </c>
      <c r="AF622">
        <f>IFERROR(_xlfn.XLOOKUP(B622, HoldSummary!$A:$A, HoldSummary!E:E), 0)</f>
        <v>0</v>
      </c>
      <c r="AG622">
        <f>IFERROR(_xlfn.XLOOKUP(B622, HoldSummary!$A:$A, HoldSummary!F:F), 0)</f>
        <v>0</v>
      </c>
      <c r="AH622">
        <f>IFERROR(_xlfn.XLOOKUP(B622, HoldSummary!$A:$A, HoldSummary!G:G), 0)</f>
        <v>0</v>
      </c>
      <c r="AI622">
        <f>IFERROR(_xlfn.XLOOKUP(B622, HoldSummary!$A:$A, HoldSummary!H:H), 0)</f>
        <v>0</v>
      </c>
      <c r="AJ622">
        <f>IFERROR(_xlfn.XLOOKUP(B622, HoldSummary!$A:$A, HoldSummary!I:I), 0)</f>
        <v>0</v>
      </c>
      <c r="AK622">
        <f t="shared" si="95"/>
        <v>0</v>
      </c>
      <c r="AL622">
        <f t="shared" si="96"/>
        <v>7.3173263888893416</v>
      </c>
      <c r="AM622">
        <f t="shared" si="97"/>
        <v>7.3173263888893416</v>
      </c>
      <c r="AN622" s="12">
        <f t="shared" si="98"/>
        <v>-9.1666666666642413</v>
      </c>
      <c r="AO622">
        <f t="shared" si="99"/>
        <v>1</v>
      </c>
    </row>
    <row r="623" spans="1:41" x14ac:dyDescent="0.35">
      <c r="A623" t="s">
        <v>23</v>
      </c>
      <c r="B623">
        <v>112272</v>
      </c>
      <c r="C623" t="s">
        <v>54</v>
      </c>
      <c r="D623" t="s">
        <v>44</v>
      </c>
      <c r="E623" t="s">
        <v>55</v>
      </c>
      <c r="F623" t="s">
        <v>28</v>
      </c>
      <c r="H623" t="s">
        <v>1404</v>
      </c>
      <c r="I623" t="s">
        <v>30</v>
      </c>
      <c r="J623" t="s">
        <v>31</v>
      </c>
      <c r="K623" t="s">
        <v>57</v>
      </c>
      <c r="L623" t="s">
        <v>39</v>
      </c>
      <c r="M623" t="s">
        <v>33</v>
      </c>
      <c r="N623" s="2">
        <v>45754.166666666664</v>
      </c>
      <c r="O623" s="2">
        <v>45849.166666666664</v>
      </c>
      <c r="P623" s="2">
        <v>45849.166666666664</v>
      </c>
      <c r="Q623" s="2">
        <v>45813</v>
      </c>
      <c r="R623" s="2">
        <v>45813.762379918982</v>
      </c>
      <c r="S623" t="s">
        <v>97</v>
      </c>
      <c r="T623" s="2">
        <v>45791.166666666664</v>
      </c>
      <c r="U623" s="2">
        <v>45791.166666666664</v>
      </c>
      <c r="V623" s="2">
        <v>45791.166666666664</v>
      </c>
      <c r="W623" s="2">
        <v>45799.166666666664</v>
      </c>
      <c r="X623" s="3">
        <f t="shared" si="90"/>
        <v>0</v>
      </c>
      <c r="Y623">
        <f t="shared" si="91"/>
        <v>8</v>
      </c>
      <c r="Z623">
        <f t="shared" si="92"/>
        <v>8</v>
      </c>
      <c r="AA623">
        <f t="shared" si="93"/>
        <v>58.833333333335759</v>
      </c>
      <c r="AB623">
        <f t="shared" si="94"/>
        <v>50.833333333335759</v>
      </c>
      <c r="AC623">
        <f>IFERROR(_xlfn.XLOOKUP(B623, HoldSummary!$A:$A, HoldSummary!B:B), 0)</f>
        <v>0</v>
      </c>
      <c r="AD623">
        <f>IFERROR(_xlfn.XLOOKUP(B623, HoldSummary!$A:$A, HoldSummary!C:C), 0)</f>
        <v>0</v>
      </c>
      <c r="AE623">
        <f>IFERROR(_xlfn.XLOOKUP(B623, HoldSummary!$A:$A, HoldSummary!D:D), 0)</f>
        <v>0</v>
      </c>
      <c r="AF623">
        <f>IFERROR(_xlfn.XLOOKUP(B623, HoldSummary!$A:$A, HoldSummary!E:E), 0)</f>
        <v>0</v>
      </c>
      <c r="AG623">
        <f>IFERROR(_xlfn.XLOOKUP(B623, HoldSummary!$A:$A, HoldSummary!F:F), 0)</f>
        <v>0</v>
      </c>
      <c r="AH623">
        <f>IFERROR(_xlfn.XLOOKUP(B623, HoldSummary!$A:$A, HoldSummary!G:G), 0)</f>
        <v>0</v>
      </c>
      <c r="AI623">
        <f>IFERROR(_xlfn.XLOOKUP(B623, HoldSummary!$A:$A, HoldSummary!H:H), 0)</f>
        <v>0</v>
      </c>
      <c r="AJ623">
        <f>IFERROR(_xlfn.XLOOKUP(B623, HoldSummary!$A:$A, HoldSummary!I:I), 0)</f>
        <v>0</v>
      </c>
      <c r="AK623">
        <f t="shared" si="95"/>
        <v>0</v>
      </c>
      <c r="AL623">
        <f t="shared" si="96"/>
        <v>58.833333333335759</v>
      </c>
      <c r="AM623">
        <f t="shared" si="97"/>
        <v>50.833333333335759</v>
      </c>
      <c r="AN623" s="12">
        <f t="shared" si="98"/>
        <v>-36.166666666664241</v>
      </c>
      <c r="AO623">
        <f t="shared" si="99"/>
        <v>1</v>
      </c>
    </row>
    <row r="624" spans="1:41" x14ac:dyDescent="0.35">
      <c r="A624" t="s">
        <v>23</v>
      </c>
      <c r="B624" t="s">
        <v>1405</v>
      </c>
      <c r="C624" t="s">
        <v>130</v>
      </c>
      <c r="D624" t="s">
        <v>44</v>
      </c>
      <c r="E624" t="s">
        <v>45</v>
      </c>
      <c r="F624" t="s">
        <v>28</v>
      </c>
      <c r="H624" t="s">
        <v>1406</v>
      </c>
      <c r="I624" t="s">
        <v>30</v>
      </c>
      <c r="J624" t="s">
        <v>31</v>
      </c>
      <c r="K624" t="s">
        <v>48</v>
      </c>
      <c r="L624" t="s">
        <v>49</v>
      </c>
      <c r="M624" t="s">
        <v>33</v>
      </c>
      <c r="N624" s="2">
        <v>45775.693124999998</v>
      </c>
      <c r="O624" s="2">
        <v>45812.166666666664</v>
      </c>
      <c r="P624" s="2">
        <v>45826.166666666664</v>
      </c>
      <c r="Q624" s="2">
        <v>45813</v>
      </c>
      <c r="R624" s="2">
        <v>45813.795833958335</v>
      </c>
      <c r="S624" t="s">
        <v>1407</v>
      </c>
      <c r="T624" s="2"/>
      <c r="U624" s="2"/>
      <c r="V624" s="2"/>
      <c r="W624" s="2"/>
      <c r="X624" s="3" t="str">
        <f t="shared" si="90"/>
        <v/>
      </c>
      <c r="Y624" t="str">
        <f t="shared" si="91"/>
        <v/>
      </c>
      <c r="Z624">
        <f t="shared" si="92"/>
        <v>0</v>
      </c>
      <c r="AA624">
        <f t="shared" si="93"/>
        <v>37.306875000002037</v>
      </c>
      <c r="AB624">
        <f t="shared" si="94"/>
        <v>37.306875000002037</v>
      </c>
      <c r="AC624">
        <f>IFERROR(_xlfn.XLOOKUP(B624, HoldSummary!$A:$A, HoldSummary!B:B), 0)</f>
        <v>0</v>
      </c>
      <c r="AD624">
        <f>IFERROR(_xlfn.XLOOKUP(B624, HoldSummary!$A:$A, HoldSummary!C:C), 0)</f>
        <v>0</v>
      </c>
      <c r="AE624">
        <f>IFERROR(_xlfn.XLOOKUP(B624, HoldSummary!$A:$A, HoldSummary!D:D), 0)</f>
        <v>0</v>
      </c>
      <c r="AF624">
        <f>IFERROR(_xlfn.XLOOKUP(B624, HoldSummary!$A:$A, HoldSummary!E:E), 0)</f>
        <v>0</v>
      </c>
      <c r="AG624">
        <f>IFERROR(_xlfn.XLOOKUP(B624, HoldSummary!$A:$A, HoldSummary!F:F), 0)</f>
        <v>0</v>
      </c>
      <c r="AH624">
        <f>IFERROR(_xlfn.XLOOKUP(B624, HoldSummary!$A:$A, HoldSummary!G:G), 0)</f>
        <v>0</v>
      </c>
      <c r="AI624">
        <f>IFERROR(_xlfn.XLOOKUP(B624, HoldSummary!$A:$A, HoldSummary!H:H), 0)</f>
        <v>0</v>
      </c>
      <c r="AJ624">
        <f>IFERROR(_xlfn.XLOOKUP(B624, HoldSummary!$A:$A, HoldSummary!I:I), 0)</f>
        <v>0</v>
      </c>
      <c r="AK624">
        <f t="shared" si="95"/>
        <v>0</v>
      </c>
      <c r="AL624">
        <f t="shared" si="96"/>
        <v>37.306875000002037</v>
      </c>
      <c r="AM624">
        <f t="shared" si="97"/>
        <v>37.306875000002037</v>
      </c>
      <c r="AN624" s="12">
        <f t="shared" si="98"/>
        <v>0.83333333333575865</v>
      </c>
      <c r="AO624">
        <f t="shared" si="99"/>
        <v>0</v>
      </c>
    </row>
    <row r="625" spans="1:41" x14ac:dyDescent="0.35">
      <c r="A625" t="s">
        <v>23</v>
      </c>
      <c r="B625" t="s">
        <v>1408</v>
      </c>
      <c r="C625" t="s">
        <v>36</v>
      </c>
      <c r="D625" t="s">
        <v>44</v>
      </c>
      <c r="E625" t="s">
        <v>45</v>
      </c>
      <c r="F625" t="s">
        <v>28</v>
      </c>
      <c r="H625" t="s">
        <v>1409</v>
      </c>
      <c r="I625" t="s">
        <v>30</v>
      </c>
      <c r="J625" t="s">
        <v>31</v>
      </c>
      <c r="K625" t="s">
        <v>38</v>
      </c>
      <c r="L625" t="s">
        <v>39</v>
      </c>
      <c r="M625" t="s">
        <v>33</v>
      </c>
      <c r="N625" s="2">
        <v>45771.424016203702</v>
      </c>
      <c r="O625" s="2">
        <v>45791.166666666664</v>
      </c>
      <c r="P625" s="2">
        <v>45791.166666666664</v>
      </c>
      <c r="Q625" s="2">
        <v>45784</v>
      </c>
      <c r="R625" s="2">
        <v>45785.560659317132</v>
      </c>
      <c r="S625" t="s">
        <v>104</v>
      </c>
      <c r="T625" s="2"/>
      <c r="U625" s="2"/>
      <c r="V625" s="2"/>
      <c r="W625" s="2"/>
      <c r="X625" s="3" t="str">
        <f t="shared" si="90"/>
        <v/>
      </c>
      <c r="Y625" t="str">
        <f t="shared" si="91"/>
        <v/>
      </c>
      <c r="Z625">
        <f t="shared" si="92"/>
        <v>0</v>
      </c>
      <c r="AA625">
        <f t="shared" si="93"/>
        <v>12.575983796297805</v>
      </c>
      <c r="AB625">
        <f t="shared" si="94"/>
        <v>12.575983796297805</v>
      </c>
      <c r="AC625">
        <f>IFERROR(_xlfn.XLOOKUP(B625, HoldSummary!$A:$A, HoldSummary!B:B), 0)</f>
        <v>0</v>
      </c>
      <c r="AD625">
        <f>IFERROR(_xlfn.XLOOKUP(B625, HoldSummary!$A:$A, HoldSummary!C:C), 0)</f>
        <v>0</v>
      </c>
      <c r="AE625">
        <f>IFERROR(_xlfn.XLOOKUP(B625, HoldSummary!$A:$A, HoldSummary!D:D), 0)</f>
        <v>0</v>
      </c>
      <c r="AF625">
        <f>IFERROR(_xlfn.XLOOKUP(B625, HoldSummary!$A:$A, HoldSummary!E:E), 0)</f>
        <v>0</v>
      </c>
      <c r="AG625">
        <f>IFERROR(_xlfn.XLOOKUP(B625, HoldSummary!$A:$A, HoldSummary!F:F), 0)</f>
        <v>0</v>
      </c>
      <c r="AH625">
        <f>IFERROR(_xlfn.XLOOKUP(B625, HoldSummary!$A:$A, HoldSummary!G:G), 0)</f>
        <v>0</v>
      </c>
      <c r="AI625">
        <f>IFERROR(_xlfn.XLOOKUP(B625, HoldSummary!$A:$A, HoldSummary!H:H), 0)</f>
        <v>0</v>
      </c>
      <c r="AJ625">
        <f>IFERROR(_xlfn.XLOOKUP(B625, HoldSummary!$A:$A, HoldSummary!I:I), 0)</f>
        <v>0</v>
      </c>
      <c r="AK625">
        <f t="shared" si="95"/>
        <v>0</v>
      </c>
      <c r="AL625">
        <f t="shared" si="96"/>
        <v>12.575983796297805</v>
      </c>
      <c r="AM625">
        <f t="shared" si="97"/>
        <v>12.575983796297805</v>
      </c>
      <c r="AN625" s="12">
        <f t="shared" si="98"/>
        <v>-7.1666666666642413</v>
      </c>
      <c r="AO625">
        <f t="shared" si="99"/>
        <v>1</v>
      </c>
    </row>
    <row r="626" spans="1:41" x14ac:dyDescent="0.35">
      <c r="A626" t="s">
        <v>23</v>
      </c>
      <c r="B626" t="s">
        <v>1410</v>
      </c>
      <c r="C626" t="s">
        <v>36</v>
      </c>
      <c r="D626" t="s">
        <v>44</v>
      </c>
      <c r="E626" t="s">
        <v>45</v>
      </c>
      <c r="F626" t="s">
        <v>28</v>
      </c>
      <c r="H626" t="s">
        <v>1411</v>
      </c>
      <c r="I626" t="s">
        <v>30</v>
      </c>
      <c r="J626" t="s">
        <v>31</v>
      </c>
      <c r="K626" t="s">
        <v>57</v>
      </c>
      <c r="L626" t="s">
        <v>39</v>
      </c>
      <c r="M626" t="s">
        <v>33</v>
      </c>
      <c r="N626" s="2">
        <v>45771.436215277776</v>
      </c>
      <c r="O626" s="2">
        <v>45791.166666666664</v>
      </c>
      <c r="P626" s="2">
        <v>45791.166666666664</v>
      </c>
      <c r="Q626" s="2">
        <v>45790</v>
      </c>
      <c r="R626" s="2">
        <v>45790.859642060183</v>
      </c>
      <c r="S626" t="s">
        <v>104</v>
      </c>
      <c r="T626" s="2"/>
      <c r="U626" s="2"/>
      <c r="V626" s="2"/>
      <c r="W626" s="2"/>
      <c r="X626" s="3" t="str">
        <f t="shared" si="90"/>
        <v/>
      </c>
      <c r="Y626" t="str">
        <f t="shared" si="91"/>
        <v/>
      </c>
      <c r="Z626">
        <f t="shared" si="92"/>
        <v>0</v>
      </c>
      <c r="AA626">
        <f t="shared" si="93"/>
        <v>18.563784722224227</v>
      </c>
      <c r="AB626">
        <f t="shared" si="94"/>
        <v>18.563784722224227</v>
      </c>
      <c r="AC626">
        <f>IFERROR(_xlfn.XLOOKUP(B626, HoldSummary!$A:$A, HoldSummary!B:B), 0)</f>
        <v>0</v>
      </c>
      <c r="AD626">
        <f>IFERROR(_xlfn.XLOOKUP(B626, HoldSummary!$A:$A, HoldSummary!C:C), 0)</f>
        <v>0</v>
      </c>
      <c r="AE626">
        <f>IFERROR(_xlfn.XLOOKUP(B626, HoldSummary!$A:$A, HoldSummary!D:D), 0)</f>
        <v>0</v>
      </c>
      <c r="AF626">
        <f>IFERROR(_xlfn.XLOOKUP(B626, HoldSummary!$A:$A, HoldSummary!E:E), 0)</f>
        <v>0</v>
      </c>
      <c r="AG626">
        <f>IFERROR(_xlfn.XLOOKUP(B626, HoldSummary!$A:$A, HoldSummary!F:F), 0)</f>
        <v>0</v>
      </c>
      <c r="AH626">
        <f>IFERROR(_xlfn.XLOOKUP(B626, HoldSummary!$A:$A, HoldSummary!G:G), 0)</f>
        <v>0</v>
      </c>
      <c r="AI626">
        <f>IFERROR(_xlfn.XLOOKUP(B626, HoldSummary!$A:$A, HoldSummary!H:H), 0)</f>
        <v>0</v>
      </c>
      <c r="AJ626">
        <f>IFERROR(_xlfn.XLOOKUP(B626, HoldSummary!$A:$A, HoldSummary!I:I), 0)</f>
        <v>0</v>
      </c>
      <c r="AK626">
        <f t="shared" si="95"/>
        <v>0</v>
      </c>
      <c r="AL626">
        <f t="shared" si="96"/>
        <v>18.563784722224227</v>
      </c>
      <c r="AM626">
        <f t="shared" si="97"/>
        <v>18.563784722224227</v>
      </c>
      <c r="AN626" s="12">
        <f t="shared" si="98"/>
        <v>-1.1666666666642413</v>
      </c>
      <c r="AO626">
        <f t="shared" si="99"/>
        <v>1</v>
      </c>
    </row>
    <row r="627" spans="1:41" x14ac:dyDescent="0.35">
      <c r="A627" t="s">
        <v>23</v>
      </c>
      <c r="B627" t="s">
        <v>1412</v>
      </c>
      <c r="C627" t="s">
        <v>36</v>
      </c>
      <c r="D627" t="s">
        <v>44</v>
      </c>
      <c r="E627" t="s">
        <v>45</v>
      </c>
      <c r="F627" t="s">
        <v>28</v>
      </c>
      <c r="H627" t="s">
        <v>1413</v>
      </c>
      <c r="I627" t="s">
        <v>30</v>
      </c>
      <c r="J627" t="s">
        <v>31</v>
      </c>
      <c r="K627" t="s">
        <v>48</v>
      </c>
      <c r="L627" t="s">
        <v>39</v>
      </c>
      <c r="M627" t="s">
        <v>33</v>
      </c>
      <c r="N627" s="2">
        <v>45771.436527777776</v>
      </c>
      <c r="O627" s="2">
        <v>45792.166666666664</v>
      </c>
      <c r="P627" s="2">
        <v>45792.166666666664</v>
      </c>
      <c r="Q627" s="2">
        <v>45796</v>
      </c>
      <c r="R627" s="2">
        <v>45796.745105092596</v>
      </c>
      <c r="S627" t="s">
        <v>104</v>
      </c>
      <c r="T627" s="2"/>
      <c r="U627" s="2"/>
      <c r="V627" s="2"/>
      <c r="W627" s="2"/>
      <c r="X627" s="3" t="str">
        <f t="shared" si="90"/>
        <v/>
      </c>
      <c r="Y627" t="str">
        <f t="shared" si="91"/>
        <v/>
      </c>
      <c r="Z627">
        <f t="shared" si="92"/>
        <v>0</v>
      </c>
      <c r="AA627">
        <f t="shared" si="93"/>
        <v>24.563472222223936</v>
      </c>
      <c r="AB627">
        <f t="shared" si="94"/>
        <v>24.563472222223936</v>
      </c>
      <c r="AC627">
        <f>IFERROR(_xlfn.XLOOKUP(B627, HoldSummary!$A:$A, HoldSummary!B:B), 0)</f>
        <v>0</v>
      </c>
      <c r="AD627">
        <f>IFERROR(_xlfn.XLOOKUP(B627, HoldSummary!$A:$A, HoldSummary!C:C), 0)</f>
        <v>0</v>
      </c>
      <c r="AE627">
        <f>IFERROR(_xlfn.XLOOKUP(B627, HoldSummary!$A:$A, HoldSummary!D:D), 0)</f>
        <v>0</v>
      </c>
      <c r="AF627">
        <f>IFERROR(_xlfn.XLOOKUP(B627, HoldSummary!$A:$A, HoldSummary!E:E), 0)</f>
        <v>0</v>
      </c>
      <c r="AG627">
        <f>IFERROR(_xlfn.XLOOKUP(B627, HoldSummary!$A:$A, HoldSummary!F:F), 0)</f>
        <v>0</v>
      </c>
      <c r="AH627">
        <f>IFERROR(_xlfn.XLOOKUP(B627, HoldSummary!$A:$A, HoldSummary!G:G), 0)</f>
        <v>0</v>
      </c>
      <c r="AI627">
        <f>IFERROR(_xlfn.XLOOKUP(B627, HoldSummary!$A:$A, HoldSummary!H:H), 0)</f>
        <v>0</v>
      </c>
      <c r="AJ627">
        <f>IFERROR(_xlfn.XLOOKUP(B627, HoldSummary!$A:$A, HoldSummary!I:I), 0)</f>
        <v>0</v>
      </c>
      <c r="AK627">
        <f t="shared" si="95"/>
        <v>0</v>
      </c>
      <c r="AL627">
        <f t="shared" si="96"/>
        <v>24.563472222223936</v>
      </c>
      <c r="AM627">
        <f t="shared" si="97"/>
        <v>24.563472222223936</v>
      </c>
      <c r="AN627" s="12">
        <f t="shared" si="98"/>
        <v>3.8333333333357587</v>
      </c>
      <c r="AO627">
        <f t="shared" si="99"/>
        <v>0</v>
      </c>
    </row>
    <row r="628" spans="1:41" x14ac:dyDescent="0.35">
      <c r="A628" t="s">
        <v>23</v>
      </c>
      <c r="B628" t="s">
        <v>1414</v>
      </c>
      <c r="C628" t="s">
        <v>36</v>
      </c>
      <c r="D628" t="s">
        <v>44</v>
      </c>
      <c r="E628" t="s">
        <v>45</v>
      </c>
      <c r="F628" t="s">
        <v>28</v>
      </c>
      <c r="H628" t="s">
        <v>1415</v>
      </c>
      <c r="I628" t="s">
        <v>30</v>
      </c>
      <c r="J628" t="s">
        <v>31</v>
      </c>
      <c r="K628" t="s">
        <v>38</v>
      </c>
      <c r="L628" t="s">
        <v>39</v>
      </c>
      <c r="M628" t="s">
        <v>33</v>
      </c>
      <c r="N628" s="2">
        <v>45777.647199074076</v>
      </c>
      <c r="O628" s="2">
        <v>45793.166666666664</v>
      </c>
      <c r="P628" s="2">
        <v>45793.166666666664</v>
      </c>
      <c r="Q628" s="2">
        <v>45785</v>
      </c>
      <c r="R628" s="2">
        <v>45785.843663726853</v>
      </c>
      <c r="S628" t="s">
        <v>104</v>
      </c>
      <c r="T628" s="2"/>
      <c r="U628" s="2"/>
      <c r="V628" s="2"/>
      <c r="W628" s="2"/>
      <c r="X628" s="3" t="str">
        <f t="shared" si="90"/>
        <v/>
      </c>
      <c r="Y628" t="str">
        <f t="shared" si="91"/>
        <v/>
      </c>
      <c r="Z628">
        <f t="shared" si="92"/>
        <v>0</v>
      </c>
      <c r="AA628">
        <f t="shared" si="93"/>
        <v>7.3528009259243845</v>
      </c>
      <c r="AB628">
        <f t="shared" si="94"/>
        <v>7.3528009259243845</v>
      </c>
      <c r="AC628">
        <f>IFERROR(_xlfn.XLOOKUP(B628, HoldSummary!$A:$A, HoldSummary!B:B), 0)</f>
        <v>0</v>
      </c>
      <c r="AD628">
        <f>IFERROR(_xlfn.XLOOKUP(B628, HoldSummary!$A:$A, HoldSummary!C:C), 0)</f>
        <v>0</v>
      </c>
      <c r="AE628">
        <f>IFERROR(_xlfn.XLOOKUP(B628, HoldSummary!$A:$A, HoldSummary!D:D), 0)</f>
        <v>0</v>
      </c>
      <c r="AF628">
        <f>IFERROR(_xlfn.XLOOKUP(B628, HoldSummary!$A:$A, HoldSummary!E:E), 0)</f>
        <v>0</v>
      </c>
      <c r="AG628">
        <f>IFERROR(_xlfn.XLOOKUP(B628, HoldSummary!$A:$A, HoldSummary!F:F), 0)</f>
        <v>0</v>
      </c>
      <c r="AH628">
        <f>IFERROR(_xlfn.XLOOKUP(B628, HoldSummary!$A:$A, HoldSummary!G:G), 0)</f>
        <v>0</v>
      </c>
      <c r="AI628">
        <f>IFERROR(_xlfn.XLOOKUP(B628, HoldSummary!$A:$A, HoldSummary!H:H), 0)</f>
        <v>0</v>
      </c>
      <c r="AJ628">
        <f>IFERROR(_xlfn.XLOOKUP(B628, HoldSummary!$A:$A, HoldSummary!I:I), 0)</f>
        <v>0</v>
      </c>
      <c r="AK628">
        <f t="shared" si="95"/>
        <v>0</v>
      </c>
      <c r="AL628">
        <f t="shared" si="96"/>
        <v>7.3528009259243845</v>
      </c>
      <c r="AM628">
        <f t="shared" si="97"/>
        <v>7.3528009259243845</v>
      </c>
      <c r="AN628" s="12">
        <f t="shared" si="98"/>
        <v>-8.1666666666642413</v>
      </c>
      <c r="AO628">
        <f t="shared" si="99"/>
        <v>1</v>
      </c>
    </row>
    <row r="629" spans="1:41" x14ac:dyDescent="0.35">
      <c r="A629" t="s">
        <v>23</v>
      </c>
      <c r="B629" t="s">
        <v>1416</v>
      </c>
      <c r="C629" t="s">
        <v>36</v>
      </c>
      <c r="D629" t="s">
        <v>44</v>
      </c>
      <c r="E629" t="s">
        <v>45</v>
      </c>
      <c r="F629" t="s">
        <v>28</v>
      </c>
      <c r="H629" t="s">
        <v>1417</v>
      </c>
      <c r="I629" t="s">
        <v>30</v>
      </c>
      <c r="J629" t="s">
        <v>31</v>
      </c>
      <c r="K629" t="s">
        <v>48</v>
      </c>
      <c r="L629" t="s">
        <v>827</v>
      </c>
      <c r="M629" t="s">
        <v>33</v>
      </c>
      <c r="N629" s="2">
        <v>45783.605185185188</v>
      </c>
      <c r="O629" s="2">
        <v>45798.166666666664</v>
      </c>
      <c r="P629" s="2">
        <v>45798.166666666664</v>
      </c>
      <c r="Q629" s="2">
        <v>45807</v>
      </c>
      <c r="R629" s="2">
        <v>45810.515245509261</v>
      </c>
      <c r="S629" t="s">
        <v>1418</v>
      </c>
      <c r="T629" s="2"/>
      <c r="U629" s="2"/>
      <c r="V629" s="2"/>
      <c r="W629" s="2"/>
      <c r="X629" s="3" t="str">
        <f t="shared" si="90"/>
        <v/>
      </c>
      <c r="Y629" t="str">
        <f t="shared" si="91"/>
        <v/>
      </c>
      <c r="Z629">
        <f t="shared" si="92"/>
        <v>0</v>
      </c>
      <c r="AA629">
        <f t="shared" si="93"/>
        <v>23.39481481481198</v>
      </c>
      <c r="AB629">
        <f t="shared" si="94"/>
        <v>23.39481481481198</v>
      </c>
      <c r="AC629">
        <f>IFERROR(_xlfn.XLOOKUP(B629, HoldSummary!$A:$A, HoldSummary!B:B), 0)</f>
        <v>0</v>
      </c>
      <c r="AD629">
        <f>IFERROR(_xlfn.XLOOKUP(B629, HoldSummary!$A:$A, HoldSummary!C:C), 0)</f>
        <v>0</v>
      </c>
      <c r="AE629">
        <f>IFERROR(_xlfn.XLOOKUP(B629, HoldSummary!$A:$A, HoldSummary!D:D), 0)</f>
        <v>0</v>
      </c>
      <c r="AF629">
        <f>IFERROR(_xlfn.XLOOKUP(B629, HoldSummary!$A:$A, HoldSummary!E:E), 0)</f>
        <v>0</v>
      </c>
      <c r="AG629">
        <f>IFERROR(_xlfn.XLOOKUP(B629, HoldSummary!$A:$A, HoldSummary!F:F), 0)</f>
        <v>0</v>
      </c>
      <c r="AH629">
        <f>IFERROR(_xlfn.XLOOKUP(B629, HoldSummary!$A:$A, HoldSummary!G:G), 0)</f>
        <v>0</v>
      </c>
      <c r="AI629">
        <f>IFERROR(_xlfn.XLOOKUP(B629, HoldSummary!$A:$A, HoldSummary!H:H), 0)</f>
        <v>0</v>
      </c>
      <c r="AJ629">
        <f>IFERROR(_xlfn.XLOOKUP(B629, HoldSummary!$A:$A, HoldSummary!I:I), 0)</f>
        <v>0</v>
      </c>
      <c r="AK629">
        <f t="shared" si="95"/>
        <v>0</v>
      </c>
      <c r="AL629">
        <f t="shared" si="96"/>
        <v>23.39481481481198</v>
      </c>
      <c r="AM629">
        <f t="shared" si="97"/>
        <v>23.39481481481198</v>
      </c>
      <c r="AN629" s="12">
        <f t="shared" si="98"/>
        <v>8.8333333333357587</v>
      </c>
      <c r="AO629">
        <f t="shared" si="99"/>
        <v>0</v>
      </c>
    </row>
    <row r="630" spans="1:41" x14ac:dyDescent="0.35">
      <c r="A630" t="s">
        <v>23</v>
      </c>
      <c r="B630" t="s">
        <v>1419</v>
      </c>
      <c r="C630" t="s">
        <v>409</v>
      </c>
      <c r="D630" t="s">
        <v>44</v>
      </c>
      <c r="E630" t="s">
        <v>45</v>
      </c>
      <c r="F630" t="s">
        <v>28</v>
      </c>
      <c r="H630" t="s">
        <v>1420</v>
      </c>
      <c r="I630" t="s">
        <v>30</v>
      </c>
      <c r="J630" t="s">
        <v>31</v>
      </c>
      <c r="K630" t="s">
        <v>48</v>
      </c>
      <c r="L630" t="s">
        <v>49</v>
      </c>
      <c r="M630" t="s">
        <v>33</v>
      </c>
      <c r="N630" s="2">
        <v>45769.69835648148</v>
      </c>
      <c r="O630" s="2">
        <v>45863.166666666664</v>
      </c>
      <c r="P630" s="2">
        <v>45849.166666666664</v>
      </c>
      <c r="Q630" s="2">
        <v>45841</v>
      </c>
      <c r="R630" s="2">
        <v>45845.65724857639</v>
      </c>
      <c r="S630" t="s">
        <v>34</v>
      </c>
      <c r="T630" s="2">
        <v>45812.166666666664</v>
      </c>
      <c r="U630" s="2">
        <v>45812.166666666664</v>
      </c>
      <c r="V630" s="2">
        <v>45812.166666666664</v>
      </c>
      <c r="W630" s="2">
        <v>45817.166666666664</v>
      </c>
      <c r="X630" s="3">
        <f t="shared" si="90"/>
        <v>0</v>
      </c>
      <c r="Y630">
        <f t="shared" si="91"/>
        <v>5</v>
      </c>
      <c r="Z630">
        <f t="shared" si="92"/>
        <v>5</v>
      </c>
      <c r="AA630">
        <f t="shared" si="93"/>
        <v>71.301643518519995</v>
      </c>
      <c r="AB630">
        <f t="shared" si="94"/>
        <v>66.301643518519995</v>
      </c>
      <c r="AC630">
        <f>IFERROR(_xlfn.XLOOKUP(B630, HoldSummary!$A:$A, HoldSummary!B:B), 0)</f>
        <v>12.938011053236551</v>
      </c>
      <c r="AD630">
        <f>IFERROR(_xlfn.XLOOKUP(B630, HoldSummary!$A:$A, HoldSummary!C:C), 0)</f>
        <v>0</v>
      </c>
      <c r="AE630">
        <f>IFERROR(_xlfn.XLOOKUP(B630, HoldSummary!$A:$A, HoldSummary!D:D), 0)</f>
        <v>0</v>
      </c>
      <c r="AF630">
        <f>IFERROR(_xlfn.XLOOKUP(B630, HoldSummary!$A:$A, HoldSummary!E:E), 0)</f>
        <v>0</v>
      </c>
      <c r="AG630">
        <f>IFERROR(_xlfn.XLOOKUP(B630, HoldSummary!$A:$A, HoldSummary!F:F), 0)</f>
        <v>0</v>
      </c>
      <c r="AH630">
        <f>IFERROR(_xlfn.XLOOKUP(B630, HoldSummary!$A:$A, HoldSummary!G:G), 0)</f>
        <v>0</v>
      </c>
      <c r="AI630">
        <f>IFERROR(_xlfn.XLOOKUP(B630, HoldSummary!$A:$A, HoldSummary!H:H), 0)</f>
        <v>0</v>
      </c>
      <c r="AJ630">
        <f>IFERROR(_xlfn.XLOOKUP(B630, HoldSummary!$A:$A, HoldSummary!I:I), 0)</f>
        <v>0</v>
      </c>
      <c r="AK630">
        <f t="shared" si="95"/>
        <v>12.938011053236551</v>
      </c>
      <c r="AL630">
        <f t="shared" si="96"/>
        <v>58.363632465283445</v>
      </c>
      <c r="AM630">
        <f t="shared" si="97"/>
        <v>53.363632465283445</v>
      </c>
      <c r="AN630" s="12">
        <f t="shared" si="98"/>
        <v>-22.166666666664241</v>
      </c>
      <c r="AO630">
        <f t="shared" si="99"/>
        <v>1</v>
      </c>
    </row>
    <row r="631" spans="1:41" x14ac:dyDescent="0.35">
      <c r="A631" t="s">
        <v>23</v>
      </c>
      <c r="B631" t="s">
        <v>1421</v>
      </c>
      <c r="C631" t="s">
        <v>36</v>
      </c>
      <c r="D631" t="s">
        <v>44</v>
      </c>
      <c r="E631" t="s">
        <v>45</v>
      </c>
      <c r="F631" t="s">
        <v>28</v>
      </c>
      <c r="H631" t="s">
        <v>1422</v>
      </c>
      <c r="I631" t="s">
        <v>30</v>
      </c>
      <c r="J631" t="s">
        <v>31</v>
      </c>
      <c r="K631" t="s">
        <v>48</v>
      </c>
      <c r="L631" t="s">
        <v>827</v>
      </c>
      <c r="M631" t="s">
        <v>33</v>
      </c>
      <c r="N631" s="2">
        <v>45796.849363425928</v>
      </c>
      <c r="O631" s="2">
        <v>45807.166666666664</v>
      </c>
      <c r="P631" s="2">
        <v>45807.166666666664</v>
      </c>
      <c r="Q631" s="2">
        <v>45804</v>
      </c>
      <c r="R631" s="2">
        <v>45804.670322453705</v>
      </c>
      <c r="S631" t="s">
        <v>1423</v>
      </c>
      <c r="T631" s="2"/>
      <c r="U631" s="2"/>
      <c r="V631" s="2"/>
      <c r="W631" s="2"/>
      <c r="X631" s="3" t="str">
        <f t="shared" si="90"/>
        <v/>
      </c>
      <c r="Y631" t="str">
        <f t="shared" si="91"/>
        <v/>
      </c>
      <c r="Z631">
        <f t="shared" si="92"/>
        <v>0</v>
      </c>
      <c r="AA631">
        <f t="shared" si="93"/>
        <v>7.150636574071541</v>
      </c>
      <c r="AB631">
        <f t="shared" si="94"/>
        <v>7.150636574071541</v>
      </c>
      <c r="AC631">
        <f>IFERROR(_xlfn.XLOOKUP(B631, HoldSummary!$A:$A, HoldSummary!B:B), 0)</f>
        <v>0</v>
      </c>
      <c r="AD631">
        <f>IFERROR(_xlfn.XLOOKUP(B631, HoldSummary!$A:$A, HoldSummary!C:C), 0)</f>
        <v>0</v>
      </c>
      <c r="AE631">
        <f>IFERROR(_xlfn.XLOOKUP(B631, HoldSummary!$A:$A, HoldSummary!D:D), 0)</f>
        <v>0</v>
      </c>
      <c r="AF631">
        <f>IFERROR(_xlfn.XLOOKUP(B631, HoldSummary!$A:$A, HoldSummary!E:E), 0)</f>
        <v>0</v>
      </c>
      <c r="AG631">
        <f>IFERROR(_xlfn.XLOOKUP(B631, HoldSummary!$A:$A, HoldSummary!F:F), 0)</f>
        <v>0</v>
      </c>
      <c r="AH631">
        <f>IFERROR(_xlfn.XLOOKUP(B631, HoldSummary!$A:$A, HoldSummary!G:G), 0)</f>
        <v>0</v>
      </c>
      <c r="AI631">
        <f>IFERROR(_xlfn.XLOOKUP(B631, HoldSummary!$A:$A, HoldSummary!H:H), 0)</f>
        <v>0</v>
      </c>
      <c r="AJ631">
        <f>IFERROR(_xlfn.XLOOKUP(B631, HoldSummary!$A:$A, HoldSummary!I:I), 0)</f>
        <v>0</v>
      </c>
      <c r="AK631">
        <f t="shared" si="95"/>
        <v>0</v>
      </c>
      <c r="AL631">
        <f t="shared" si="96"/>
        <v>7.150636574071541</v>
      </c>
      <c r="AM631">
        <f t="shared" si="97"/>
        <v>7.150636574071541</v>
      </c>
      <c r="AN631" s="12">
        <f t="shared" si="98"/>
        <v>-3.1666666666642413</v>
      </c>
      <c r="AO631">
        <f t="shared" si="99"/>
        <v>1</v>
      </c>
    </row>
    <row r="632" spans="1:41" x14ac:dyDescent="0.35">
      <c r="A632" t="s">
        <v>23</v>
      </c>
      <c r="B632" t="s">
        <v>1424</v>
      </c>
      <c r="C632" t="s">
        <v>36</v>
      </c>
      <c r="D632" t="s">
        <v>44</v>
      </c>
      <c r="E632" t="s">
        <v>45</v>
      </c>
      <c r="F632" t="s">
        <v>28</v>
      </c>
      <c r="H632" t="s">
        <v>1422</v>
      </c>
      <c r="I632" t="s">
        <v>30</v>
      </c>
      <c r="J632" t="s">
        <v>31</v>
      </c>
      <c r="K632" t="s">
        <v>48</v>
      </c>
      <c r="L632" t="s">
        <v>827</v>
      </c>
      <c r="M632" t="s">
        <v>33</v>
      </c>
      <c r="N632" s="2">
        <v>45804.668333333335</v>
      </c>
      <c r="O632" s="2">
        <v>45807.166666666664</v>
      </c>
      <c r="P632" s="2">
        <v>45807.166666666664</v>
      </c>
      <c r="Q632" s="2">
        <v>45807</v>
      </c>
      <c r="R632" s="2">
        <v>45810.511745104166</v>
      </c>
      <c r="S632" t="s">
        <v>1425</v>
      </c>
      <c r="T632" s="2"/>
      <c r="U632" s="2"/>
      <c r="V632" s="2"/>
      <c r="W632" s="2"/>
      <c r="X632" s="3" t="str">
        <f t="shared" si="90"/>
        <v/>
      </c>
      <c r="Y632" t="str">
        <f t="shared" si="91"/>
        <v/>
      </c>
      <c r="Z632">
        <f t="shared" si="92"/>
        <v>0</v>
      </c>
      <c r="AA632">
        <f t="shared" si="93"/>
        <v>2.3316666666651145</v>
      </c>
      <c r="AB632">
        <f t="shared" si="94"/>
        <v>2.3316666666651145</v>
      </c>
      <c r="AC632">
        <f>IFERROR(_xlfn.XLOOKUP(B632, HoldSummary!$A:$A, HoldSummary!B:B), 0)</f>
        <v>0</v>
      </c>
      <c r="AD632">
        <f>IFERROR(_xlfn.XLOOKUP(B632, HoldSummary!$A:$A, HoldSummary!C:C), 0)</f>
        <v>0</v>
      </c>
      <c r="AE632">
        <f>IFERROR(_xlfn.XLOOKUP(B632, HoldSummary!$A:$A, HoldSummary!D:D), 0)</f>
        <v>0</v>
      </c>
      <c r="AF632">
        <f>IFERROR(_xlfn.XLOOKUP(B632, HoldSummary!$A:$A, HoldSummary!E:E), 0)</f>
        <v>0</v>
      </c>
      <c r="AG632">
        <f>IFERROR(_xlfn.XLOOKUP(B632, HoldSummary!$A:$A, HoldSummary!F:F), 0)</f>
        <v>0</v>
      </c>
      <c r="AH632">
        <f>IFERROR(_xlfn.XLOOKUP(B632, HoldSummary!$A:$A, HoldSummary!G:G), 0)</f>
        <v>0</v>
      </c>
      <c r="AI632">
        <f>IFERROR(_xlfn.XLOOKUP(B632, HoldSummary!$A:$A, HoldSummary!H:H), 0)</f>
        <v>0</v>
      </c>
      <c r="AJ632">
        <f>IFERROR(_xlfn.XLOOKUP(B632, HoldSummary!$A:$A, HoldSummary!I:I), 0)</f>
        <v>0</v>
      </c>
      <c r="AK632">
        <f t="shared" si="95"/>
        <v>0</v>
      </c>
      <c r="AL632">
        <f t="shared" si="96"/>
        <v>2.3316666666651145</v>
      </c>
      <c r="AM632">
        <f t="shared" si="97"/>
        <v>2.3316666666651145</v>
      </c>
      <c r="AN632" s="12">
        <f t="shared" si="98"/>
        <v>-0.16666666666424135</v>
      </c>
      <c r="AO632">
        <f t="shared" si="99"/>
        <v>1</v>
      </c>
    </row>
    <row r="633" spans="1:41" x14ac:dyDescent="0.35">
      <c r="A633" t="s">
        <v>23</v>
      </c>
      <c r="B633">
        <v>109710</v>
      </c>
      <c r="C633" t="s">
        <v>36</v>
      </c>
      <c r="D633" t="s">
        <v>44</v>
      </c>
      <c r="E633" t="s">
        <v>55</v>
      </c>
      <c r="F633" t="s">
        <v>28</v>
      </c>
      <c r="H633" t="s">
        <v>1426</v>
      </c>
      <c r="I633" t="s">
        <v>30</v>
      </c>
      <c r="J633" t="s">
        <v>31</v>
      </c>
      <c r="K633" t="s">
        <v>38</v>
      </c>
      <c r="L633" t="s">
        <v>58</v>
      </c>
      <c r="M633" t="s">
        <v>33</v>
      </c>
      <c r="N633" s="2">
        <v>45616.208333333336</v>
      </c>
      <c r="O633" s="2">
        <v>45800.166666666664</v>
      </c>
      <c r="P633" s="2">
        <v>45800.166666666664</v>
      </c>
      <c r="Q633" s="2">
        <v>45799</v>
      </c>
      <c r="R633" s="2">
        <v>45800.491142557868</v>
      </c>
      <c r="S633" t="s">
        <v>1427</v>
      </c>
      <c r="T633" s="2"/>
      <c r="U633" s="2"/>
      <c r="V633" s="2"/>
      <c r="W633" s="2"/>
      <c r="X633" s="3" t="str">
        <f t="shared" si="90"/>
        <v/>
      </c>
      <c r="Y633" t="str">
        <f t="shared" si="91"/>
        <v/>
      </c>
      <c r="Z633">
        <f t="shared" si="92"/>
        <v>0</v>
      </c>
      <c r="AA633">
        <f t="shared" si="93"/>
        <v>182.79166666666424</v>
      </c>
      <c r="AB633">
        <f t="shared" si="94"/>
        <v>182.79166666666424</v>
      </c>
      <c r="AC633">
        <f>IFERROR(_xlfn.XLOOKUP(B633, HoldSummary!$A:$A, HoldSummary!B:B), 0)</f>
        <v>0</v>
      </c>
      <c r="AD633">
        <f>IFERROR(_xlfn.XLOOKUP(B633, HoldSummary!$A:$A, HoldSummary!C:C), 0)</f>
        <v>0</v>
      </c>
      <c r="AE633">
        <f>IFERROR(_xlfn.XLOOKUP(B633, HoldSummary!$A:$A, HoldSummary!D:D), 0)</f>
        <v>0</v>
      </c>
      <c r="AF633">
        <f>IFERROR(_xlfn.XLOOKUP(B633, HoldSummary!$A:$A, HoldSummary!E:E), 0)</f>
        <v>0</v>
      </c>
      <c r="AG633">
        <f>IFERROR(_xlfn.XLOOKUP(B633, HoldSummary!$A:$A, HoldSummary!F:F), 0)</f>
        <v>0</v>
      </c>
      <c r="AH633">
        <f>IFERROR(_xlfn.XLOOKUP(B633, HoldSummary!$A:$A, HoldSummary!G:G), 0)</f>
        <v>0</v>
      </c>
      <c r="AI633">
        <f>IFERROR(_xlfn.XLOOKUP(B633, HoldSummary!$A:$A, HoldSummary!H:H), 0)</f>
        <v>0</v>
      </c>
      <c r="AJ633">
        <f>IFERROR(_xlfn.XLOOKUP(B633, HoldSummary!$A:$A, HoldSummary!I:I), 0)</f>
        <v>0</v>
      </c>
      <c r="AK633">
        <f t="shared" si="95"/>
        <v>0</v>
      </c>
      <c r="AL633">
        <f t="shared" si="96"/>
        <v>182.79166666666424</v>
      </c>
      <c r="AM633">
        <f t="shared" si="97"/>
        <v>182.79166666666424</v>
      </c>
      <c r="AN633" s="12">
        <f t="shared" si="98"/>
        <v>-1.1666666666642413</v>
      </c>
      <c r="AO633">
        <f t="shared" si="99"/>
        <v>1</v>
      </c>
    </row>
    <row r="634" spans="1:41" x14ac:dyDescent="0.35">
      <c r="A634" t="s">
        <v>23</v>
      </c>
      <c r="B634" t="s">
        <v>1428</v>
      </c>
      <c r="C634" t="s">
        <v>409</v>
      </c>
      <c r="D634" t="s">
        <v>44</v>
      </c>
      <c r="E634" t="s">
        <v>45</v>
      </c>
      <c r="F634" t="s">
        <v>28</v>
      </c>
      <c r="H634" t="s">
        <v>1429</v>
      </c>
      <c r="I634" t="s">
        <v>30</v>
      </c>
      <c r="J634" t="s">
        <v>31</v>
      </c>
      <c r="K634" t="s">
        <v>174</v>
      </c>
      <c r="L634" t="s">
        <v>174</v>
      </c>
      <c r="M634" t="s">
        <v>81</v>
      </c>
      <c r="N634" s="2">
        <v>45775.52753472222</v>
      </c>
      <c r="O634" s="2">
        <v>45863.166666666664</v>
      </c>
      <c r="P634" s="2">
        <v>45863.166666666664</v>
      </c>
      <c r="Q634" s="2">
        <v>45847</v>
      </c>
      <c r="R634" s="2">
        <v>45847.858541701389</v>
      </c>
      <c r="S634" t="s">
        <v>1430</v>
      </c>
      <c r="T634" s="2">
        <v>45813.166666666664</v>
      </c>
      <c r="U634" s="2">
        <v>45819.166666666664</v>
      </c>
      <c r="V634" s="2">
        <v>45824.166666666664</v>
      </c>
      <c r="W634" s="2">
        <v>45838.166666666664</v>
      </c>
      <c r="X634" s="3">
        <f t="shared" si="90"/>
        <v>6</v>
      </c>
      <c r="Y634">
        <f t="shared" si="91"/>
        <v>14</v>
      </c>
      <c r="Z634">
        <f t="shared" si="92"/>
        <v>20</v>
      </c>
      <c r="AA634">
        <f t="shared" si="93"/>
        <v>71.472465277780429</v>
      </c>
      <c r="AB634">
        <f t="shared" si="94"/>
        <v>51.472465277780429</v>
      </c>
      <c r="AC634">
        <f>IFERROR(_xlfn.XLOOKUP(B634, HoldSummary!$A:$A, HoldSummary!B:B), 0)</f>
        <v>2</v>
      </c>
      <c r="AD634">
        <f>IFERROR(_xlfn.XLOOKUP(B634, HoldSummary!$A:$A, HoldSummary!C:C), 0)</f>
        <v>0</v>
      </c>
      <c r="AE634">
        <f>IFERROR(_xlfn.XLOOKUP(B634, HoldSummary!$A:$A, HoldSummary!D:D), 0)</f>
        <v>0</v>
      </c>
      <c r="AF634">
        <f>IFERROR(_xlfn.XLOOKUP(B634, HoldSummary!$A:$A, HoldSummary!E:E), 0)</f>
        <v>0</v>
      </c>
      <c r="AG634">
        <f>IFERROR(_xlfn.XLOOKUP(B634, HoldSummary!$A:$A, HoldSummary!F:F), 0)</f>
        <v>0</v>
      </c>
      <c r="AH634">
        <f>IFERROR(_xlfn.XLOOKUP(B634, HoldSummary!$A:$A, HoldSummary!G:G), 0)</f>
        <v>0</v>
      </c>
      <c r="AI634">
        <f>IFERROR(_xlfn.XLOOKUP(B634, HoldSummary!$A:$A, HoldSummary!H:H), 0)</f>
        <v>0</v>
      </c>
      <c r="AJ634">
        <f>IFERROR(_xlfn.XLOOKUP(B634, HoldSummary!$A:$A, HoldSummary!I:I), 0)</f>
        <v>0</v>
      </c>
      <c r="AK634">
        <f t="shared" si="95"/>
        <v>2</v>
      </c>
      <c r="AL634">
        <f t="shared" si="96"/>
        <v>69.472465277780429</v>
      </c>
      <c r="AM634">
        <f t="shared" si="97"/>
        <v>49.472465277780429</v>
      </c>
      <c r="AN634" s="12">
        <f t="shared" si="98"/>
        <v>-16.166666666664241</v>
      </c>
      <c r="AO634">
        <f t="shared" si="99"/>
        <v>1</v>
      </c>
    </row>
    <row r="635" spans="1:41" x14ac:dyDescent="0.35">
      <c r="A635" t="s">
        <v>23</v>
      </c>
      <c r="B635" t="s">
        <v>1431</v>
      </c>
      <c r="C635" t="s">
        <v>36</v>
      </c>
      <c r="D635" t="s">
        <v>44</v>
      </c>
      <c r="E635" t="s">
        <v>45</v>
      </c>
      <c r="F635" t="s">
        <v>28</v>
      </c>
      <c r="H635" t="s">
        <v>1432</v>
      </c>
      <c r="I635" t="s">
        <v>30</v>
      </c>
      <c r="J635" t="s">
        <v>31</v>
      </c>
      <c r="K635" t="s">
        <v>38</v>
      </c>
      <c r="L635" t="s">
        <v>39</v>
      </c>
      <c r="M635" t="s">
        <v>33</v>
      </c>
      <c r="N635" s="2">
        <v>45782.478831018518</v>
      </c>
      <c r="O635" s="2">
        <v>45821.166666666664</v>
      </c>
      <c r="P635" s="2">
        <v>45821.166666666664</v>
      </c>
      <c r="Q635" s="2">
        <v>45817</v>
      </c>
      <c r="R635" s="2">
        <v>45819.633861817128</v>
      </c>
      <c r="S635" t="s">
        <v>97</v>
      </c>
      <c r="T635" s="2"/>
      <c r="U635" s="2"/>
      <c r="V635" s="2"/>
      <c r="W635" s="2"/>
      <c r="X635" s="3" t="str">
        <f t="shared" si="90"/>
        <v/>
      </c>
      <c r="Y635" t="str">
        <f t="shared" si="91"/>
        <v/>
      </c>
      <c r="Z635">
        <f t="shared" si="92"/>
        <v>0</v>
      </c>
      <c r="AA635">
        <f t="shared" si="93"/>
        <v>34.521168981482333</v>
      </c>
      <c r="AB635">
        <f t="shared" si="94"/>
        <v>34.521168981482333</v>
      </c>
      <c r="AC635">
        <f>IFERROR(_xlfn.XLOOKUP(B635, HoldSummary!$A:$A, HoldSummary!B:B), 0)</f>
        <v>10</v>
      </c>
      <c r="AD635">
        <f>IFERROR(_xlfn.XLOOKUP(B635, HoldSummary!$A:$A, HoldSummary!C:C), 0)</f>
        <v>0</v>
      </c>
      <c r="AE635">
        <f>IFERROR(_xlfn.XLOOKUP(B635, HoldSummary!$A:$A, HoldSummary!D:D), 0)</f>
        <v>0</v>
      </c>
      <c r="AF635">
        <f>IFERROR(_xlfn.XLOOKUP(B635, HoldSummary!$A:$A, HoldSummary!E:E), 0)</f>
        <v>0</v>
      </c>
      <c r="AG635">
        <f>IFERROR(_xlfn.XLOOKUP(B635, HoldSummary!$A:$A, HoldSummary!F:F), 0)</f>
        <v>0</v>
      </c>
      <c r="AH635">
        <f>IFERROR(_xlfn.XLOOKUP(B635, HoldSummary!$A:$A, HoldSummary!G:G), 0)</f>
        <v>0</v>
      </c>
      <c r="AI635">
        <f>IFERROR(_xlfn.XLOOKUP(B635, HoldSummary!$A:$A, HoldSummary!H:H), 0)</f>
        <v>0</v>
      </c>
      <c r="AJ635">
        <f>IFERROR(_xlfn.XLOOKUP(B635, HoldSummary!$A:$A, HoldSummary!I:I), 0)</f>
        <v>0</v>
      </c>
      <c r="AK635">
        <f t="shared" si="95"/>
        <v>10</v>
      </c>
      <c r="AL635">
        <f t="shared" si="96"/>
        <v>24.521168981482333</v>
      </c>
      <c r="AM635">
        <f t="shared" si="97"/>
        <v>24.521168981482333</v>
      </c>
      <c r="AN635" s="12">
        <f t="shared" si="98"/>
        <v>-4.1666666666642413</v>
      </c>
      <c r="AO635">
        <f t="shared" si="99"/>
        <v>1</v>
      </c>
    </row>
    <row r="636" spans="1:41" x14ac:dyDescent="0.35">
      <c r="A636" t="s">
        <v>23</v>
      </c>
      <c r="B636" t="s">
        <v>1433</v>
      </c>
      <c r="C636" t="s">
        <v>409</v>
      </c>
      <c r="D636" t="s">
        <v>44</v>
      </c>
      <c r="E636" t="s">
        <v>45</v>
      </c>
      <c r="F636" t="s">
        <v>28</v>
      </c>
      <c r="H636" t="s">
        <v>1434</v>
      </c>
      <c r="I636" t="s">
        <v>30</v>
      </c>
      <c r="J636" t="s">
        <v>31</v>
      </c>
      <c r="K636" t="s">
        <v>38</v>
      </c>
      <c r="L636" t="s">
        <v>39</v>
      </c>
      <c r="M636" t="s">
        <v>33</v>
      </c>
      <c r="N636" s="2">
        <v>45805.545949074076</v>
      </c>
      <c r="O636" s="2">
        <v>45869.166666666664</v>
      </c>
      <c r="P636" s="2">
        <v>45891.166666666664</v>
      </c>
      <c r="Q636" s="2">
        <v>45849</v>
      </c>
      <c r="R636" s="2">
        <v>45849.791767754628</v>
      </c>
      <c r="T636" s="2">
        <v>45847.166666666664</v>
      </c>
      <c r="U636" s="2">
        <v>45847.166666666664</v>
      </c>
      <c r="V636" s="2">
        <v>45847.166666666664</v>
      </c>
      <c r="W636" s="2">
        <v>45847.166666666664</v>
      </c>
      <c r="X636" s="3">
        <f t="shared" si="90"/>
        <v>0</v>
      </c>
      <c r="Y636">
        <f t="shared" si="91"/>
        <v>0</v>
      </c>
      <c r="Z636">
        <f t="shared" si="92"/>
        <v>0</v>
      </c>
      <c r="AA636">
        <f t="shared" si="93"/>
        <v>43.454050925924093</v>
      </c>
      <c r="AB636">
        <f t="shared" si="94"/>
        <v>43.454050925924093</v>
      </c>
      <c r="AC636">
        <f>IFERROR(_xlfn.XLOOKUP(B636, HoldSummary!$A:$A, HoldSummary!B:B), 0)</f>
        <v>0</v>
      </c>
      <c r="AD636">
        <f>IFERROR(_xlfn.XLOOKUP(B636, HoldSummary!$A:$A, HoldSummary!C:C), 0)</f>
        <v>0</v>
      </c>
      <c r="AE636">
        <f>IFERROR(_xlfn.XLOOKUP(B636, HoldSummary!$A:$A, HoldSummary!D:D), 0)</f>
        <v>0</v>
      </c>
      <c r="AF636">
        <f>IFERROR(_xlfn.XLOOKUP(B636, HoldSummary!$A:$A, HoldSummary!E:E), 0)</f>
        <v>0</v>
      </c>
      <c r="AG636">
        <f>IFERROR(_xlfn.XLOOKUP(B636, HoldSummary!$A:$A, HoldSummary!F:F), 0)</f>
        <v>0</v>
      </c>
      <c r="AH636">
        <f>IFERROR(_xlfn.XLOOKUP(B636, HoldSummary!$A:$A, HoldSummary!G:G), 0)</f>
        <v>0</v>
      </c>
      <c r="AI636">
        <f>IFERROR(_xlfn.XLOOKUP(B636, HoldSummary!$A:$A, HoldSummary!H:H), 0)</f>
        <v>0</v>
      </c>
      <c r="AJ636">
        <f>IFERROR(_xlfn.XLOOKUP(B636, HoldSummary!$A:$A, HoldSummary!I:I), 0)</f>
        <v>0</v>
      </c>
      <c r="AK636">
        <f t="shared" si="95"/>
        <v>0</v>
      </c>
      <c r="AL636">
        <f t="shared" si="96"/>
        <v>43.454050925924093</v>
      </c>
      <c r="AM636">
        <f t="shared" si="97"/>
        <v>43.454050925924093</v>
      </c>
      <c r="AN636" s="12">
        <f t="shared" si="98"/>
        <v>-20.166666666664241</v>
      </c>
      <c r="AO636">
        <f t="shared" si="99"/>
        <v>1</v>
      </c>
    </row>
    <row r="637" spans="1:41" x14ac:dyDescent="0.35">
      <c r="A637" t="s">
        <v>23</v>
      </c>
      <c r="B637" t="s">
        <v>1435</v>
      </c>
      <c r="C637" t="s">
        <v>409</v>
      </c>
      <c r="D637" t="s">
        <v>44</v>
      </c>
      <c r="E637" t="s">
        <v>45</v>
      </c>
      <c r="F637" t="s">
        <v>28</v>
      </c>
      <c r="H637" t="s">
        <v>1436</v>
      </c>
      <c r="I637" t="s">
        <v>30</v>
      </c>
      <c r="J637" t="s">
        <v>31</v>
      </c>
      <c r="K637" t="s">
        <v>38</v>
      </c>
      <c r="L637" t="s">
        <v>39</v>
      </c>
      <c r="M637" t="s">
        <v>33</v>
      </c>
      <c r="N637" s="2">
        <v>45812.899814814817</v>
      </c>
      <c r="O637" s="2">
        <v>45838.166666666664</v>
      </c>
      <c r="P637" s="2">
        <v>45838.166666666664</v>
      </c>
      <c r="Q637" s="2">
        <v>45832</v>
      </c>
      <c r="R637" s="2">
        <v>45832.618129594906</v>
      </c>
      <c r="S637" t="s">
        <v>97</v>
      </c>
      <c r="T637" s="2">
        <v>45825.166666666664</v>
      </c>
      <c r="U637" s="2">
        <v>45825.166666666664</v>
      </c>
      <c r="V637" s="2">
        <v>45825.166666666664</v>
      </c>
      <c r="W637" s="2">
        <v>45825.166666666664</v>
      </c>
      <c r="X637" s="3">
        <f t="shared" si="90"/>
        <v>0</v>
      </c>
      <c r="Y637">
        <f t="shared" si="91"/>
        <v>0</v>
      </c>
      <c r="Z637">
        <f t="shared" si="92"/>
        <v>0</v>
      </c>
      <c r="AA637">
        <f t="shared" si="93"/>
        <v>19.100185185183364</v>
      </c>
      <c r="AB637">
        <f t="shared" si="94"/>
        <v>19.100185185183364</v>
      </c>
      <c r="AC637">
        <f>IFERROR(_xlfn.XLOOKUP(B637, HoldSummary!$A:$A, HoldSummary!B:B), 0)</f>
        <v>0</v>
      </c>
      <c r="AD637">
        <f>IFERROR(_xlfn.XLOOKUP(B637, HoldSummary!$A:$A, HoldSummary!C:C), 0)</f>
        <v>0</v>
      </c>
      <c r="AE637">
        <f>IFERROR(_xlfn.XLOOKUP(B637, HoldSummary!$A:$A, HoldSummary!D:D), 0)</f>
        <v>0</v>
      </c>
      <c r="AF637">
        <f>IFERROR(_xlfn.XLOOKUP(B637, HoldSummary!$A:$A, HoldSummary!E:E), 0)</f>
        <v>0</v>
      </c>
      <c r="AG637">
        <f>IFERROR(_xlfn.XLOOKUP(B637, HoldSummary!$A:$A, HoldSummary!F:F), 0)</f>
        <v>0</v>
      </c>
      <c r="AH637">
        <f>IFERROR(_xlfn.XLOOKUP(B637, HoldSummary!$A:$A, HoldSummary!G:G), 0)</f>
        <v>0</v>
      </c>
      <c r="AI637">
        <f>IFERROR(_xlfn.XLOOKUP(B637, HoldSummary!$A:$A, HoldSummary!H:H), 0)</f>
        <v>0</v>
      </c>
      <c r="AJ637">
        <f>IFERROR(_xlfn.XLOOKUP(B637, HoldSummary!$A:$A, HoldSummary!I:I), 0)</f>
        <v>0</v>
      </c>
      <c r="AK637">
        <f t="shared" si="95"/>
        <v>0</v>
      </c>
      <c r="AL637">
        <f t="shared" si="96"/>
        <v>19.100185185183364</v>
      </c>
      <c r="AM637">
        <f t="shared" si="97"/>
        <v>19.100185185183364</v>
      </c>
      <c r="AN637" s="12">
        <f t="shared" si="98"/>
        <v>-6.1666666666642413</v>
      </c>
      <c r="AO637">
        <f t="shared" si="99"/>
        <v>1</v>
      </c>
    </row>
    <row r="638" spans="1:41" x14ac:dyDescent="0.35">
      <c r="A638" t="s">
        <v>23</v>
      </c>
      <c r="B638" t="s">
        <v>1437</v>
      </c>
      <c r="C638" t="s">
        <v>76</v>
      </c>
      <c r="D638" t="s">
        <v>44</v>
      </c>
      <c r="E638" t="s">
        <v>45</v>
      </c>
      <c r="F638" t="s">
        <v>28</v>
      </c>
      <c r="H638" t="s">
        <v>1438</v>
      </c>
      <c r="I638" t="s">
        <v>30</v>
      </c>
      <c r="J638" t="s">
        <v>31</v>
      </c>
      <c r="K638" t="s">
        <v>38</v>
      </c>
      <c r="L638" t="s">
        <v>39</v>
      </c>
      <c r="M638" t="s">
        <v>33</v>
      </c>
      <c r="N638" s="2">
        <v>45806.577060185184</v>
      </c>
      <c r="O638" s="2">
        <v>45888.166666666664</v>
      </c>
      <c r="P638" s="2">
        <v>45888.166666666664</v>
      </c>
      <c r="Q638" s="2">
        <v>45852</v>
      </c>
      <c r="R638" s="2">
        <v>45852.618972511576</v>
      </c>
      <c r="S638" t="s">
        <v>84</v>
      </c>
      <c r="T638" s="2">
        <v>45847.166666666664</v>
      </c>
      <c r="U638" s="2">
        <v>45847.166666666664</v>
      </c>
      <c r="V638" s="2">
        <v>45847.166666666664</v>
      </c>
      <c r="W638" s="2">
        <v>45847.166666666664</v>
      </c>
      <c r="X638" s="3">
        <f t="shared" si="90"/>
        <v>0</v>
      </c>
      <c r="Y638">
        <f t="shared" si="91"/>
        <v>0</v>
      </c>
      <c r="Z638">
        <f t="shared" si="92"/>
        <v>0</v>
      </c>
      <c r="AA638">
        <f t="shared" si="93"/>
        <v>45.422939814816345</v>
      </c>
      <c r="AB638">
        <f t="shared" si="94"/>
        <v>45.422939814816345</v>
      </c>
      <c r="AC638">
        <f>IFERROR(_xlfn.XLOOKUP(B638, HoldSummary!$A:$A, HoldSummary!B:B), 0)</f>
        <v>11</v>
      </c>
      <c r="AD638">
        <f>IFERROR(_xlfn.XLOOKUP(B638, HoldSummary!$A:$A, HoldSummary!C:C), 0)</f>
        <v>12</v>
      </c>
      <c r="AE638">
        <f>IFERROR(_xlfn.XLOOKUP(B638, HoldSummary!$A:$A, HoldSummary!D:D), 0)</f>
        <v>0</v>
      </c>
      <c r="AF638">
        <f>IFERROR(_xlfn.XLOOKUP(B638, HoldSummary!$A:$A, HoldSummary!E:E), 0)</f>
        <v>0</v>
      </c>
      <c r="AG638">
        <f>IFERROR(_xlfn.XLOOKUP(B638, HoldSummary!$A:$A, HoldSummary!F:F), 0)</f>
        <v>0</v>
      </c>
      <c r="AH638">
        <f>IFERROR(_xlfn.XLOOKUP(B638, HoldSummary!$A:$A, HoldSummary!G:G), 0)</f>
        <v>0</v>
      </c>
      <c r="AI638">
        <f>IFERROR(_xlfn.XLOOKUP(B638, HoldSummary!$A:$A, HoldSummary!H:H), 0)</f>
        <v>0</v>
      </c>
      <c r="AJ638">
        <f>IFERROR(_xlfn.XLOOKUP(B638, HoldSummary!$A:$A, HoldSummary!I:I), 0)</f>
        <v>0</v>
      </c>
      <c r="AK638">
        <f t="shared" si="95"/>
        <v>23</v>
      </c>
      <c r="AL638">
        <f t="shared" si="96"/>
        <v>22.422939814816345</v>
      </c>
      <c r="AM638">
        <f t="shared" si="97"/>
        <v>22.422939814816345</v>
      </c>
      <c r="AN638" s="12">
        <f t="shared" si="98"/>
        <v>-36.166666666664241</v>
      </c>
      <c r="AO638">
        <f t="shared" si="99"/>
        <v>1</v>
      </c>
    </row>
    <row r="639" spans="1:41" x14ac:dyDescent="0.35">
      <c r="A639" t="s">
        <v>23</v>
      </c>
      <c r="B639" t="s">
        <v>35</v>
      </c>
      <c r="C639" t="s">
        <v>36</v>
      </c>
      <c r="D639" t="s">
        <v>44</v>
      </c>
      <c r="E639" t="s">
        <v>45</v>
      </c>
      <c r="F639" t="s">
        <v>28</v>
      </c>
      <c r="H639" t="s">
        <v>37</v>
      </c>
      <c r="I639" t="s">
        <v>30</v>
      </c>
      <c r="J639" t="s">
        <v>31</v>
      </c>
      <c r="K639" t="s">
        <v>38</v>
      </c>
      <c r="L639" t="s">
        <v>39</v>
      </c>
      <c r="M639" t="s">
        <v>33</v>
      </c>
      <c r="N639" s="2">
        <v>45818.554756944446</v>
      </c>
      <c r="O639" s="2">
        <v>45847.166666666664</v>
      </c>
      <c r="P639" s="2">
        <v>45847.166666666664</v>
      </c>
      <c r="Q639" s="2">
        <v>45860</v>
      </c>
      <c r="R639" s="2">
        <v>45861.717206018518</v>
      </c>
      <c r="T639" s="2"/>
      <c r="U639" s="2"/>
      <c r="V639" s="2"/>
      <c r="W639" s="2"/>
      <c r="X639" s="3" t="str">
        <f t="shared" si="90"/>
        <v/>
      </c>
      <c r="Y639" t="str">
        <f t="shared" si="91"/>
        <v/>
      </c>
      <c r="Z639">
        <f t="shared" si="92"/>
        <v>0</v>
      </c>
      <c r="AA639">
        <f t="shared" si="93"/>
        <v>41.445243055553874</v>
      </c>
      <c r="AB639">
        <f t="shared" si="94"/>
        <v>41.445243055553874</v>
      </c>
      <c r="AC639">
        <f>IFERROR(_xlfn.XLOOKUP(B639, HoldSummary!$A:$A, HoldSummary!B:B), 0)</f>
        <v>0</v>
      </c>
      <c r="AD639">
        <f>IFERROR(_xlfn.XLOOKUP(B639, HoldSummary!$A:$A, HoldSummary!C:C), 0)</f>
        <v>0</v>
      </c>
      <c r="AE639">
        <f>IFERROR(_xlfn.XLOOKUP(B639, HoldSummary!$A:$A, HoldSummary!D:D), 0)</f>
        <v>0</v>
      </c>
      <c r="AF639">
        <f>IFERROR(_xlfn.XLOOKUP(B639, HoldSummary!$A:$A, HoldSummary!E:E), 0)</f>
        <v>0</v>
      </c>
      <c r="AG639">
        <f>IFERROR(_xlfn.XLOOKUP(B639, HoldSummary!$A:$A, HoldSummary!F:F), 0)</f>
        <v>0</v>
      </c>
      <c r="AH639">
        <f>IFERROR(_xlfn.XLOOKUP(B639, HoldSummary!$A:$A, HoldSummary!G:G), 0)</f>
        <v>0</v>
      </c>
      <c r="AI639">
        <f>IFERROR(_xlfn.XLOOKUP(B639, HoldSummary!$A:$A, HoldSummary!H:H), 0)</f>
        <v>0</v>
      </c>
      <c r="AJ639">
        <f>IFERROR(_xlfn.XLOOKUP(B639, HoldSummary!$A:$A, HoldSummary!I:I), 0)</f>
        <v>0</v>
      </c>
      <c r="AK639">
        <f t="shared" si="95"/>
        <v>0</v>
      </c>
      <c r="AL639">
        <f t="shared" si="96"/>
        <v>41.445243055553874</v>
      </c>
      <c r="AM639">
        <f t="shared" si="97"/>
        <v>41.445243055553874</v>
      </c>
      <c r="AN639" s="12">
        <f t="shared" si="98"/>
        <v>12.833333333335759</v>
      </c>
      <c r="AO639">
        <f t="shared" si="99"/>
        <v>0</v>
      </c>
    </row>
    <row r="640" spans="1:41" x14ac:dyDescent="0.35">
      <c r="A640" t="s">
        <v>23</v>
      </c>
      <c r="B640" t="s">
        <v>40</v>
      </c>
      <c r="C640" t="s">
        <v>36</v>
      </c>
      <c r="D640" t="s">
        <v>44</v>
      </c>
      <c r="E640" t="s">
        <v>45</v>
      </c>
      <c r="F640" t="s">
        <v>28</v>
      </c>
      <c r="H640" t="s">
        <v>41</v>
      </c>
      <c r="I640" t="s">
        <v>30</v>
      </c>
      <c r="J640" t="s">
        <v>31</v>
      </c>
      <c r="K640" t="s">
        <v>38</v>
      </c>
      <c r="L640" t="s">
        <v>39</v>
      </c>
      <c r="M640" t="s">
        <v>33</v>
      </c>
      <c r="N640" s="2">
        <v>45818.555023148147</v>
      </c>
      <c r="O640" s="2">
        <v>45847.166666666664</v>
      </c>
      <c r="P640" s="2">
        <v>45847.166666666664</v>
      </c>
      <c r="Q640" s="2">
        <v>45860</v>
      </c>
      <c r="R640" s="2">
        <v>45861.717169872682</v>
      </c>
      <c r="T640" s="2"/>
      <c r="U640" s="2"/>
      <c r="V640" s="2"/>
      <c r="W640" s="2"/>
      <c r="X640" s="3" t="str">
        <f t="shared" si="90"/>
        <v/>
      </c>
      <c r="Y640" t="str">
        <f t="shared" si="91"/>
        <v/>
      </c>
      <c r="Z640">
        <f t="shared" si="92"/>
        <v>0</v>
      </c>
      <c r="AA640">
        <f t="shared" si="93"/>
        <v>41.444976851853426</v>
      </c>
      <c r="AB640">
        <f t="shared" si="94"/>
        <v>41.444976851853426</v>
      </c>
      <c r="AC640">
        <f>IFERROR(_xlfn.XLOOKUP(B640, HoldSummary!$A:$A, HoldSummary!B:B), 0)</f>
        <v>0</v>
      </c>
      <c r="AD640">
        <f>IFERROR(_xlfn.XLOOKUP(B640, HoldSummary!$A:$A, HoldSummary!C:C), 0)</f>
        <v>0</v>
      </c>
      <c r="AE640">
        <f>IFERROR(_xlfn.XLOOKUP(B640, HoldSummary!$A:$A, HoldSummary!D:D), 0)</f>
        <v>0</v>
      </c>
      <c r="AF640">
        <f>IFERROR(_xlfn.XLOOKUP(B640, HoldSummary!$A:$A, HoldSummary!E:E), 0)</f>
        <v>0</v>
      </c>
      <c r="AG640">
        <f>IFERROR(_xlfn.XLOOKUP(B640, HoldSummary!$A:$A, HoldSummary!F:F), 0)</f>
        <v>0</v>
      </c>
      <c r="AH640">
        <f>IFERROR(_xlfn.XLOOKUP(B640, HoldSummary!$A:$A, HoldSummary!G:G), 0)</f>
        <v>0</v>
      </c>
      <c r="AI640">
        <f>IFERROR(_xlfn.XLOOKUP(B640, HoldSummary!$A:$A, HoldSummary!H:H), 0)</f>
        <v>0</v>
      </c>
      <c r="AJ640">
        <f>IFERROR(_xlfn.XLOOKUP(B640, HoldSummary!$A:$A, HoldSummary!I:I), 0)</f>
        <v>0</v>
      </c>
      <c r="AK640">
        <f t="shared" si="95"/>
        <v>0</v>
      </c>
      <c r="AL640">
        <f t="shared" si="96"/>
        <v>41.444976851853426</v>
      </c>
      <c r="AM640">
        <f t="shared" si="97"/>
        <v>41.444976851853426</v>
      </c>
      <c r="AN640" s="12">
        <f t="shared" si="98"/>
        <v>12.833333333335759</v>
      </c>
      <c r="AO640">
        <f t="shared" si="99"/>
        <v>0</v>
      </c>
    </row>
    <row r="641" spans="1:41" x14ac:dyDescent="0.35">
      <c r="A641" t="s">
        <v>23</v>
      </c>
      <c r="B641" t="s">
        <v>2271</v>
      </c>
      <c r="C641" t="s">
        <v>409</v>
      </c>
      <c r="D641" t="s">
        <v>44</v>
      </c>
      <c r="E641" t="s">
        <v>45</v>
      </c>
      <c r="F641" t="s">
        <v>28</v>
      </c>
      <c r="H641" t="s">
        <v>2285</v>
      </c>
      <c r="I641" t="s">
        <v>30</v>
      </c>
      <c r="J641" t="s">
        <v>31</v>
      </c>
      <c r="K641" t="s">
        <v>48</v>
      </c>
      <c r="L641" t="s">
        <v>192</v>
      </c>
      <c r="M641" t="s">
        <v>33</v>
      </c>
      <c r="N641" s="2">
        <v>45819.538773148146</v>
      </c>
      <c r="O641" s="2">
        <v>45891.166666666664</v>
      </c>
      <c r="P641" s="2">
        <v>45891.166666666664</v>
      </c>
      <c r="Q641" s="2">
        <v>45869</v>
      </c>
      <c r="R641" s="2">
        <v>45869.822156331022</v>
      </c>
      <c r="T641" s="2"/>
      <c r="U641" s="2"/>
      <c r="V641" s="2"/>
      <c r="W641" s="2"/>
      <c r="X641" s="3" t="str">
        <f t="shared" si="90"/>
        <v/>
      </c>
      <c r="Y641" t="str">
        <f t="shared" si="91"/>
        <v/>
      </c>
      <c r="Z641">
        <f t="shared" si="92"/>
        <v>0</v>
      </c>
      <c r="AA641">
        <f t="shared" si="93"/>
        <v>49.461226851854008</v>
      </c>
      <c r="AB641">
        <f t="shared" si="94"/>
        <v>49.461226851854008</v>
      </c>
      <c r="AC641">
        <f>IFERROR(_xlfn.XLOOKUP(B641, HoldSummary!$A:$A, HoldSummary!B:B), 0)</f>
        <v>2.9074952777737053</v>
      </c>
      <c r="AD641">
        <f>IFERROR(_xlfn.XLOOKUP(B641, HoldSummary!$A:$A, HoldSummary!C:C), 0)</f>
        <v>0</v>
      </c>
      <c r="AE641">
        <f>IFERROR(_xlfn.XLOOKUP(B641, HoldSummary!$A:$A, HoldSummary!D:D), 0)</f>
        <v>0</v>
      </c>
      <c r="AF641">
        <f>IFERROR(_xlfn.XLOOKUP(B641, HoldSummary!$A:$A, HoldSummary!E:E), 0)</f>
        <v>0</v>
      </c>
      <c r="AG641">
        <f>IFERROR(_xlfn.XLOOKUP(B641, HoldSummary!$A:$A, HoldSummary!F:F), 0)</f>
        <v>0</v>
      </c>
      <c r="AH641">
        <f>IFERROR(_xlfn.XLOOKUP(B641, HoldSummary!$A:$A, HoldSummary!G:G), 0)</f>
        <v>0</v>
      </c>
      <c r="AI641">
        <f>IFERROR(_xlfn.XLOOKUP(B641, HoldSummary!$A:$A, HoldSummary!H:H), 0)</f>
        <v>0</v>
      </c>
      <c r="AJ641">
        <f>IFERROR(_xlfn.XLOOKUP(B641, HoldSummary!$A:$A, HoldSummary!I:I), 0)</f>
        <v>0</v>
      </c>
      <c r="AK641">
        <f t="shared" si="95"/>
        <v>2.9074952777737053</v>
      </c>
      <c r="AL641">
        <f t="shared" si="96"/>
        <v>46.553731574080302</v>
      </c>
      <c r="AM641">
        <f t="shared" si="97"/>
        <v>46.553731574080302</v>
      </c>
      <c r="AN641" s="12">
        <f t="shared" si="98"/>
        <v>-22.166666666664241</v>
      </c>
      <c r="AO641">
        <f t="shared" si="99"/>
        <v>1</v>
      </c>
    </row>
    <row r="642" spans="1:41" x14ac:dyDescent="0.35">
      <c r="A642" t="s">
        <v>23</v>
      </c>
      <c r="B642">
        <v>113644</v>
      </c>
      <c r="C642" t="s">
        <v>76</v>
      </c>
      <c r="D642" t="s">
        <v>44</v>
      </c>
      <c r="E642" t="s">
        <v>55</v>
      </c>
      <c r="F642" t="s">
        <v>28</v>
      </c>
      <c r="H642" t="s">
        <v>2111</v>
      </c>
      <c r="I642" t="s">
        <v>30</v>
      </c>
      <c r="J642" t="s">
        <v>31</v>
      </c>
      <c r="K642" t="s">
        <v>57</v>
      </c>
      <c r="L642" t="s">
        <v>39</v>
      </c>
      <c r="M642" t="s">
        <v>33</v>
      </c>
      <c r="N642" s="2">
        <v>45824.166666666664</v>
      </c>
      <c r="O642" s="2">
        <v>45903.166666666664</v>
      </c>
      <c r="P642" s="2">
        <v>45903.166666666664</v>
      </c>
      <c r="Q642" s="2">
        <v>45869</v>
      </c>
      <c r="R642" s="2">
        <v>45869.839183865741</v>
      </c>
      <c r="S642" t="s">
        <v>1439</v>
      </c>
      <c r="T642" s="2">
        <v>45861.166666666664</v>
      </c>
      <c r="U642" s="2">
        <v>45861.166666666664</v>
      </c>
      <c r="V642" s="2">
        <v>45861.166666666664</v>
      </c>
      <c r="W642" s="2">
        <v>45862.166666666664</v>
      </c>
      <c r="X642" s="3">
        <f t="shared" si="90"/>
        <v>0</v>
      </c>
      <c r="Y642">
        <f t="shared" si="91"/>
        <v>1</v>
      </c>
      <c r="Z642">
        <f t="shared" si="92"/>
        <v>1</v>
      </c>
      <c r="AA642">
        <f t="shared" si="93"/>
        <v>44.833333333335759</v>
      </c>
      <c r="AB642">
        <f t="shared" si="94"/>
        <v>43.833333333335759</v>
      </c>
      <c r="AC642">
        <f>IFERROR(_xlfn.XLOOKUP(B642, HoldSummary!$A:$A, HoldSummary!B:B), 0)</f>
        <v>6</v>
      </c>
      <c r="AD642">
        <f>IFERROR(_xlfn.XLOOKUP(B642, HoldSummary!$A:$A, HoldSummary!C:C), 0)</f>
        <v>0</v>
      </c>
      <c r="AE642">
        <f>IFERROR(_xlfn.XLOOKUP(B642, HoldSummary!$A:$A, HoldSummary!D:D), 0)</f>
        <v>0</v>
      </c>
      <c r="AF642">
        <f>IFERROR(_xlfn.XLOOKUP(B642, HoldSummary!$A:$A, HoldSummary!E:E), 0)</f>
        <v>0</v>
      </c>
      <c r="AG642">
        <f>IFERROR(_xlfn.XLOOKUP(B642, HoldSummary!$A:$A, HoldSummary!F:F), 0)</f>
        <v>0</v>
      </c>
      <c r="AH642">
        <f>IFERROR(_xlfn.XLOOKUP(B642, HoldSummary!$A:$A, HoldSummary!G:G), 0)</f>
        <v>0</v>
      </c>
      <c r="AI642">
        <f>IFERROR(_xlfn.XLOOKUP(B642, HoldSummary!$A:$A, HoldSummary!H:H), 0)</f>
        <v>0</v>
      </c>
      <c r="AJ642">
        <f>IFERROR(_xlfn.XLOOKUP(B642, HoldSummary!$A:$A, HoldSummary!I:I), 0)</f>
        <v>0</v>
      </c>
      <c r="AK642">
        <f t="shared" si="95"/>
        <v>6</v>
      </c>
      <c r="AL642">
        <f t="shared" si="96"/>
        <v>38.833333333335759</v>
      </c>
      <c r="AM642">
        <f t="shared" si="97"/>
        <v>37.833333333335759</v>
      </c>
      <c r="AN642" s="12">
        <f t="shared" si="98"/>
        <v>-34.166666666664241</v>
      </c>
      <c r="AO642">
        <f t="shared" si="99"/>
        <v>1</v>
      </c>
    </row>
    <row r="643" spans="1:41" x14ac:dyDescent="0.35">
      <c r="A643" t="s">
        <v>23</v>
      </c>
      <c r="B643" t="s">
        <v>2272</v>
      </c>
      <c r="C643" t="s">
        <v>76</v>
      </c>
      <c r="D643" t="s">
        <v>44</v>
      </c>
      <c r="E643" t="s">
        <v>45</v>
      </c>
      <c r="F643" t="s">
        <v>28</v>
      </c>
      <c r="H643" t="s">
        <v>2286</v>
      </c>
      <c r="I643" t="s">
        <v>30</v>
      </c>
      <c r="J643" t="s">
        <v>31</v>
      </c>
      <c r="K643" t="s">
        <v>38</v>
      </c>
      <c r="L643" t="s">
        <v>39</v>
      </c>
      <c r="M643" t="s">
        <v>33</v>
      </c>
      <c r="N643" s="2">
        <v>45824.823877314811</v>
      </c>
      <c r="O643" s="2">
        <v>45952.166666666664</v>
      </c>
      <c r="P643" s="2">
        <v>45909.166666666664</v>
      </c>
      <c r="Q643" s="2">
        <v>45870</v>
      </c>
      <c r="R643" s="2">
        <v>45870.740481319444</v>
      </c>
      <c r="S643" t="s">
        <v>1439</v>
      </c>
      <c r="T643" s="2">
        <v>45869.166666666664</v>
      </c>
      <c r="U643" s="2">
        <v>45869.166666666664</v>
      </c>
      <c r="V643" s="2">
        <v>45869.166666666664</v>
      </c>
      <c r="W643" s="2">
        <v>45869.166666666664</v>
      </c>
      <c r="X643" s="3">
        <f t="shared" ref="X643:X706" si="100">IF(OR(ISBLANK(T643), ISBLANK(U643)), "", U643 - T643)</f>
        <v>0</v>
      </c>
      <c r="Y643">
        <f t="shared" ref="Y643:Y706" si="101">IF(OR(ISBLANK(V643), ISBLANK(W643)), "", W643 - V643)</f>
        <v>0</v>
      </c>
      <c r="Z643">
        <f t="shared" ref="Z643:Z706" si="102">N(X643) + N(Y643)</f>
        <v>0</v>
      </c>
      <c r="AA643">
        <f t="shared" ref="AA643:AA706" si="103">IF(OR(ISBLANK(N643), ISBLANK(Q643)), "", Q643 - N643)</f>
        <v>45.176122685188602</v>
      </c>
      <c r="AB643">
        <f t="shared" ref="AB643:AB706" si="104">IF(AA643="", "", AA643 - Z643)</f>
        <v>45.176122685188602</v>
      </c>
      <c r="AC643">
        <f>IFERROR(_xlfn.XLOOKUP(B643, HoldSummary!$A:$A, HoldSummary!B:B), 0)</f>
        <v>4</v>
      </c>
      <c r="AD643">
        <f>IFERROR(_xlfn.XLOOKUP(B643, HoldSummary!$A:$A, HoldSummary!C:C), 0)</f>
        <v>0</v>
      </c>
      <c r="AE643">
        <f>IFERROR(_xlfn.XLOOKUP(B643, HoldSummary!$A:$A, HoldSummary!D:D), 0)</f>
        <v>0</v>
      </c>
      <c r="AF643">
        <f>IFERROR(_xlfn.XLOOKUP(B643, HoldSummary!$A:$A, HoldSummary!E:E), 0)</f>
        <v>0</v>
      </c>
      <c r="AG643">
        <f>IFERROR(_xlfn.XLOOKUP(B643, HoldSummary!$A:$A, HoldSummary!F:F), 0)</f>
        <v>0</v>
      </c>
      <c r="AH643">
        <f>IFERROR(_xlfn.XLOOKUP(B643, HoldSummary!$A:$A, HoldSummary!G:G), 0)</f>
        <v>0</v>
      </c>
      <c r="AI643">
        <f>IFERROR(_xlfn.XLOOKUP(B643, HoldSummary!$A:$A, HoldSummary!H:H), 0)</f>
        <v>0</v>
      </c>
      <c r="AJ643">
        <f>IFERROR(_xlfn.XLOOKUP(B643, HoldSummary!$A:$A, HoldSummary!I:I), 0)</f>
        <v>0</v>
      </c>
      <c r="AK643">
        <f t="shared" ref="AK643:AK706" si="105">SUM(AC643:AJ643)</f>
        <v>4</v>
      </c>
      <c r="AL643">
        <f t="shared" ref="AL643:AL706" si="106">IF(AA643="", "", AA643 - AK643)</f>
        <v>41.176122685188602</v>
      </c>
      <c r="AM643">
        <f t="shared" ref="AM643:AM706" si="107">IF(OR(AK643="", AB643=""), "", AB643 - AK643)</f>
        <v>41.176122685188602</v>
      </c>
      <c r="AN643" s="12">
        <f t="shared" ref="AN643:AN706" si="108">Q643-O643</f>
        <v>-82.166666666664241</v>
      </c>
      <c r="AO643">
        <f t="shared" ref="AO643:AO706" si="109">IF(OR(ISBLANK(O643), ISBLANK(Q643)), 1, IF(AN643&lt;=0,1,0))</f>
        <v>1</v>
      </c>
    </row>
    <row r="644" spans="1:41" x14ac:dyDescent="0.35">
      <c r="A644" t="s">
        <v>23</v>
      </c>
      <c r="B644" t="s">
        <v>1440</v>
      </c>
      <c r="C644" t="s">
        <v>43</v>
      </c>
      <c r="D644" t="s">
        <v>44</v>
      </c>
      <c r="E644" t="s">
        <v>45</v>
      </c>
      <c r="F644" t="s">
        <v>1441</v>
      </c>
      <c r="G644">
        <v>1</v>
      </c>
      <c r="H644" t="s">
        <v>1442</v>
      </c>
      <c r="I644" t="s">
        <v>30</v>
      </c>
      <c r="J644" t="s">
        <v>70</v>
      </c>
      <c r="K644" t="s">
        <v>48</v>
      </c>
      <c r="L644" t="s">
        <v>49</v>
      </c>
      <c r="N644" s="2">
        <v>44977.660358796296</v>
      </c>
      <c r="O644" s="2">
        <v>45226.166666666664</v>
      </c>
      <c r="P644" s="2">
        <v>45345.208333333336</v>
      </c>
      <c r="Q644" s="2">
        <v>45343</v>
      </c>
      <c r="R644" s="2">
        <v>45344.583372071756</v>
      </c>
      <c r="T644" s="2">
        <v>45040.166666666664</v>
      </c>
      <c r="U644" s="2">
        <v>45040.166666666664</v>
      </c>
      <c r="V644" s="2">
        <v>45040.166666666664</v>
      </c>
      <c r="W644" s="2">
        <v>45043.166666666664</v>
      </c>
      <c r="X644" s="3">
        <f t="shared" si="100"/>
        <v>0</v>
      </c>
      <c r="Y644">
        <f t="shared" si="101"/>
        <v>3</v>
      </c>
      <c r="Z644">
        <f t="shared" si="102"/>
        <v>3</v>
      </c>
      <c r="AA644">
        <f t="shared" si="103"/>
        <v>365.33964120370365</v>
      </c>
      <c r="AB644">
        <f t="shared" si="104"/>
        <v>362.33964120370365</v>
      </c>
      <c r="AC644">
        <f>IFERROR(_xlfn.XLOOKUP(B644, HoldSummary!$A:$A, HoldSummary!B:B), 0)</f>
        <v>0</v>
      </c>
      <c r="AD644">
        <f>IFERROR(_xlfn.XLOOKUP(B644, HoldSummary!$A:$A, HoldSummary!C:C), 0)</f>
        <v>0</v>
      </c>
      <c r="AE644">
        <f>IFERROR(_xlfn.XLOOKUP(B644, HoldSummary!$A:$A, HoldSummary!D:D), 0)</f>
        <v>0</v>
      </c>
      <c r="AF644">
        <f>IFERROR(_xlfn.XLOOKUP(B644, HoldSummary!$A:$A, HoldSummary!E:E), 0)</f>
        <v>0</v>
      </c>
      <c r="AG644">
        <f>IFERROR(_xlfn.XLOOKUP(B644, HoldSummary!$A:$A, HoldSummary!F:F), 0)</f>
        <v>0</v>
      </c>
      <c r="AH644">
        <f>IFERROR(_xlfn.XLOOKUP(B644, HoldSummary!$A:$A, HoldSummary!G:G), 0)</f>
        <v>0</v>
      </c>
      <c r="AI644">
        <f>IFERROR(_xlfn.XLOOKUP(B644, HoldSummary!$A:$A, HoldSummary!H:H), 0)</f>
        <v>0</v>
      </c>
      <c r="AJ644">
        <f>IFERROR(_xlfn.XLOOKUP(B644, HoldSummary!$A:$A, HoldSummary!I:I), 0)</f>
        <v>0</v>
      </c>
      <c r="AK644">
        <f t="shared" si="105"/>
        <v>0</v>
      </c>
      <c r="AL644">
        <f t="shared" si="106"/>
        <v>365.33964120370365</v>
      </c>
      <c r="AM644">
        <f t="shared" si="107"/>
        <v>362.33964120370365</v>
      </c>
      <c r="AN644" s="12">
        <f t="shared" si="108"/>
        <v>116.83333333333576</v>
      </c>
      <c r="AO644">
        <f t="shared" si="109"/>
        <v>0</v>
      </c>
    </row>
    <row r="645" spans="1:41" x14ac:dyDescent="0.35">
      <c r="A645" t="s">
        <v>23</v>
      </c>
      <c r="B645" t="s">
        <v>1443</v>
      </c>
      <c r="C645" t="s">
        <v>113</v>
      </c>
      <c r="D645" t="s">
        <v>44</v>
      </c>
      <c r="E645" t="s">
        <v>45</v>
      </c>
      <c r="F645" t="s">
        <v>1441</v>
      </c>
      <c r="G645">
        <v>1</v>
      </c>
      <c r="H645" t="s">
        <v>1444</v>
      </c>
      <c r="I645" t="s">
        <v>30</v>
      </c>
      <c r="J645" t="s">
        <v>31</v>
      </c>
      <c r="K645" t="s">
        <v>38</v>
      </c>
      <c r="L645" t="s">
        <v>39</v>
      </c>
      <c r="N645" s="2">
        <v>45050.769317129627</v>
      </c>
      <c r="O645" s="2">
        <v>45260.208333333336</v>
      </c>
      <c r="P645" s="2">
        <v>45317.208333333336</v>
      </c>
      <c r="Q645" s="2">
        <v>45310</v>
      </c>
      <c r="R645" s="2">
        <v>45310.824572442129</v>
      </c>
      <c r="S645" t="s">
        <v>115</v>
      </c>
      <c r="T645" s="2">
        <v>45188.166666666664</v>
      </c>
      <c r="U645" s="2">
        <v>45194.166666666664</v>
      </c>
      <c r="V645" s="2">
        <v>45194.166666666664</v>
      </c>
      <c r="W645" s="2">
        <v>45195.166666666664</v>
      </c>
      <c r="X645" s="3">
        <f t="shared" si="100"/>
        <v>6</v>
      </c>
      <c r="Y645">
        <f t="shared" si="101"/>
        <v>1</v>
      </c>
      <c r="Z645">
        <f t="shared" si="102"/>
        <v>7</v>
      </c>
      <c r="AA645">
        <f t="shared" si="103"/>
        <v>259.23068287037313</v>
      </c>
      <c r="AB645">
        <f t="shared" si="104"/>
        <v>252.23068287037313</v>
      </c>
      <c r="AC645">
        <f>IFERROR(_xlfn.XLOOKUP(B645, HoldSummary!$A:$A, HoldSummary!B:B), 0)</f>
        <v>0</v>
      </c>
      <c r="AD645">
        <f>IFERROR(_xlfn.XLOOKUP(B645, HoldSummary!$A:$A, HoldSummary!C:C), 0)</f>
        <v>0</v>
      </c>
      <c r="AE645">
        <f>IFERROR(_xlfn.XLOOKUP(B645, HoldSummary!$A:$A, HoldSummary!D:D), 0)</f>
        <v>0</v>
      </c>
      <c r="AF645">
        <f>IFERROR(_xlfn.XLOOKUP(B645, HoldSummary!$A:$A, HoldSummary!E:E), 0)</f>
        <v>0</v>
      </c>
      <c r="AG645">
        <f>IFERROR(_xlfn.XLOOKUP(B645, HoldSummary!$A:$A, HoldSummary!F:F), 0)</f>
        <v>0</v>
      </c>
      <c r="AH645">
        <f>IFERROR(_xlfn.XLOOKUP(B645, HoldSummary!$A:$A, HoldSummary!G:G), 0)</f>
        <v>0</v>
      </c>
      <c r="AI645">
        <f>IFERROR(_xlfn.XLOOKUP(B645, HoldSummary!$A:$A, HoldSummary!H:H), 0)</f>
        <v>0</v>
      </c>
      <c r="AJ645">
        <f>IFERROR(_xlfn.XLOOKUP(B645, HoldSummary!$A:$A, HoldSummary!I:I), 0)</f>
        <v>0</v>
      </c>
      <c r="AK645">
        <f t="shared" si="105"/>
        <v>0</v>
      </c>
      <c r="AL645">
        <f t="shared" si="106"/>
        <v>259.23068287037313</v>
      </c>
      <c r="AM645">
        <f t="shared" si="107"/>
        <v>252.23068287037313</v>
      </c>
      <c r="AN645" s="12">
        <f t="shared" si="108"/>
        <v>49.791666666664241</v>
      </c>
      <c r="AO645">
        <f t="shared" si="109"/>
        <v>0</v>
      </c>
    </row>
    <row r="646" spans="1:41" x14ac:dyDescent="0.35">
      <c r="A646" t="s">
        <v>23</v>
      </c>
      <c r="B646" t="s">
        <v>1445</v>
      </c>
      <c r="C646" t="s">
        <v>76</v>
      </c>
      <c r="D646" t="s">
        <v>44</v>
      </c>
      <c r="E646" t="s">
        <v>45</v>
      </c>
      <c r="F646" t="s">
        <v>1441</v>
      </c>
      <c r="G646">
        <v>1</v>
      </c>
      <c r="H646" t="s">
        <v>1446</v>
      </c>
      <c r="I646" t="s">
        <v>30</v>
      </c>
      <c r="J646" t="s">
        <v>31</v>
      </c>
      <c r="K646" t="s">
        <v>48</v>
      </c>
      <c r="L646" t="s">
        <v>192</v>
      </c>
      <c r="N646" s="2">
        <v>45132.540706018517</v>
      </c>
      <c r="O646" s="2">
        <v>45351.208333333336</v>
      </c>
      <c r="P646" s="2">
        <v>45400.166666666664</v>
      </c>
      <c r="Q646" s="2">
        <v>45385</v>
      </c>
      <c r="R646" s="2">
        <v>45385.860500937502</v>
      </c>
      <c r="S646" t="s">
        <v>1447</v>
      </c>
      <c r="T646" s="2">
        <v>45132.166666666664</v>
      </c>
      <c r="U646" s="2">
        <v>45134.166666666664</v>
      </c>
      <c r="V646" s="2">
        <v>45134.166666666664</v>
      </c>
      <c r="W646" s="2">
        <v>45309.208333333336</v>
      </c>
      <c r="X646" s="3">
        <f t="shared" si="100"/>
        <v>2</v>
      </c>
      <c r="Y646">
        <f t="shared" si="101"/>
        <v>175.04166666667152</v>
      </c>
      <c r="Z646">
        <f t="shared" si="102"/>
        <v>177.04166666667152</v>
      </c>
      <c r="AA646">
        <f t="shared" si="103"/>
        <v>252.45929398148292</v>
      </c>
      <c r="AB646">
        <f t="shared" si="104"/>
        <v>75.417627314811398</v>
      </c>
      <c r="AC646">
        <f>IFERROR(_xlfn.XLOOKUP(B646, HoldSummary!$A:$A, HoldSummary!B:B), 0)</f>
        <v>0</v>
      </c>
      <c r="AD646">
        <f>IFERROR(_xlfn.XLOOKUP(B646, HoldSummary!$A:$A, HoldSummary!C:C), 0)</f>
        <v>0</v>
      </c>
      <c r="AE646">
        <f>IFERROR(_xlfn.XLOOKUP(B646, HoldSummary!$A:$A, HoldSummary!D:D), 0)</f>
        <v>0</v>
      </c>
      <c r="AF646">
        <f>IFERROR(_xlfn.XLOOKUP(B646, HoldSummary!$A:$A, HoldSummary!E:E), 0)</f>
        <v>0</v>
      </c>
      <c r="AG646">
        <f>IFERROR(_xlfn.XLOOKUP(B646, HoldSummary!$A:$A, HoldSummary!F:F), 0)</f>
        <v>0</v>
      </c>
      <c r="AH646">
        <f>IFERROR(_xlfn.XLOOKUP(B646, HoldSummary!$A:$A, HoldSummary!G:G), 0)</f>
        <v>0</v>
      </c>
      <c r="AI646">
        <f>IFERROR(_xlfn.XLOOKUP(B646, HoldSummary!$A:$A, HoldSummary!H:H), 0)</f>
        <v>0</v>
      </c>
      <c r="AJ646">
        <f>IFERROR(_xlfn.XLOOKUP(B646, HoldSummary!$A:$A, HoldSummary!I:I), 0)</f>
        <v>0</v>
      </c>
      <c r="AK646">
        <f t="shared" si="105"/>
        <v>0</v>
      </c>
      <c r="AL646">
        <f t="shared" si="106"/>
        <v>252.45929398148292</v>
      </c>
      <c r="AM646">
        <f t="shared" si="107"/>
        <v>75.417627314811398</v>
      </c>
      <c r="AN646" s="12">
        <f t="shared" si="108"/>
        <v>33.791666666664241</v>
      </c>
      <c r="AO646">
        <f t="shared" si="109"/>
        <v>0</v>
      </c>
    </row>
    <row r="647" spans="1:41" x14ac:dyDescent="0.35">
      <c r="A647" t="s">
        <v>23</v>
      </c>
      <c r="B647" t="s">
        <v>1448</v>
      </c>
      <c r="C647" t="s">
        <v>76</v>
      </c>
      <c r="D647" t="s">
        <v>44</v>
      </c>
      <c r="E647" t="s">
        <v>45</v>
      </c>
      <c r="F647" t="s">
        <v>1441</v>
      </c>
      <c r="G647">
        <v>1</v>
      </c>
      <c r="H647" t="s">
        <v>1449</v>
      </c>
      <c r="I647" t="s">
        <v>30</v>
      </c>
      <c r="J647" t="s">
        <v>31</v>
      </c>
      <c r="K647" t="s">
        <v>32</v>
      </c>
      <c r="L647" t="s">
        <v>32</v>
      </c>
      <c r="N647" s="2">
        <v>45204.740011574075</v>
      </c>
      <c r="O647" s="2">
        <v>45268.208333333336</v>
      </c>
      <c r="P647" s="2">
        <v>45322.208333333336</v>
      </c>
      <c r="Q647" s="2">
        <v>45322</v>
      </c>
      <c r="R647" s="2">
        <v>45322.780037337965</v>
      </c>
      <c r="S647" t="s">
        <v>115</v>
      </c>
      <c r="T647" s="2">
        <v>45219.166666666664</v>
      </c>
      <c r="U647" s="2">
        <v>45273.208333333336</v>
      </c>
      <c r="V647" s="2">
        <v>45273.208333333336</v>
      </c>
      <c r="W647" s="2">
        <v>45295.208333333336</v>
      </c>
      <c r="X647" s="3">
        <f t="shared" si="100"/>
        <v>54.041666666671517</v>
      </c>
      <c r="Y647">
        <f t="shared" si="101"/>
        <v>22</v>
      </c>
      <c r="Z647">
        <f t="shared" si="102"/>
        <v>76.041666666671517</v>
      </c>
      <c r="AA647">
        <f t="shared" si="103"/>
        <v>117.25998842592526</v>
      </c>
      <c r="AB647">
        <f t="shared" si="104"/>
        <v>41.21832175925374</v>
      </c>
      <c r="AC647">
        <f>IFERROR(_xlfn.XLOOKUP(B647, HoldSummary!$A:$A, HoldSummary!B:B), 0)</f>
        <v>0</v>
      </c>
      <c r="AD647">
        <f>IFERROR(_xlfn.XLOOKUP(B647, HoldSummary!$A:$A, HoldSummary!C:C), 0)</f>
        <v>0</v>
      </c>
      <c r="AE647">
        <f>IFERROR(_xlfn.XLOOKUP(B647, HoldSummary!$A:$A, HoldSummary!D:D), 0)</f>
        <v>0</v>
      </c>
      <c r="AF647">
        <f>IFERROR(_xlfn.XLOOKUP(B647, HoldSummary!$A:$A, HoldSummary!E:E), 0)</f>
        <v>0</v>
      </c>
      <c r="AG647">
        <f>IFERROR(_xlfn.XLOOKUP(B647, HoldSummary!$A:$A, HoldSummary!F:F), 0)</f>
        <v>0</v>
      </c>
      <c r="AH647">
        <f>IFERROR(_xlfn.XLOOKUP(B647, HoldSummary!$A:$A, HoldSummary!G:G), 0)</f>
        <v>0</v>
      </c>
      <c r="AI647">
        <f>IFERROR(_xlfn.XLOOKUP(B647, HoldSummary!$A:$A, HoldSummary!H:H), 0)</f>
        <v>0</v>
      </c>
      <c r="AJ647">
        <f>IFERROR(_xlfn.XLOOKUP(B647, HoldSummary!$A:$A, HoldSummary!I:I), 0)</f>
        <v>0</v>
      </c>
      <c r="AK647">
        <f t="shared" si="105"/>
        <v>0</v>
      </c>
      <c r="AL647">
        <f t="shared" si="106"/>
        <v>117.25998842592526</v>
      </c>
      <c r="AM647">
        <f t="shared" si="107"/>
        <v>41.21832175925374</v>
      </c>
      <c r="AN647" s="12">
        <f t="shared" si="108"/>
        <v>53.791666666664241</v>
      </c>
      <c r="AO647">
        <f t="shared" si="109"/>
        <v>0</v>
      </c>
    </row>
    <row r="648" spans="1:41" x14ac:dyDescent="0.35">
      <c r="A648" t="s">
        <v>23</v>
      </c>
      <c r="B648" t="s">
        <v>1450</v>
      </c>
      <c r="C648" t="s">
        <v>409</v>
      </c>
      <c r="D648" t="s">
        <v>44</v>
      </c>
      <c r="E648" t="s">
        <v>45</v>
      </c>
      <c r="F648" t="s">
        <v>1441</v>
      </c>
      <c r="G648">
        <v>1</v>
      </c>
      <c r="H648" t="s">
        <v>1451</v>
      </c>
      <c r="I648" t="s">
        <v>30</v>
      </c>
      <c r="J648" t="s">
        <v>31</v>
      </c>
      <c r="K648" t="s">
        <v>32</v>
      </c>
      <c r="L648" t="s">
        <v>32</v>
      </c>
      <c r="N648" s="2">
        <v>45274.394270833334</v>
      </c>
      <c r="O648" s="2">
        <v>45422.166666666664</v>
      </c>
      <c r="P648" s="2">
        <v>45504.166666666664</v>
      </c>
      <c r="Q648" s="2">
        <v>45502</v>
      </c>
      <c r="R648" s="2">
        <v>45504.761479756948</v>
      </c>
      <c r="S648" t="s">
        <v>215</v>
      </c>
      <c r="T648" s="2">
        <v>45387.166666666664</v>
      </c>
      <c r="U648" s="2">
        <v>45411.166666666664</v>
      </c>
      <c r="V648" s="2">
        <v>45411.166666666664</v>
      </c>
      <c r="W648" s="2">
        <v>45412.166666666664</v>
      </c>
      <c r="X648" s="3">
        <f t="shared" si="100"/>
        <v>24</v>
      </c>
      <c r="Y648">
        <f t="shared" si="101"/>
        <v>1</v>
      </c>
      <c r="Z648">
        <f t="shared" si="102"/>
        <v>25</v>
      </c>
      <c r="AA648">
        <f t="shared" si="103"/>
        <v>227.6057291666657</v>
      </c>
      <c r="AB648">
        <f t="shared" si="104"/>
        <v>202.6057291666657</v>
      </c>
      <c r="AC648">
        <f>IFERROR(_xlfn.XLOOKUP(B648, HoldSummary!$A:$A, HoldSummary!B:B), 0)</f>
        <v>0</v>
      </c>
      <c r="AD648">
        <f>IFERROR(_xlfn.XLOOKUP(B648, HoldSummary!$A:$A, HoldSummary!C:C), 0)</f>
        <v>0</v>
      </c>
      <c r="AE648">
        <f>IFERROR(_xlfn.XLOOKUP(B648, HoldSummary!$A:$A, HoldSummary!D:D), 0)</f>
        <v>0</v>
      </c>
      <c r="AF648">
        <f>IFERROR(_xlfn.XLOOKUP(B648, HoldSummary!$A:$A, HoldSummary!E:E), 0)</f>
        <v>0</v>
      </c>
      <c r="AG648">
        <f>IFERROR(_xlfn.XLOOKUP(B648, HoldSummary!$A:$A, HoldSummary!F:F), 0)</f>
        <v>0</v>
      </c>
      <c r="AH648">
        <f>IFERROR(_xlfn.XLOOKUP(B648, HoldSummary!$A:$A, HoldSummary!G:G), 0)</f>
        <v>0</v>
      </c>
      <c r="AI648">
        <f>IFERROR(_xlfn.XLOOKUP(B648, HoldSummary!$A:$A, HoldSummary!H:H), 0)</f>
        <v>0</v>
      </c>
      <c r="AJ648">
        <f>IFERROR(_xlfn.XLOOKUP(B648, HoldSummary!$A:$A, HoldSummary!I:I), 0)</f>
        <v>0</v>
      </c>
      <c r="AK648">
        <f t="shared" si="105"/>
        <v>0</v>
      </c>
      <c r="AL648">
        <f t="shared" si="106"/>
        <v>227.6057291666657</v>
      </c>
      <c r="AM648">
        <f t="shared" si="107"/>
        <v>202.6057291666657</v>
      </c>
      <c r="AN648" s="12">
        <f t="shared" si="108"/>
        <v>79.833333333335759</v>
      </c>
      <c r="AO648">
        <f t="shared" si="109"/>
        <v>0</v>
      </c>
    </row>
    <row r="649" spans="1:41" x14ac:dyDescent="0.35">
      <c r="A649" t="s">
        <v>23</v>
      </c>
      <c r="B649">
        <v>103192</v>
      </c>
      <c r="C649" t="s">
        <v>43</v>
      </c>
      <c r="D649" t="s">
        <v>44</v>
      </c>
      <c r="E649" t="s">
        <v>55</v>
      </c>
      <c r="F649" t="s">
        <v>1441</v>
      </c>
      <c r="G649">
        <v>1</v>
      </c>
      <c r="H649" t="s">
        <v>1452</v>
      </c>
      <c r="I649" t="s">
        <v>30</v>
      </c>
      <c r="J649" t="s">
        <v>31</v>
      </c>
      <c r="K649" t="s">
        <v>57</v>
      </c>
      <c r="L649" t="s">
        <v>39</v>
      </c>
      <c r="N649" s="2">
        <v>45294.208333333336</v>
      </c>
      <c r="O649" s="2">
        <v>45324.208333333336</v>
      </c>
      <c r="P649" s="2">
        <v>45341.208333333336</v>
      </c>
      <c r="Q649" s="2">
        <v>45337</v>
      </c>
      <c r="R649" s="2">
        <v>45342.737190798609</v>
      </c>
      <c r="S649" t="s">
        <v>1453</v>
      </c>
      <c r="T649" s="2">
        <v>45309.208333333336</v>
      </c>
      <c r="U649" s="2">
        <v>45317.208333333336</v>
      </c>
      <c r="V649" s="2">
        <v>45317.208333333336</v>
      </c>
      <c r="W649" s="2">
        <v>45334.208333333336</v>
      </c>
      <c r="X649" s="3">
        <f t="shared" si="100"/>
        <v>8</v>
      </c>
      <c r="Y649">
        <f t="shared" si="101"/>
        <v>17</v>
      </c>
      <c r="Z649">
        <f t="shared" si="102"/>
        <v>25</v>
      </c>
      <c r="AA649">
        <f t="shared" si="103"/>
        <v>42.791666666664241</v>
      </c>
      <c r="AB649">
        <f t="shared" si="104"/>
        <v>17.791666666664241</v>
      </c>
      <c r="AC649">
        <f>IFERROR(_xlfn.XLOOKUP(B649, HoldSummary!$A:$A, HoldSummary!B:B), 0)</f>
        <v>0</v>
      </c>
      <c r="AD649">
        <f>IFERROR(_xlfn.XLOOKUP(B649, HoldSummary!$A:$A, HoldSummary!C:C), 0)</f>
        <v>0</v>
      </c>
      <c r="AE649">
        <f>IFERROR(_xlfn.XLOOKUP(B649, HoldSummary!$A:$A, HoldSummary!D:D), 0)</f>
        <v>0</v>
      </c>
      <c r="AF649">
        <f>IFERROR(_xlfn.XLOOKUP(B649, HoldSummary!$A:$A, HoldSummary!E:E), 0)</f>
        <v>0</v>
      </c>
      <c r="AG649">
        <f>IFERROR(_xlfn.XLOOKUP(B649, HoldSummary!$A:$A, HoldSummary!F:F), 0)</f>
        <v>0</v>
      </c>
      <c r="AH649">
        <f>IFERROR(_xlfn.XLOOKUP(B649, HoldSummary!$A:$A, HoldSummary!G:G), 0)</f>
        <v>0</v>
      </c>
      <c r="AI649">
        <f>IFERROR(_xlfn.XLOOKUP(B649, HoldSummary!$A:$A, HoldSummary!H:H), 0)</f>
        <v>0</v>
      </c>
      <c r="AJ649">
        <f>IFERROR(_xlfn.XLOOKUP(B649, HoldSummary!$A:$A, HoldSummary!I:I), 0)</f>
        <v>0</v>
      </c>
      <c r="AK649">
        <f t="shared" si="105"/>
        <v>0</v>
      </c>
      <c r="AL649">
        <f t="shared" si="106"/>
        <v>42.791666666664241</v>
      </c>
      <c r="AM649">
        <f t="shared" si="107"/>
        <v>17.791666666664241</v>
      </c>
      <c r="AN649" s="12">
        <f t="shared" si="108"/>
        <v>12.791666666664241</v>
      </c>
      <c r="AO649">
        <f t="shared" si="109"/>
        <v>0</v>
      </c>
    </row>
    <row r="650" spans="1:41" x14ac:dyDescent="0.35">
      <c r="A650" t="s">
        <v>23</v>
      </c>
      <c r="B650" t="s">
        <v>1454</v>
      </c>
      <c r="C650" t="s">
        <v>43</v>
      </c>
      <c r="D650" t="s">
        <v>44</v>
      </c>
      <c r="E650" t="s">
        <v>45</v>
      </c>
      <c r="F650" t="s">
        <v>1441</v>
      </c>
      <c r="G650">
        <v>1</v>
      </c>
      <c r="H650" t="s">
        <v>1455</v>
      </c>
      <c r="I650" t="s">
        <v>30</v>
      </c>
      <c r="J650" t="s">
        <v>70</v>
      </c>
      <c r="K650" t="s">
        <v>174</v>
      </c>
      <c r="L650" t="s">
        <v>174</v>
      </c>
      <c r="N650" s="2">
        <v>45308.852372685185</v>
      </c>
      <c r="O650" s="2">
        <v>45344.208333333336</v>
      </c>
      <c r="P650" s="2">
        <v>45421.166666666664</v>
      </c>
      <c r="Q650" s="2">
        <v>45420</v>
      </c>
      <c r="R650" s="2">
        <v>45425.49164763889</v>
      </c>
      <c r="S650" t="s">
        <v>226</v>
      </c>
      <c r="T650" s="2">
        <v>45336.208333333336</v>
      </c>
      <c r="U650" s="2">
        <v>45349.208333333336</v>
      </c>
      <c r="V650" s="2">
        <v>45349.208333333336</v>
      </c>
      <c r="W650" s="2">
        <v>45350.208333333336</v>
      </c>
      <c r="X650" s="3">
        <f t="shared" si="100"/>
        <v>13</v>
      </c>
      <c r="Y650">
        <f t="shared" si="101"/>
        <v>1</v>
      </c>
      <c r="Z650">
        <f t="shared" si="102"/>
        <v>14</v>
      </c>
      <c r="AA650">
        <f t="shared" si="103"/>
        <v>111.1476273148146</v>
      </c>
      <c r="AB650">
        <f t="shared" si="104"/>
        <v>97.147627314814599</v>
      </c>
      <c r="AC650">
        <f>IFERROR(_xlfn.XLOOKUP(B650, HoldSummary!$A:$A, HoldSummary!B:B), 0)</f>
        <v>0</v>
      </c>
      <c r="AD650">
        <f>IFERROR(_xlfn.XLOOKUP(B650, HoldSummary!$A:$A, HoldSummary!C:C), 0)</f>
        <v>0</v>
      </c>
      <c r="AE650">
        <f>IFERROR(_xlfn.XLOOKUP(B650, HoldSummary!$A:$A, HoldSummary!D:D), 0)</f>
        <v>0</v>
      </c>
      <c r="AF650">
        <f>IFERROR(_xlfn.XLOOKUP(B650, HoldSummary!$A:$A, HoldSummary!E:E), 0)</f>
        <v>0</v>
      </c>
      <c r="AG650">
        <f>IFERROR(_xlfn.XLOOKUP(B650, HoldSummary!$A:$A, HoldSummary!F:F), 0)</f>
        <v>0</v>
      </c>
      <c r="AH650">
        <f>IFERROR(_xlfn.XLOOKUP(B650, HoldSummary!$A:$A, HoldSummary!G:G), 0)</f>
        <v>0</v>
      </c>
      <c r="AI650">
        <f>IFERROR(_xlfn.XLOOKUP(B650, HoldSummary!$A:$A, HoldSummary!H:H), 0)</f>
        <v>0</v>
      </c>
      <c r="AJ650">
        <f>IFERROR(_xlfn.XLOOKUP(B650, HoldSummary!$A:$A, HoldSummary!I:I), 0)</f>
        <v>0</v>
      </c>
      <c r="AK650">
        <f t="shared" si="105"/>
        <v>0</v>
      </c>
      <c r="AL650">
        <f t="shared" si="106"/>
        <v>111.1476273148146</v>
      </c>
      <c r="AM650">
        <f t="shared" si="107"/>
        <v>97.147627314814599</v>
      </c>
      <c r="AN650" s="12">
        <f t="shared" si="108"/>
        <v>75.791666666664241</v>
      </c>
      <c r="AO650">
        <f t="shared" si="109"/>
        <v>0</v>
      </c>
    </row>
    <row r="651" spans="1:41" x14ac:dyDescent="0.35">
      <c r="A651" t="s">
        <v>23</v>
      </c>
      <c r="B651" t="s">
        <v>1456</v>
      </c>
      <c r="C651" t="s">
        <v>43</v>
      </c>
      <c r="D651" t="s">
        <v>44</v>
      </c>
      <c r="E651" t="s">
        <v>45</v>
      </c>
      <c r="F651" t="s">
        <v>1441</v>
      </c>
      <c r="G651">
        <v>1</v>
      </c>
      <c r="H651" t="s">
        <v>1457</v>
      </c>
      <c r="I651" t="s">
        <v>30</v>
      </c>
      <c r="J651" t="s">
        <v>31</v>
      </c>
      <c r="K651" t="s">
        <v>48</v>
      </c>
      <c r="L651" t="s">
        <v>192</v>
      </c>
      <c r="N651" s="2">
        <v>45316.814143518517</v>
      </c>
      <c r="O651" s="2">
        <v>45345.208333333336</v>
      </c>
      <c r="P651" s="2">
        <v>45412.166666666664</v>
      </c>
      <c r="Q651" s="2">
        <v>45412</v>
      </c>
      <c r="R651" s="2">
        <v>45412.715593483794</v>
      </c>
      <c r="S651" t="s">
        <v>1458</v>
      </c>
      <c r="T651" s="2">
        <v>45328.208333333336</v>
      </c>
      <c r="U651" s="2">
        <v>45356.208333333336</v>
      </c>
      <c r="V651" s="2">
        <v>45356.208333333336</v>
      </c>
      <c r="W651" s="2">
        <v>45373.166666666664</v>
      </c>
      <c r="X651" s="3">
        <f t="shared" si="100"/>
        <v>28</v>
      </c>
      <c r="Y651">
        <f t="shared" si="101"/>
        <v>16.958333333328483</v>
      </c>
      <c r="Z651">
        <f t="shared" si="102"/>
        <v>44.958333333328483</v>
      </c>
      <c r="AA651">
        <f t="shared" si="103"/>
        <v>95.185856481482915</v>
      </c>
      <c r="AB651">
        <f t="shared" si="104"/>
        <v>50.227523148154432</v>
      </c>
      <c r="AC651">
        <f>IFERROR(_xlfn.XLOOKUP(B651, HoldSummary!$A:$A, HoldSummary!B:B), 0)</f>
        <v>0</v>
      </c>
      <c r="AD651">
        <f>IFERROR(_xlfn.XLOOKUP(B651, HoldSummary!$A:$A, HoldSummary!C:C), 0)</f>
        <v>0</v>
      </c>
      <c r="AE651">
        <f>IFERROR(_xlfn.XLOOKUP(B651, HoldSummary!$A:$A, HoldSummary!D:D), 0)</f>
        <v>0</v>
      </c>
      <c r="AF651">
        <f>IFERROR(_xlfn.XLOOKUP(B651, HoldSummary!$A:$A, HoldSummary!E:E), 0)</f>
        <v>0</v>
      </c>
      <c r="AG651">
        <f>IFERROR(_xlfn.XLOOKUP(B651, HoldSummary!$A:$A, HoldSummary!F:F), 0)</f>
        <v>0</v>
      </c>
      <c r="AH651">
        <f>IFERROR(_xlfn.XLOOKUP(B651, HoldSummary!$A:$A, HoldSummary!G:G), 0)</f>
        <v>12.2229516319494</v>
      </c>
      <c r="AI651">
        <f>IFERROR(_xlfn.XLOOKUP(B651, HoldSummary!$A:$A, HoldSummary!H:H), 0)</f>
        <v>0</v>
      </c>
      <c r="AJ651">
        <f>IFERROR(_xlfn.XLOOKUP(B651, HoldSummary!$A:$A, HoldSummary!I:I), 0)</f>
        <v>0</v>
      </c>
      <c r="AK651">
        <f t="shared" si="105"/>
        <v>12.2229516319494</v>
      </c>
      <c r="AL651">
        <f t="shared" si="106"/>
        <v>82.962904849533516</v>
      </c>
      <c r="AM651">
        <f t="shared" si="107"/>
        <v>38.004571516205033</v>
      </c>
      <c r="AN651" s="12">
        <f t="shared" si="108"/>
        <v>66.791666666664241</v>
      </c>
      <c r="AO651">
        <f t="shared" si="109"/>
        <v>0</v>
      </c>
    </row>
    <row r="652" spans="1:41" x14ac:dyDescent="0.35">
      <c r="A652" t="s">
        <v>23</v>
      </c>
      <c r="B652" t="s">
        <v>1459</v>
      </c>
      <c r="C652" t="s">
        <v>113</v>
      </c>
      <c r="D652" t="s">
        <v>44</v>
      </c>
      <c r="E652" t="s">
        <v>45</v>
      </c>
      <c r="F652" t="s">
        <v>1441</v>
      </c>
      <c r="G652">
        <v>1</v>
      </c>
      <c r="H652" t="s">
        <v>1460</v>
      </c>
      <c r="I652" t="s">
        <v>30</v>
      </c>
      <c r="J652" t="s">
        <v>31</v>
      </c>
      <c r="K652" t="s">
        <v>48</v>
      </c>
      <c r="L652" t="s">
        <v>192</v>
      </c>
      <c r="N652" s="2">
        <v>45365.796539351853</v>
      </c>
      <c r="O652" s="2">
        <v>45471.166666666664</v>
      </c>
      <c r="P652" s="2">
        <v>45534.166666666664</v>
      </c>
      <c r="Q652" s="2">
        <v>45534</v>
      </c>
      <c r="R652" s="2">
        <v>45534.760006886572</v>
      </c>
      <c r="S652" t="s">
        <v>1461</v>
      </c>
      <c r="T652" s="2">
        <v>45453.166666666664</v>
      </c>
      <c r="U652" s="2">
        <v>45457.166666666664</v>
      </c>
      <c r="V652" s="2">
        <v>45457.166666666664</v>
      </c>
      <c r="W652" s="2">
        <v>45512.166666666664</v>
      </c>
      <c r="X652" s="3">
        <f t="shared" si="100"/>
        <v>4</v>
      </c>
      <c r="Y652">
        <f t="shared" si="101"/>
        <v>55</v>
      </c>
      <c r="Z652">
        <f t="shared" si="102"/>
        <v>59</v>
      </c>
      <c r="AA652">
        <f t="shared" si="103"/>
        <v>168.20346064814657</v>
      </c>
      <c r="AB652">
        <f t="shared" si="104"/>
        <v>109.20346064814657</v>
      </c>
      <c r="AC652">
        <f>IFERROR(_xlfn.XLOOKUP(B652, HoldSummary!$A:$A, HoldSummary!B:B), 0)</f>
        <v>0</v>
      </c>
      <c r="AD652">
        <f>IFERROR(_xlfn.XLOOKUP(B652, HoldSummary!$A:$A, HoldSummary!C:C), 0)</f>
        <v>0</v>
      </c>
      <c r="AE652">
        <f>IFERROR(_xlfn.XLOOKUP(B652, HoldSummary!$A:$A, HoldSummary!D:D), 0)</f>
        <v>0</v>
      </c>
      <c r="AF652">
        <f>IFERROR(_xlfn.XLOOKUP(B652, HoldSummary!$A:$A, HoldSummary!E:E), 0)</f>
        <v>0</v>
      </c>
      <c r="AG652">
        <f>IFERROR(_xlfn.XLOOKUP(B652, HoldSummary!$A:$A, HoldSummary!F:F), 0)</f>
        <v>32.878345972218085</v>
      </c>
      <c r="AH652">
        <f>IFERROR(_xlfn.XLOOKUP(B652, HoldSummary!$A:$A, HoldSummary!G:G), 0)</f>
        <v>0</v>
      </c>
      <c r="AI652">
        <f>IFERROR(_xlfn.XLOOKUP(B652, HoldSummary!$A:$A, HoldSummary!H:H), 0)</f>
        <v>0</v>
      </c>
      <c r="AJ652">
        <f>IFERROR(_xlfn.XLOOKUP(B652, HoldSummary!$A:$A, HoldSummary!I:I), 0)</f>
        <v>0</v>
      </c>
      <c r="AK652">
        <f t="shared" si="105"/>
        <v>32.878345972218085</v>
      </c>
      <c r="AL652">
        <f t="shared" si="106"/>
        <v>135.32511467592849</v>
      </c>
      <c r="AM652">
        <f t="shared" si="107"/>
        <v>76.325114675928489</v>
      </c>
      <c r="AN652" s="12">
        <f t="shared" si="108"/>
        <v>62.833333333335759</v>
      </c>
      <c r="AO652">
        <f t="shared" si="109"/>
        <v>0</v>
      </c>
    </row>
    <row r="653" spans="1:41" x14ac:dyDescent="0.35">
      <c r="A653" t="s">
        <v>23</v>
      </c>
      <c r="B653" t="s">
        <v>1462</v>
      </c>
      <c r="C653" t="s">
        <v>43</v>
      </c>
      <c r="D653" t="s">
        <v>44</v>
      </c>
      <c r="E653" t="s">
        <v>45</v>
      </c>
      <c r="F653" t="s">
        <v>1441</v>
      </c>
      <c r="G653">
        <v>1</v>
      </c>
      <c r="H653" t="s">
        <v>1463</v>
      </c>
      <c r="I653" t="s">
        <v>30</v>
      </c>
      <c r="J653" t="s">
        <v>300</v>
      </c>
      <c r="K653" t="s">
        <v>38</v>
      </c>
      <c r="L653" t="s">
        <v>39</v>
      </c>
      <c r="M653" t="s">
        <v>33</v>
      </c>
      <c r="N653" s="2">
        <v>45195.627141203702</v>
      </c>
      <c r="O653" s="2">
        <v>45282.208333333336</v>
      </c>
      <c r="P653" s="2">
        <v>45469.166666666664</v>
      </c>
      <c r="Q653" s="2">
        <v>45463</v>
      </c>
      <c r="R653" s="2">
        <v>45463.731110879628</v>
      </c>
      <c r="T653" s="2"/>
      <c r="U653" s="2"/>
      <c r="V653" s="2"/>
      <c r="W653" s="2"/>
      <c r="X653" s="3" t="str">
        <f t="shared" si="100"/>
        <v/>
      </c>
      <c r="Y653" t="str">
        <f t="shared" si="101"/>
        <v/>
      </c>
      <c r="Z653">
        <f t="shared" si="102"/>
        <v>0</v>
      </c>
      <c r="AA653">
        <f t="shared" si="103"/>
        <v>267.37285879629781</v>
      </c>
      <c r="AB653">
        <f t="shared" si="104"/>
        <v>267.37285879629781</v>
      </c>
      <c r="AC653">
        <f>IFERROR(_xlfn.XLOOKUP(B653, HoldSummary!$A:$A, HoldSummary!B:B), 0)</f>
        <v>0</v>
      </c>
      <c r="AD653">
        <f>IFERROR(_xlfn.XLOOKUP(B653, HoldSummary!$A:$A, HoldSummary!C:C), 0)</f>
        <v>0</v>
      </c>
      <c r="AE653">
        <f>IFERROR(_xlfn.XLOOKUP(B653, HoldSummary!$A:$A, HoldSummary!D:D), 0)</f>
        <v>0</v>
      </c>
      <c r="AF653">
        <f>IFERROR(_xlfn.XLOOKUP(B653, HoldSummary!$A:$A, HoldSummary!E:E), 0)</f>
        <v>0</v>
      </c>
      <c r="AG653">
        <f>IFERROR(_xlfn.XLOOKUP(B653, HoldSummary!$A:$A, HoldSummary!F:F), 0)</f>
        <v>0</v>
      </c>
      <c r="AH653">
        <f>IFERROR(_xlfn.XLOOKUP(B653, HoldSummary!$A:$A, HoldSummary!G:G), 0)</f>
        <v>0</v>
      </c>
      <c r="AI653">
        <f>IFERROR(_xlfn.XLOOKUP(B653, HoldSummary!$A:$A, HoldSummary!H:H), 0)</f>
        <v>0</v>
      </c>
      <c r="AJ653">
        <f>IFERROR(_xlfn.XLOOKUP(B653, HoldSummary!$A:$A, HoldSummary!I:I), 0)</f>
        <v>0</v>
      </c>
      <c r="AK653">
        <f t="shared" si="105"/>
        <v>0</v>
      </c>
      <c r="AL653">
        <f t="shared" si="106"/>
        <v>267.37285879629781</v>
      </c>
      <c r="AM653">
        <f t="shared" si="107"/>
        <v>267.37285879629781</v>
      </c>
      <c r="AN653" s="12">
        <f t="shared" si="108"/>
        <v>180.79166666666424</v>
      </c>
      <c r="AO653">
        <f t="shared" si="109"/>
        <v>0</v>
      </c>
    </row>
    <row r="654" spans="1:41" x14ac:dyDescent="0.35">
      <c r="A654" t="s">
        <v>23</v>
      </c>
      <c r="B654">
        <v>105786</v>
      </c>
      <c r="C654" t="s">
        <v>76</v>
      </c>
      <c r="D654" t="s">
        <v>44</v>
      </c>
      <c r="E654" t="s">
        <v>55</v>
      </c>
      <c r="F654" t="s">
        <v>1441</v>
      </c>
      <c r="G654">
        <v>1</v>
      </c>
      <c r="H654" t="s">
        <v>1464</v>
      </c>
      <c r="I654" t="s">
        <v>30</v>
      </c>
      <c r="J654" t="s">
        <v>31</v>
      </c>
      <c r="K654" t="s">
        <v>57</v>
      </c>
      <c r="L654" t="s">
        <v>39</v>
      </c>
      <c r="M654" t="s">
        <v>33</v>
      </c>
      <c r="N654" s="2">
        <v>45420.166666666664</v>
      </c>
      <c r="O654" s="2">
        <v>45512.166666666664</v>
      </c>
      <c r="P654" s="2">
        <v>45512.166666666664</v>
      </c>
      <c r="Q654" s="2">
        <v>45502</v>
      </c>
      <c r="R654" s="2">
        <v>45502.912694062499</v>
      </c>
      <c r="T654" s="2">
        <v>45443.166666666664</v>
      </c>
      <c r="U654" s="2">
        <v>45462.166666666664</v>
      </c>
      <c r="V654" s="2">
        <v>45462.166666666664</v>
      </c>
      <c r="W654" s="2">
        <v>45462.166666666664</v>
      </c>
      <c r="X654" s="3">
        <f t="shared" si="100"/>
        <v>19</v>
      </c>
      <c r="Y654">
        <f t="shared" si="101"/>
        <v>0</v>
      </c>
      <c r="Z654">
        <f t="shared" si="102"/>
        <v>19</v>
      </c>
      <c r="AA654">
        <f t="shared" si="103"/>
        <v>81.833333333335759</v>
      </c>
      <c r="AB654">
        <f t="shared" si="104"/>
        <v>62.833333333335759</v>
      </c>
      <c r="AC654">
        <f>IFERROR(_xlfn.XLOOKUP(B654, HoldSummary!$A:$A, HoldSummary!B:B), 0)</f>
        <v>0</v>
      </c>
      <c r="AD654">
        <f>IFERROR(_xlfn.XLOOKUP(B654, HoldSummary!$A:$A, HoldSummary!C:C), 0)</f>
        <v>0</v>
      </c>
      <c r="AE654">
        <f>IFERROR(_xlfn.XLOOKUP(B654, HoldSummary!$A:$A, HoldSummary!D:D), 0)</f>
        <v>0</v>
      </c>
      <c r="AF654">
        <f>IFERROR(_xlfn.XLOOKUP(B654, HoldSummary!$A:$A, HoldSummary!E:E), 0)</f>
        <v>0</v>
      </c>
      <c r="AG654">
        <f>IFERROR(_xlfn.XLOOKUP(B654, HoldSummary!$A:$A, HoldSummary!F:F), 0)</f>
        <v>0</v>
      </c>
      <c r="AH654">
        <f>IFERROR(_xlfn.XLOOKUP(B654, HoldSummary!$A:$A, HoldSummary!G:G), 0)</f>
        <v>0</v>
      </c>
      <c r="AI654">
        <f>IFERROR(_xlfn.XLOOKUP(B654, HoldSummary!$A:$A, HoldSummary!H:H), 0)</f>
        <v>0</v>
      </c>
      <c r="AJ654">
        <f>IFERROR(_xlfn.XLOOKUP(B654, HoldSummary!$A:$A, HoldSummary!I:I), 0)</f>
        <v>0</v>
      </c>
      <c r="AK654">
        <f t="shared" si="105"/>
        <v>0</v>
      </c>
      <c r="AL654">
        <f t="shared" si="106"/>
        <v>81.833333333335759</v>
      </c>
      <c r="AM654">
        <f t="shared" si="107"/>
        <v>62.833333333335759</v>
      </c>
      <c r="AN654" s="12">
        <f t="shared" si="108"/>
        <v>-10.166666666664241</v>
      </c>
      <c r="AO654">
        <f t="shared" si="109"/>
        <v>1</v>
      </c>
    </row>
    <row r="655" spans="1:41" x14ac:dyDescent="0.35">
      <c r="A655" t="s">
        <v>23</v>
      </c>
      <c r="B655" t="s">
        <v>1465</v>
      </c>
      <c r="C655" t="s">
        <v>43</v>
      </c>
      <c r="D655" t="s">
        <v>44</v>
      </c>
      <c r="E655" t="s">
        <v>45</v>
      </c>
      <c r="F655" t="s">
        <v>1441</v>
      </c>
      <c r="G655">
        <v>1</v>
      </c>
      <c r="H655" t="s">
        <v>1466</v>
      </c>
      <c r="I655" t="s">
        <v>30</v>
      </c>
      <c r="J655" t="s">
        <v>300</v>
      </c>
      <c r="K655" t="s">
        <v>38</v>
      </c>
      <c r="L655" t="s">
        <v>39</v>
      </c>
      <c r="M655" t="s">
        <v>81</v>
      </c>
      <c r="N655" s="2">
        <v>45456.507384259261</v>
      </c>
      <c r="O655" s="2">
        <v>45590.166666666664</v>
      </c>
      <c r="P655" s="2">
        <v>45540.166666666664</v>
      </c>
      <c r="Q655" s="2">
        <v>45540</v>
      </c>
      <c r="R655" s="2">
        <v>45540.799332708331</v>
      </c>
      <c r="S655" t="s">
        <v>231</v>
      </c>
      <c r="T655" s="2"/>
      <c r="U655" s="2"/>
      <c r="V655" s="2"/>
      <c r="W655" s="2"/>
      <c r="X655" s="3" t="str">
        <f t="shared" si="100"/>
        <v/>
      </c>
      <c r="Y655" t="str">
        <f t="shared" si="101"/>
        <v/>
      </c>
      <c r="Z655">
        <f t="shared" si="102"/>
        <v>0</v>
      </c>
      <c r="AA655">
        <f t="shared" si="103"/>
        <v>83.492615740738984</v>
      </c>
      <c r="AB655">
        <f t="shared" si="104"/>
        <v>83.492615740738984</v>
      </c>
      <c r="AC655">
        <f>IFERROR(_xlfn.XLOOKUP(B655, HoldSummary!$A:$A, HoldSummary!B:B), 0)</f>
        <v>0</v>
      </c>
      <c r="AD655">
        <f>IFERROR(_xlfn.XLOOKUP(B655, HoldSummary!$A:$A, HoldSummary!C:C), 0)</f>
        <v>0</v>
      </c>
      <c r="AE655">
        <f>IFERROR(_xlfn.XLOOKUP(B655, HoldSummary!$A:$A, HoldSummary!D:D), 0)</f>
        <v>0</v>
      </c>
      <c r="AF655">
        <f>IFERROR(_xlfn.XLOOKUP(B655, HoldSummary!$A:$A, HoldSummary!E:E), 0)</f>
        <v>0</v>
      </c>
      <c r="AG655">
        <f>IFERROR(_xlfn.XLOOKUP(B655, HoldSummary!$A:$A, HoldSummary!F:F), 0)</f>
        <v>0</v>
      </c>
      <c r="AH655">
        <f>IFERROR(_xlfn.XLOOKUP(B655, HoldSummary!$A:$A, HoldSummary!G:G), 0)</f>
        <v>0</v>
      </c>
      <c r="AI655">
        <f>IFERROR(_xlfn.XLOOKUP(B655, HoldSummary!$A:$A, HoldSummary!H:H), 0)</f>
        <v>0</v>
      </c>
      <c r="AJ655">
        <f>IFERROR(_xlfn.XLOOKUP(B655, HoldSummary!$A:$A, HoldSummary!I:I), 0)</f>
        <v>0</v>
      </c>
      <c r="AK655">
        <f t="shared" si="105"/>
        <v>0</v>
      </c>
      <c r="AL655">
        <f t="shared" si="106"/>
        <v>83.492615740738984</v>
      </c>
      <c r="AM655">
        <f t="shared" si="107"/>
        <v>83.492615740738984</v>
      </c>
      <c r="AN655" s="12">
        <f t="shared" si="108"/>
        <v>-50.166666666664241</v>
      </c>
      <c r="AO655">
        <f t="shared" si="109"/>
        <v>1</v>
      </c>
    </row>
    <row r="656" spans="1:41" x14ac:dyDescent="0.35">
      <c r="A656" t="s">
        <v>23</v>
      </c>
      <c r="B656">
        <v>108585</v>
      </c>
      <c r="C656" t="s">
        <v>43</v>
      </c>
      <c r="D656" t="s">
        <v>44</v>
      </c>
      <c r="E656" t="s">
        <v>55</v>
      </c>
      <c r="F656" t="s">
        <v>1441</v>
      </c>
      <c r="G656">
        <v>1</v>
      </c>
      <c r="H656" t="s">
        <v>1467</v>
      </c>
      <c r="I656" t="s">
        <v>30</v>
      </c>
      <c r="J656" t="s">
        <v>70</v>
      </c>
      <c r="K656" t="s">
        <v>57</v>
      </c>
      <c r="L656" t="s">
        <v>58</v>
      </c>
      <c r="M656" t="s">
        <v>33</v>
      </c>
      <c r="N656" s="2">
        <v>45560.166666666664</v>
      </c>
      <c r="O656" s="2">
        <v>45618.208333333336</v>
      </c>
      <c r="P656" s="2">
        <v>45618.208333333336</v>
      </c>
      <c r="Q656" s="2">
        <v>45603</v>
      </c>
      <c r="R656" s="2">
        <v>45604.582012280094</v>
      </c>
      <c r="T656" s="2"/>
      <c r="U656" s="2"/>
      <c r="V656" s="2"/>
      <c r="W656" s="2"/>
      <c r="X656" s="3" t="str">
        <f t="shared" si="100"/>
        <v/>
      </c>
      <c r="Y656" t="str">
        <f t="shared" si="101"/>
        <v/>
      </c>
      <c r="Z656">
        <f t="shared" si="102"/>
        <v>0</v>
      </c>
      <c r="AA656">
        <f t="shared" si="103"/>
        <v>42.833333333335759</v>
      </c>
      <c r="AB656">
        <f t="shared" si="104"/>
        <v>42.833333333335759</v>
      </c>
      <c r="AC656">
        <f>IFERROR(_xlfn.XLOOKUP(B656, HoldSummary!$A:$A, HoldSummary!B:B), 0)</f>
        <v>0</v>
      </c>
      <c r="AD656">
        <f>IFERROR(_xlfn.XLOOKUP(B656, HoldSummary!$A:$A, HoldSummary!C:C), 0)</f>
        <v>0</v>
      </c>
      <c r="AE656">
        <f>IFERROR(_xlfn.XLOOKUP(B656, HoldSummary!$A:$A, HoldSummary!D:D), 0)</f>
        <v>0</v>
      </c>
      <c r="AF656">
        <f>IFERROR(_xlfn.XLOOKUP(B656, HoldSummary!$A:$A, HoldSummary!E:E), 0)</f>
        <v>0</v>
      </c>
      <c r="AG656">
        <f>IFERROR(_xlfn.XLOOKUP(B656, HoldSummary!$A:$A, HoldSummary!F:F), 0)</f>
        <v>0</v>
      </c>
      <c r="AH656">
        <f>IFERROR(_xlfn.XLOOKUP(B656, HoldSummary!$A:$A, HoldSummary!G:G), 0)</f>
        <v>0</v>
      </c>
      <c r="AI656">
        <f>IFERROR(_xlfn.XLOOKUP(B656, HoldSummary!$A:$A, HoldSummary!H:H), 0)</f>
        <v>0</v>
      </c>
      <c r="AJ656">
        <f>IFERROR(_xlfn.XLOOKUP(B656, HoldSummary!$A:$A, HoldSummary!I:I), 0)</f>
        <v>0</v>
      </c>
      <c r="AK656">
        <f t="shared" si="105"/>
        <v>0</v>
      </c>
      <c r="AL656">
        <f t="shared" si="106"/>
        <v>42.833333333335759</v>
      </c>
      <c r="AM656">
        <f t="shared" si="107"/>
        <v>42.833333333335759</v>
      </c>
      <c r="AN656" s="12">
        <f t="shared" si="108"/>
        <v>-15.208333333335759</v>
      </c>
      <c r="AO656">
        <f t="shared" si="109"/>
        <v>1</v>
      </c>
    </row>
    <row r="657" spans="1:41" x14ac:dyDescent="0.35">
      <c r="A657" t="s">
        <v>23</v>
      </c>
      <c r="B657" t="s">
        <v>1468</v>
      </c>
      <c r="C657" t="s">
        <v>76</v>
      </c>
      <c r="D657" t="s">
        <v>44</v>
      </c>
      <c r="E657" t="s">
        <v>45</v>
      </c>
      <c r="F657" t="s">
        <v>1441</v>
      </c>
      <c r="G657">
        <v>2</v>
      </c>
      <c r="H657" t="s">
        <v>1469</v>
      </c>
      <c r="I657" t="s">
        <v>30</v>
      </c>
      <c r="J657" t="s">
        <v>300</v>
      </c>
      <c r="K657" t="s">
        <v>57</v>
      </c>
      <c r="L657" t="s">
        <v>39</v>
      </c>
      <c r="N657" s="2">
        <v>45217.605462962965</v>
      </c>
      <c r="O657" s="2">
        <v>45407.166666666664</v>
      </c>
      <c r="P657" s="2">
        <v>45456.166666666664</v>
      </c>
      <c r="Q657" s="2">
        <v>45442</v>
      </c>
      <c r="R657" s="2">
        <v>45443.600695266206</v>
      </c>
      <c r="S657" t="s">
        <v>226</v>
      </c>
      <c r="T657" s="2">
        <v>45421.166666666664</v>
      </c>
      <c r="U657" s="2">
        <v>45428.166666666664</v>
      </c>
      <c r="V657" s="2">
        <v>45428.166666666664</v>
      </c>
      <c r="W657" s="2">
        <v>45428.166666666664</v>
      </c>
      <c r="X657" s="3">
        <f t="shared" si="100"/>
        <v>7</v>
      </c>
      <c r="Y657">
        <f t="shared" si="101"/>
        <v>0</v>
      </c>
      <c r="Z657">
        <f t="shared" si="102"/>
        <v>7</v>
      </c>
      <c r="AA657">
        <f t="shared" si="103"/>
        <v>224.39453703703475</v>
      </c>
      <c r="AB657">
        <f t="shared" si="104"/>
        <v>217.39453703703475</v>
      </c>
      <c r="AC657">
        <f>IFERROR(_xlfn.XLOOKUP(B657, HoldSummary!$A:$A, HoldSummary!B:B), 0)</f>
        <v>0</v>
      </c>
      <c r="AD657">
        <f>IFERROR(_xlfn.XLOOKUP(B657, HoldSummary!$A:$A, HoldSummary!C:C), 0)</f>
        <v>0</v>
      </c>
      <c r="AE657">
        <f>IFERROR(_xlfn.XLOOKUP(B657, HoldSummary!$A:$A, HoldSummary!D:D), 0)</f>
        <v>0</v>
      </c>
      <c r="AF657">
        <f>IFERROR(_xlfn.XLOOKUP(B657, HoldSummary!$A:$A, HoldSummary!E:E), 0)</f>
        <v>0</v>
      </c>
      <c r="AG657">
        <f>IFERROR(_xlfn.XLOOKUP(B657, HoldSummary!$A:$A, HoldSummary!F:F), 0)</f>
        <v>0</v>
      </c>
      <c r="AH657">
        <f>IFERROR(_xlfn.XLOOKUP(B657, HoldSummary!$A:$A, HoldSummary!G:G), 0)</f>
        <v>0</v>
      </c>
      <c r="AI657">
        <f>IFERROR(_xlfn.XLOOKUP(B657, HoldSummary!$A:$A, HoldSummary!H:H), 0)</f>
        <v>0</v>
      </c>
      <c r="AJ657">
        <f>IFERROR(_xlfn.XLOOKUP(B657, HoldSummary!$A:$A, HoldSummary!I:I), 0)</f>
        <v>0</v>
      </c>
      <c r="AK657">
        <f t="shared" si="105"/>
        <v>0</v>
      </c>
      <c r="AL657">
        <f t="shared" si="106"/>
        <v>224.39453703703475</v>
      </c>
      <c r="AM657">
        <f t="shared" si="107"/>
        <v>217.39453703703475</v>
      </c>
      <c r="AN657" s="12">
        <f t="shared" si="108"/>
        <v>34.833333333335759</v>
      </c>
      <c r="AO657">
        <f t="shared" si="109"/>
        <v>0</v>
      </c>
    </row>
    <row r="658" spans="1:41" x14ac:dyDescent="0.35">
      <c r="A658" t="s">
        <v>23</v>
      </c>
      <c r="B658" t="s">
        <v>1470</v>
      </c>
      <c r="C658" t="s">
        <v>76</v>
      </c>
      <c r="D658" t="s">
        <v>44</v>
      </c>
      <c r="E658" t="s">
        <v>45</v>
      </c>
      <c r="F658" t="s">
        <v>1441</v>
      </c>
      <c r="G658">
        <v>2</v>
      </c>
      <c r="H658" t="s">
        <v>1471</v>
      </c>
      <c r="I658" t="s">
        <v>30</v>
      </c>
      <c r="J658" t="s">
        <v>31</v>
      </c>
      <c r="K658" t="s">
        <v>48</v>
      </c>
      <c r="L658" t="s">
        <v>192</v>
      </c>
      <c r="N658" s="2">
        <v>45209.839432870373</v>
      </c>
      <c r="O658" s="2">
        <v>45365.166666666664</v>
      </c>
      <c r="P658" s="2">
        <v>45421.166666666664</v>
      </c>
      <c r="Q658" s="2">
        <v>45412</v>
      </c>
      <c r="R658" s="2">
        <v>45412.672959918978</v>
      </c>
      <c r="S658" t="s">
        <v>568</v>
      </c>
      <c r="T658" s="2">
        <v>45316.208333333336</v>
      </c>
      <c r="U658" s="2">
        <v>45344.208333333336</v>
      </c>
      <c r="V658" s="2">
        <v>45344.208333333336</v>
      </c>
      <c r="W658" s="2">
        <v>45404.166666666664</v>
      </c>
      <c r="X658" s="3">
        <f t="shared" si="100"/>
        <v>28</v>
      </c>
      <c r="Y658">
        <f t="shared" si="101"/>
        <v>59.958333333328483</v>
      </c>
      <c r="Z658">
        <f t="shared" si="102"/>
        <v>87.958333333328483</v>
      </c>
      <c r="AA658">
        <f t="shared" si="103"/>
        <v>202.16056712962745</v>
      </c>
      <c r="AB658">
        <f t="shared" si="104"/>
        <v>114.20223379629897</v>
      </c>
      <c r="AC658">
        <f>IFERROR(_xlfn.XLOOKUP(B658, HoldSummary!$A:$A, HoldSummary!B:B), 0)</f>
        <v>0</v>
      </c>
      <c r="AD658">
        <f>IFERROR(_xlfn.XLOOKUP(B658, HoldSummary!$A:$A, HoldSummary!C:C), 0)</f>
        <v>0</v>
      </c>
      <c r="AE658">
        <f>IFERROR(_xlfn.XLOOKUP(B658, HoldSummary!$A:$A, HoldSummary!D:D), 0)</f>
        <v>0</v>
      </c>
      <c r="AF658">
        <f>IFERROR(_xlfn.XLOOKUP(B658, HoldSummary!$A:$A, HoldSummary!E:E), 0)</f>
        <v>0</v>
      </c>
      <c r="AG658">
        <f>IFERROR(_xlfn.XLOOKUP(B658, HoldSummary!$A:$A, HoldSummary!F:F), 0)</f>
        <v>0</v>
      </c>
      <c r="AH658">
        <f>IFERROR(_xlfn.XLOOKUP(B658, HoldSummary!$A:$A, HoldSummary!G:G), 0)</f>
        <v>0</v>
      </c>
      <c r="AI658">
        <f>IFERROR(_xlfn.XLOOKUP(B658, HoldSummary!$A:$A, HoldSummary!H:H), 0)</f>
        <v>5.9445427777754958</v>
      </c>
      <c r="AJ658">
        <f>IFERROR(_xlfn.XLOOKUP(B658, HoldSummary!$A:$A, HoldSummary!I:I), 0)</f>
        <v>0</v>
      </c>
      <c r="AK658">
        <f t="shared" si="105"/>
        <v>5.9445427777754958</v>
      </c>
      <c r="AL658">
        <f t="shared" si="106"/>
        <v>196.21602435185196</v>
      </c>
      <c r="AM658">
        <f t="shared" si="107"/>
        <v>108.25769101852347</v>
      </c>
      <c r="AN658" s="12">
        <f t="shared" si="108"/>
        <v>46.833333333335759</v>
      </c>
      <c r="AO658">
        <f t="shared" si="109"/>
        <v>0</v>
      </c>
    </row>
    <row r="659" spans="1:41" x14ac:dyDescent="0.35">
      <c r="A659" t="s">
        <v>23</v>
      </c>
      <c r="B659" t="s">
        <v>1472</v>
      </c>
      <c r="C659" t="s">
        <v>43</v>
      </c>
      <c r="D659" t="s">
        <v>44</v>
      </c>
      <c r="E659" t="s">
        <v>45</v>
      </c>
      <c r="F659" t="s">
        <v>1441</v>
      </c>
      <c r="G659">
        <v>2</v>
      </c>
      <c r="H659" t="s">
        <v>1473</v>
      </c>
      <c r="I659" t="s">
        <v>30</v>
      </c>
      <c r="J659" t="s">
        <v>31</v>
      </c>
      <c r="K659" t="s">
        <v>48</v>
      </c>
      <c r="L659" t="s">
        <v>695</v>
      </c>
      <c r="N659" s="2">
        <v>45322.66201388889</v>
      </c>
      <c r="O659" s="2">
        <v>45345.208333333336</v>
      </c>
      <c r="P659" s="2">
        <v>45345.208333333336</v>
      </c>
      <c r="Q659" s="2">
        <v>45334</v>
      </c>
      <c r="R659" s="2">
        <v>45335.603629340279</v>
      </c>
      <c r="S659" t="s">
        <v>1453</v>
      </c>
      <c r="T659" s="2">
        <v>45328.208333333336</v>
      </c>
      <c r="U659" s="2">
        <v>45329.208333333336</v>
      </c>
      <c r="V659" s="2">
        <v>45329.208333333336</v>
      </c>
      <c r="W659" s="2">
        <v>45329.208333333336</v>
      </c>
      <c r="X659" s="3">
        <f t="shared" si="100"/>
        <v>1</v>
      </c>
      <c r="Y659">
        <f t="shared" si="101"/>
        <v>0</v>
      </c>
      <c r="Z659">
        <f t="shared" si="102"/>
        <v>1</v>
      </c>
      <c r="AA659">
        <f t="shared" si="103"/>
        <v>11.337986111109785</v>
      </c>
      <c r="AB659">
        <f t="shared" si="104"/>
        <v>10.337986111109785</v>
      </c>
      <c r="AC659">
        <f>IFERROR(_xlfn.XLOOKUP(B659, HoldSummary!$A:$A, HoldSummary!B:B), 0)</f>
        <v>0</v>
      </c>
      <c r="AD659">
        <f>IFERROR(_xlfn.XLOOKUP(B659, HoldSummary!$A:$A, HoldSummary!C:C), 0)</f>
        <v>0</v>
      </c>
      <c r="AE659">
        <f>IFERROR(_xlfn.XLOOKUP(B659, HoldSummary!$A:$A, HoldSummary!D:D), 0)</f>
        <v>0</v>
      </c>
      <c r="AF659">
        <f>IFERROR(_xlfn.XLOOKUP(B659, HoldSummary!$A:$A, HoldSummary!E:E), 0)</f>
        <v>0</v>
      </c>
      <c r="AG659">
        <f>IFERROR(_xlfn.XLOOKUP(B659, HoldSummary!$A:$A, HoldSummary!F:F), 0)</f>
        <v>0</v>
      </c>
      <c r="AH659">
        <f>IFERROR(_xlfn.XLOOKUP(B659, HoldSummary!$A:$A, HoldSummary!G:G), 0)</f>
        <v>0</v>
      </c>
      <c r="AI659">
        <f>IFERROR(_xlfn.XLOOKUP(B659, HoldSummary!$A:$A, HoldSummary!H:H), 0)</f>
        <v>0</v>
      </c>
      <c r="AJ659">
        <f>IFERROR(_xlfn.XLOOKUP(B659, HoldSummary!$A:$A, HoldSummary!I:I), 0)</f>
        <v>0</v>
      </c>
      <c r="AK659">
        <f t="shared" si="105"/>
        <v>0</v>
      </c>
      <c r="AL659">
        <f t="shared" si="106"/>
        <v>11.337986111109785</v>
      </c>
      <c r="AM659">
        <f t="shared" si="107"/>
        <v>10.337986111109785</v>
      </c>
      <c r="AN659" s="12">
        <f t="shared" si="108"/>
        <v>-11.208333333335759</v>
      </c>
      <c r="AO659">
        <f t="shared" si="109"/>
        <v>1</v>
      </c>
    </row>
    <row r="660" spans="1:41" x14ac:dyDescent="0.35">
      <c r="A660" t="s">
        <v>23</v>
      </c>
      <c r="B660" t="s">
        <v>1474</v>
      </c>
      <c r="C660" t="s">
        <v>43</v>
      </c>
      <c r="D660" t="s">
        <v>44</v>
      </c>
      <c r="E660" t="s">
        <v>45</v>
      </c>
      <c r="F660" t="s">
        <v>1441</v>
      </c>
      <c r="G660">
        <v>2</v>
      </c>
      <c r="H660" t="s">
        <v>1475</v>
      </c>
      <c r="I660" t="s">
        <v>30</v>
      </c>
      <c r="J660" t="s">
        <v>31</v>
      </c>
      <c r="K660" t="s">
        <v>48</v>
      </c>
      <c r="L660" t="s">
        <v>49</v>
      </c>
      <c r="N660" s="2">
        <v>45330.609907407408</v>
      </c>
      <c r="O660" s="2">
        <v>45373.166666666664</v>
      </c>
      <c r="P660" s="2">
        <v>45379.166666666664</v>
      </c>
      <c r="Q660" s="2">
        <v>45378</v>
      </c>
      <c r="R660" s="2">
        <v>45379.595091793984</v>
      </c>
      <c r="S660" t="s">
        <v>386</v>
      </c>
      <c r="T660" s="2">
        <v>45355.208333333336</v>
      </c>
      <c r="U660" s="2">
        <v>45357.208333333336</v>
      </c>
      <c r="V660" s="2">
        <v>45357.208333333336</v>
      </c>
      <c r="W660" s="2">
        <v>45357.208333333336</v>
      </c>
      <c r="X660" s="3">
        <f t="shared" si="100"/>
        <v>2</v>
      </c>
      <c r="Y660">
        <f t="shared" si="101"/>
        <v>0</v>
      </c>
      <c r="Z660">
        <f t="shared" si="102"/>
        <v>2</v>
      </c>
      <c r="AA660">
        <f t="shared" si="103"/>
        <v>47.390092592591827</v>
      </c>
      <c r="AB660">
        <f t="shared" si="104"/>
        <v>45.390092592591827</v>
      </c>
      <c r="AC660">
        <f>IFERROR(_xlfn.XLOOKUP(B660, HoldSummary!$A:$A, HoldSummary!B:B), 0)</f>
        <v>0</v>
      </c>
      <c r="AD660">
        <f>IFERROR(_xlfn.XLOOKUP(B660, HoldSummary!$A:$A, HoldSummary!C:C), 0)</f>
        <v>0</v>
      </c>
      <c r="AE660">
        <f>IFERROR(_xlfn.XLOOKUP(B660, HoldSummary!$A:$A, HoldSummary!D:D), 0)</f>
        <v>0</v>
      </c>
      <c r="AF660">
        <f>IFERROR(_xlfn.XLOOKUP(B660, HoldSummary!$A:$A, HoldSummary!E:E), 0)</f>
        <v>0</v>
      </c>
      <c r="AG660">
        <f>IFERROR(_xlfn.XLOOKUP(B660, HoldSummary!$A:$A, HoldSummary!F:F), 0)</f>
        <v>0</v>
      </c>
      <c r="AH660">
        <f>IFERROR(_xlfn.XLOOKUP(B660, HoldSummary!$A:$A, HoldSummary!G:G), 0)</f>
        <v>0</v>
      </c>
      <c r="AI660">
        <f>IFERROR(_xlfn.XLOOKUP(B660, HoldSummary!$A:$A, HoldSummary!H:H), 0)</f>
        <v>0</v>
      </c>
      <c r="AJ660">
        <f>IFERROR(_xlfn.XLOOKUP(B660, HoldSummary!$A:$A, HoldSummary!I:I), 0)</f>
        <v>0</v>
      </c>
      <c r="AK660">
        <f t="shared" si="105"/>
        <v>0</v>
      </c>
      <c r="AL660">
        <f t="shared" si="106"/>
        <v>47.390092592591827</v>
      </c>
      <c r="AM660">
        <f t="shared" si="107"/>
        <v>45.390092592591827</v>
      </c>
      <c r="AN660" s="12">
        <f t="shared" si="108"/>
        <v>4.8333333333357587</v>
      </c>
      <c r="AO660">
        <f t="shared" si="109"/>
        <v>0</v>
      </c>
    </row>
    <row r="661" spans="1:41" x14ac:dyDescent="0.35">
      <c r="A661" t="s">
        <v>23</v>
      </c>
      <c r="B661" t="s">
        <v>1476</v>
      </c>
      <c r="C661" t="s">
        <v>51</v>
      </c>
      <c r="D661" t="s">
        <v>44</v>
      </c>
      <c r="E661" t="s">
        <v>44</v>
      </c>
      <c r="F661" t="s">
        <v>1441</v>
      </c>
      <c r="G661">
        <v>2</v>
      </c>
      <c r="H661" t="s">
        <v>1477</v>
      </c>
      <c r="I661" t="s">
        <v>30</v>
      </c>
      <c r="J661" t="s">
        <v>70</v>
      </c>
      <c r="K661" t="s">
        <v>48</v>
      </c>
      <c r="L661" t="s">
        <v>185</v>
      </c>
      <c r="N661" s="2">
        <v>45317.208333333336</v>
      </c>
      <c r="O661" s="2">
        <v>45567.166666666664</v>
      </c>
      <c r="P661" s="2">
        <v>45567.166666666664</v>
      </c>
      <c r="Q661" s="2">
        <v>45442</v>
      </c>
      <c r="R661" s="2">
        <v>45442.730239305558</v>
      </c>
      <c r="S661" t="s">
        <v>1478</v>
      </c>
      <c r="T661" s="2"/>
      <c r="U661" s="2"/>
      <c r="V661" s="2"/>
      <c r="W661" s="2"/>
      <c r="X661" s="3" t="str">
        <f t="shared" si="100"/>
        <v/>
      </c>
      <c r="Y661" t="str">
        <f t="shared" si="101"/>
        <v/>
      </c>
      <c r="Z661">
        <f t="shared" si="102"/>
        <v>0</v>
      </c>
      <c r="AA661">
        <f t="shared" si="103"/>
        <v>124.79166666666424</v>
      </c>
      <c r="AB661">
        <f t="shared" si="104"/>
        <v>124.79166666666424</v>
      </c>
      <c r="AC661">
        <f>IFERROR(_xlfn.XLOOKUP(B661, HoldSummary!$A:$A, HoldSummary!B:B), 0)</f>
        <v>0</v>
      </c>
      <c r="AD661">
        <f>IFERROR(_xlfn.XLOOKUP(B661, HoldSummary!$A:$A, HoldSummary!C:C), 0)</f>
        <v>0</v>
      </c>
      <c r="AE661">
        <f>IFERROR(_xlfn.XLOOKUP(B661, HoldSummary!$A:$A, HoldSummary!D:D), 0)</f>
        <v>0</v>
      </c>
      <c r="AF661">
        <f>IFERROR(_xlfn.XLOOKUP(B661, HoldSummary!$A:$A, HoldSummary!E:E), 0)</f>
        <v>0</v>
      </c>
      <c r="AG661">
        <f>IFERROR(_xlfn.XLOOKUP(B661, HoldSummary!$A:$A, HoldSummary!F:F), 0)</f>
        <v>0</v>
      </c>
      <c r="AH661">
        <f>IFERROR(_xlfn.XLOOKUP(B661, HoldSummary!$A:$A, HoldSummary!G:G), 0)</f>
        <v>0</v>
      </c>
      <c r="AI661">
        <f>IFERROR(_xlfn.XLOOKUP(B661, HoldSummary!$A:$A, HoldSummary!H:H), 0)</f>
        <v>0</v>
      </c>
      <c r="AJ661">
        <f>IFERROR(_xlfn.XLOOKUP(B661, HoldSummary!$A:$A, HoldSummary!I:I), 0)</f>
        <v>0</v>
      </c>
      <c r="AK661">
        <f t="shared" si="105"/>
        <v>0</v>
      </c>
      <c r="AL661">
        <f t="shared" si="106"/>
        <v>124.79166666666424</v>
      </c>
      <c r="AM661">
        <f t="shared" si="107"/>
        <v>124.79166666666424</v>
      </c>
      <c r="AN661" s="12">
        <f t="shared" si="108"/>
        <v>-125.16666666666424</v>
      </c>
      <c r="AO661">
        <f t="shared" si="109"/>
        <v>1</v>
      </c>
    </row>
    <row r="662" spans="1:41" x14ac:dyDescent="0.35">
      <c r="A662" t="s">
        <v>23</v>
      </c>
      <c r="B662">
        <v>106501</v>
      </c>
      <c r="C662" t="s">
        <v>43</v>
      </c>
      <c r="D662" t="s">
        <v>44</v>
      </c>
      <c r="E662" t="s">
        <v>55</v>
      </c>
      <c r="F662" t="s">
        <v>1441</v>
      </c>
      <c r="G662">
        <v>2</v>
      </c>
      <c r="H662" t="s">
        <v>1479</v>
      </c>
      <c r="I662" t="s">
        <v>30</v>
      </c>
      <c r="J662" t="s">
        <v>31</v>
      </c>
      <c r="K662" t="s">
        <v>57</v>
      </c>
      <c r="L662" t="s">
        <v>58</v>
      </c>
      <c r="M662" t="s">
        <v>33</v>
      </c>
      <c r="N662" s="2">
        <v>45456.166666666664</v>
      </c>
      <c r="O662" s="2">
        <v>45596.166666666664</v>
      </c>
      <c r="P662" s="2">
        <v>45520.166666666664</v>
      </c>
      <c r="Q662" s="2">
        <v>45524</v>
      </c>
      <c r="R662" s="2">
        <v>45524.742444965275</v>
      </c>
      <c r="T662" s="2">
        <v>45496.166666666664</v>
      </c>
      <c r="U662" s="2">
        <v>45496.166666666664</v>
      </c>
      <c r="V662" s="2">
        <v>45496.166666666664</v>
      </c>
      <c r="W662" s="2">
        <v>45513.166666666664</v>
      </c>
      <c r="X662" s="3">
        <f t="shared" si="100"/>
        <v>0</v>
      </c>
      <c r="Y662">
        <f t="shared" si="101"/>
        <v>17</v>
      </c>
      <c r="Z662">
        <f t="shared" si="102"/>
        <v>17</v>
      </c>
      <c r="AA662">
        <f t="shared" si="103"/>
        <v>67.833333333335759</v>
      </c>
      <c r="AB662">
        <f t="shared" si="104"/>
        <v>50.833333333335759</v>
      </c>
      <c r="AC662">
        <f>IFERROR(_xlfn.XLOOKUP(B662, HoldSummary!$A:$A, HoldSummary!B:B), 0)</f>
        <v>0</v>
      </c>
      <c r="AD662">
        <f>IFERROR(_xlfn.XLOOKUP(B662, HoldSummary!$A:$A, HoldSummary!C:C), 0)</f>
        <v>0</v>
      </c>
      <c r="AE662">
        <f>IFERROR(_xlfn.XLOOKUP(B662, HoldSummary!$A:$A, HoldSummary!D:D), 0)</f>
        <v>0</v>
      </c>
      <c r="AF662">
        <f>IFERROR(_xlfn.XLOOKUP(B662, HoldSummary!$A:$A, HoldSummary!E:E), 0)</f>
        <v>0</v>
      </c>
      <c r="AG662">
        <f>IFERROR(_xlfn.XLOOKUP(B662, HoldSummary!$A:$A, HoldSummary!F:F), 0)</f>
        <v>4</v>
      </c>
      <c r="AH662">
        <f>IFERROR(_xlfn.XLOOKUP(B662, HoldSummary!$A:$A, HoldSummary!G:G), 0)</f>
        <v>0</v>
      </c>
      <c r="AI662">
        <f>IFERROR(_xlfn.XLOOKUP(B662, HoldSummary!$A:$A, HoldSummary!H:H), 0)</f>
        <v>0</v>
      </c>
      <c r="AJ662">
        <f>IFERROR(_xlfn.XLOOKUP(B662, HoldSummary!$A:$A, HoldSummary!I:I), 0)</f>
        <v>0</v>
      </c>
      <c r="AK662">
        <f t="shared" si="105"/>
        <v>4</v>
      </c>
      <c r="AL662">
        <f t="shared" si="106"/>
        <v>63.833333333335759</v>
      </c>
      <c r="AM662">
        <f t="shared" si="107"/>
        <v>46.833333333335759</v>
      </c>
      <c r="AN662" s="12">
        <f t="shared" si="108"/>
        <v>-72.166666666664241</v>
      </c>
      <c r="AO662">
        <f t="shared" si="109"/>
        <v>1</v>
      </c>
    </row>
    <row r="663" spans="1:41" x14ac:dyDescent="0.35">
      <c r="A663" t="s">
        <v>23</v>
      </c>
      <c r="B663" t="s">
        <v>1480</v>
      </c>
      <c r="C663" t="s">
        <v>461</v>
      </c>
      <c r="D663" t="s">
        <v>44</v>
      </c>
      <c r="E663" t="s">
        <v>45</v>
      </c>
      <c r="F663" t="s">
        <v>1441</v>
      </c>
      <c r="G663">
        <v>2</v>
      </c>
      <c r="H663" t="s">
        <v>1481</v>
      </c>
      <c r="I663" t="s">
        <v>30</v>
      </c>
      <c r="J663" t="s">
        <v>31</v>
      </c>
      <c r="K663" t="s">
        <v>48</v>
      </c>
      <c r="L663" t="s">
        <v>39</v>
      </c>
      <c r="M663" t="s">
        <v>33</v>
      </c>
      <c r="N663" s="2">
        <v>45623.769166666665</v>
      </c>
      <c r="O663" s="2">
        <v>45642.208333333336</v>
      </c>
      <c r="P663" s="2">
        <v>45642.208333333336</v>
      </c>
      <c r="Q663" s="2">
        <v>45642</v>
      </c>
      <c r="R663" s="2">
        <v>45642.879853124999</v>
      </c>
      <c r="T663" s="2"/>
      <c r="U663" s="2"/>
      <c r="V663" s="2"/>
      <c r="W663" s="2"/>
      <c r="X663" s="3" t="str">
        <f t="shared" si="100"/>
        <v/>
      </c>
      <c r="Y663" t="str">
        <f t="shared" si="101"/>
        <v/>
      </c>
      <c r="Z663">
        <f t="shared" si="102"/>
        <v>0</v>
      </c>
      <c r="AA663">
        <f t="shared" si="103"/>
        <v>18.230833333334886</v>
      </c>
      <c r="AB663">
        <f t="shared" si="104"/>
        <v>18.230833333334886</v>
      </c>
      <c r="AC663">
        <f>IFERROR(_xlfn.XLOOKUP(B663, HoldSummary!$A:$A, HoldSummary!B:B), 0)</f>
        <v>0</v>
      </c>
      <c r="AD663">
        <f>IFERROR(_xlfn.XLOOKUP(B663, HoldSummary!$A:$A, HoldSummary!C:C), 0)</f>
        <v>0</v>
      </c>
      <c r="AE663">
        <f>IFERROR(_xlfn.XLOOKUP(B663, HoldSummary!$A:$A, HoldSummary!D:D), 0)</f>
        <v>0</v>
      </c>
      <c r="AF663">
        <f>IFERROR(_xlfn.XLOOKUP(B663, HoldSummary!$A:$A, HoldSummary!E:E), 0)</f>
        <v>0</v>
      </c>
      <c r="AG663">
        <f>IFERROR(_xlfn.XLOOKUP(B663, HoldSummary!$A:$A, HoldSummary!F:F), 0)</f>
        <v>0</v>
      </c>
      <c r="AH663">
        <f>IFERROR(_xlfn.XLOOKUP(B663, HoldSummary!$A:$A, HoldSummary!G:G), 0)</f>
        <v>0</v>
      </c>
      <c r="AI663">
        <f>IFERROR(_xlfn.XLOOKUP(B663, HoldSummary!$A:$A, HoldSummary!H:H), 0)</f>
        <v>0</v>
      </c>
      <c r="AJ663">
        <f>IFERROR(_xlfn.XLOOKUP(B663, HoldSummary!$A:$A, HoldSummary!I:I), 0)</f>
        <v>0</v>
      </c>
      <c r="AK663">
        <f t="shared" si="105"/>
        <v>0</v>
      </c>
      <c r="AL663">
        <f t="shared" si="106"/>
        <v>18.230833333334886</v>
      </c>
      <c r="AM663">
        <f t="shared" si="107"/>
        <v>18.230833333334886</v>
      </c>
      <c r="AN663" s="12">
        <f t="shared" si="108"/>
        <v>-0.20833333333575865</v>
      </c>
      <c r="AO663">
        <f t="shared" si="109"/>
        <v>1</v>
      </c>
    </row>
    <row r="664" spans="1:41" x14ac:dyDescent="0.35">
      <c r="A664" t="s">
        <v>23</v>
      </c>
      <c r="B664" t="s">
        <v>1482</v>
      </c>
      <c r="C664" t="s">
        <v>135</v>
      </c>
      <c r="D664" t="s">
        <v>44</v>
      </c>
      <c r="E664" t="s">
        <v>27</v>
      </c>
      <c r="F664" t="s">
        <v>1441</v>
      </c>
      <c r="G664">
        <v>3</v>
      </c>
      <c r="H664" t="s">
        <v>1483</v>
      </c>
      <c r="I664" t="s">
        <v>30</v>
      </c>
      <c r="J664" t="s">
        <v>31</v>
      </c>
      <c r="K664" t="s">
        <v>32</v>
      </c>
      <c r="L664" t="s">
        <v>32</v>
      </c>
      <c r="N664" s="2">
        <v>45141.289050925923</v>
      </c>
      <c r="O664" s="2">
        <v>45260.208333333336</v>
      </c>
      <c r="P664" s="2">
        <v>45434.166666666664</v>
      </c>
      <c r="Q664" s="2">
        <v>45432</v>
      </c>
      <c r="R664" s="2">
        <v>45434.673988437498</v>
      </c>
      <c r="S664" t="s">
        <v>226</v>
      </c>
      <c r="T664" s="2">
        <v>45195.166666666664</v>
      </c>
      <c r="U664" s="2">
        <v>45197.166666666664</v>
      </c>
      <c r="V664" s="2">
        <v>45197.166666666664</v>
      </c>
      <c r="W664" s="2">
        <v>45208.166666666664</v>
      </c>
      <c r="X664" s="3">
        <f t="shared" si="100"/>
        <v>2</v>
      </c>
      <c r="Y664">
        <f t="shared" si="101"/>
        <v>11</v>
      </c>
      <c r="Z664">
        <f t="shared" si="102"/>
        <v>13</v>
      </c>
      <c r="AA664">
        <f t="shared" si="103"/>
        <v>290.71094907407678</v>
      </c>
      <c r="AB664">
        <f t="shared" si="104"/>
        <v>277.71094907407678</v>
      </c>
      <c r="AC664">
        <f>IFERROR(_xlfn.XLOOKUP(B664, HoldSummary!$A:$A, HoldSummary!B:B), 0)</f>
        <v>0</v>
      </c>
      <c r="AD664">
        <f>IFERROR(_xlfn.XLOOKUP(B664, HoldSummary!$A:$A, HoldSummary!C:C), 0)</f>
        <v>0</v>
      </c>
      <c r="AE664">
        <f>IFERROR(_xlfn.XLOOKUP(B664, HoldSummary!$A:$A, HoldSummary!D:D), 0)</f>
        <v>0</v>
      </c>
      <c r="AF664">
        <f>IFERROR(_xlfn.XLOOKUP(B664, HoldSummary!$A:$A, HoldSummary!E:E), 0)</f>
        <v>0</v>
      </c>
      <c r="AG664">
        <f>IFERROR(_xlfn.XLOOKUP(B664, HoldSummary!$A:$A, HoldSummary!F:F), 0)</f>
        <v>0</v>
      </c>
      <c r="AH664">
        <f>IFERROR(_xlfn.XLOOKUP(B664, HoldSummary!$A:$A, HoldSummary!G:G), 0)</f>
        <v>0</v>
      </c>
      <c r="AI664">
        <f>IFERROR(_xlfn.XLOOKUP(B664, HoldSummary!$A:$A, HoldSummary!H:H), 0)</f>
        <v>0</v>
      </c>
      <c r="AJ664">
        <f>IFERROR(_xlfn.XLOOKUP(B664, HoldSummary!$A:$A, HoldSummary!I:I), 0)</f>
        <v>13</v>
      </c>
      <c r="AK664">
        <f t="shared" si="105"/>
        <v>13</v>
      </c>
      <c r="AL664">
        <f t="shared" si="106"/>
        <v>277.71094907407678</v>
      </c>
      <c r="AM664">
        <f t="shared" si="107"/>
        <v>264.71094907407678</v>
      </c>
      <c r="AN664" s="12">
        <f t="shared" si="108"/>
        <v>171.79166666666424</v>
      </c>
      <c r="AO664">
        <f t="shared" si="109"/>
        <v>0</v>
      </c>
    </row>
    <row r="665" spans="1:41" x14ac:dyDescent="0.35">
      <c r="A665" t="s">
        <v>23</v>
      </c>
      <c r="B665">
        <v>101380</v>
      </c>
      <c r="C665" t="s">
        <v>113</v>
      </c>
      <c r="D665" t="s">
        <v>44</v>
      </c>
      <c r="E665" t="s">
        <v>55</v>
      </c>
      <c r="F665" t="s">
        <v>1441</v>
      </c>
      <c r="G665">
        <v>3</v>
      </c>
      <c r="H665" t="s">
        <v>1484</v>
      </c>
      <c r="I665" t="s">
        <v>30</v>
      </c>
      <c r="J665" t="s">
        <v>31</v>
      </c>
      <c r="K665" t="s">
        <v>57</v>
      </c>
      <c r="L665" t="s">
        <v>39</v>
      </c>
      <c r="N665" s="2">
        <v>45196.166666666664</v>
      </c>
      <c r="O665" s="2">
        <v>45321.208333333336</v>
      </c>
      <c r="P665" s="2">
        <v>45398.166666666664</v>
      </c>
      <c r="Q665" s="2">
        <v>45392</v>
      </c>
      <c r="R665" s="2">
        <v>45399.6026246412</v>
      </c>
      <c r="S665" t="s">
        <v>127</v>
      </c>
      <c r="T665" s="2">
        <v>45229.166666666664</v>
      </c>
      <c r="U665" s="2">
        <v>45280.208333333336</v>
      </c>
      <c r="V665" s="2">
        <v>45280.208333333336</v>
      </c>
      <c r="W665" s="2">
        <v>45330.208333333336</v>
      </c>
      <c r="X665" s="3">
        <f t="shared" si="100"/>
        <v>51.041666666671517</v>
      </c>
      <c r="Y665">
        <f t="shared" si="101"/>
        <v>50</v>
      </c>
      <c r="Z665">
        <f t="shared" si="102"/>
        <v>101.04166666667152</v>
      </c>
      <c r="AA665">
        <f t="shared" si="103"/>
        <v>195.83333333333576</v>
      </c>
      <c r="AB665">
        <f t="shared" si="104"/>
        <v>94.791666666664241</v>
      </c>
      <c r="AC665">
        <f>IFERROR(_xlfn.XLOOKUP(B665, HoldSummary!$A:$A, HoldSummary!B:B), 0)</f>
        <v>0</v>
      </c>
      <c r="AD665">
        <f>IFERROR(_xlfn.XLOOKUP(B665, HoldSummary!$A:$A, HoldSummary!C:C), 0)</f>
        <v>0</v>
      </c>
      <c r="AE665">
        <f>IFERROR(_xlfn.XLOOKUP(B665, HoldSummary!$A:$A, HoldSummary!D:D), 0)</f>
        <v>0</v>
      </c>
      <c r="AF665">
        <f>IFERROR(_xlfn.XLOOKUP(B665, HoldSummary!$A:$A, HoldSummary!E:E), 0)</f>
        <v>0</v>
      </c>
      <c r="AG665">
        <f>IFERROR(_xlfn.XLOOKUP(B665, HoldSummary!$A:$A, HoldSummary!F:F), 0)</f>
        <v>0</v>
      </c>
      <c r="AH665">
        <f>IFERROR(_xlfn.XLOOKUP(B665, HoldSummary!$A:$A, HoldSummary!G:G), 0)</f>
        <v>0</v>
      </c>
      <c r="AI665">
        <f>IFERROR(_xlfn.XLOOKUP(B665, HoldSummary!$A:$A, HoldSummary!H:H), 0)</f>
        <v>8</v>
      </c>
      <c r="AJ665">
        <f>IFERROR(_xlfn.XLOOKUP(B665, HoldSummary!$A:$A, HoldSummary!I:I), 0)</f>
        <v>0</v>
      </c>
      <c r="AK665">
        <f t="shared" si="105"/>
        <v>8</v>
      </c>
      <c r="AL665">
        <f t="shared" si="106"/>
        <v>187.83333333333576</v>
      </c>
      <c r="AM665">
        <f t="shared" si="107"/>
        <v>86.791666666664241</v>
      </c>
      <c r="AN665" s="12">
        <f t="shared" si="108"/>
        <v>70.791666666664241</v>
      </c>
      <c r="AO665">
        <f t="shared" si="109"/>
        <v>0</v>
      </c>
    </row>
    <row r="666" spans="1:41" x14ac:dyDescent="0.35">
      <c r="A666" t="s">
        <v>23</v>
      </c>
      <c r="B666" t="s">
        <v>1485</v>
      </c>
      <c r="C666" t="s">
        <v>76</v>
      </c>
      <c r="D666" t="s">
        <v>44</v>
      </c>
      <c r="E666" t="s">
        <v>45</v>
      </c>
      <c r="F666" t="s">
        <v>1441</v>
      </c>
      <c r="G666">
        <v>3</v>
      </c>
      <c r="H666" t="s">
        <v>1486</v>
      </c>
      <c r="I666" t="s">
        <v>30</v>
      </c>
      <c r="J666" t="s">
        <v>31</v>
      </c>
      <c r="K666" t="s">
        <v>38</v>
      </c>
      <c r="L666" t="s">
        <v>39</v>
      </c>
      <c r="N666" s="2">
        <v>45205.53875</v>
      </c>
      <c r="O666" s="2">
        <v>45317.208333333336</v>
      </c>
      <c r="P666" s="2">
        <v>45379.166666666664</v>
      </c>
      <c r="Q666" s="2">
        <v>45369</v>
      </c>
      <c r="R666" s="2">
        <v>45371.856565787035</v>
      </c>
      <c r="S666" t="s">
        <v>1487</v>
      </c>
      <c r="T666" s="2">
        <v>45219.166666666664</v>
      </c>
      <c r="U666" s="2">
        <v>45230.166666666664</v>
      </c>
      <c r="V666" s="2">
        <v>45230.166666666664</v>
      </c>
      <c r="W666" s="2">
        <v>45282.208333333336</v>
      </c>
      <c r="X666" s="3">
        <f t="shared" si="100"/>
        <v>11</v>
      </c>
      <c r="Y666">
        <f t="shared" si="101"/>
        <v>52.041666666671517</v>
      </c>
      <c r="Z666">
        <f t="shared" si="102"/>
        <v>63.041666666671517</v>
      </c>
      <c r="AA666">
        <f t="shared" si="103"/>
        <v>163.46125000000029</v>
      </c>
      <c r="AB666">
        <f t="shared" si="104"/>
        <v>100.41958333332877</v>
      </c>
      <c r="AC666">
        <f>IFERROR(_xlfn.XLOOKUP(B666, HoldSummary!$A:$A, HoldSummary!B:B), 0)</f>
        <v>0</v>
      </c>
      <c r="AD666">
        <f>IFERROR(_xlfn.XLOOKUP(B666, HoldSummary!$A:$A, HoldSummary!C:C), 0)</f>
        <v>0</v>
      </c>
      <c r="AE666">
        <f>IFERROR(_xlfn.XLOOKUP(B666, HoldSummary!$A:$A, HoldSummary!D:D), 0)</f>
        <v>0</v>
      </c>
      <c r="AF666">
        <f>IFERROR(_xlfn.XLOOKUP(B666, HoldSummary!$A:$A, HoldSummary!E:E), 0)</f>
        <v>0</v>
      </c>
      <c r="AG666">
        <f>IFERROR(_xlfn.XLOOKUP(B666, HoldSummary!$A:$A, HoldSummary!F:F), 0)</f>
        <v>0</v>
      </c>
      <c r="AH666">
        <f>IFERROR(_xlfn.XLOOKUP(B666, HoldSummary!$A:$A, HoldSummary!G:G), 0)</f>
        <v>0</v>
      </c>
      <c r="AI666">
        <f>IFERROR(_xlfn.XLOOKUP(B666, HoldSummary!$A:$A, HoldSummary!H:H), 0)</f>
        <v>0</v>
      </c>
      <c r="AJ666">
        <f>IFERROR(_xlfn.XLOOKUP(B666, HoldSummary!$A:$A, HoldSummary!I:I), 0)</f>
        <v>0</v>
      </c>
      <c r="AK666">
        <f t="shared" si="105"/>
        <v>0</v>
      </c>
      <c r="AL666">
        <f t="shared" si="106"/>
        <v>163.46125000000029</v>
      </c>
      <c r="AM666">
        <f t="shared" si="107"/>
        <v>100.41958333332877</v>
      </c>
      <c r="AN666" s="12">
        <f t="shared" si="108"/>
        <v>51.791666666664241</v>
      </c>
      <c r="AO666">
        <f t="shared" si="109"/>
        <v>0</v>
      </c>
    </row>
    <row r="667" spans="1:41" x14ac:dyDescent="0.35">
      <c r="A667" t="s">
        <v>23</v>
      </c>
      <c r="B667" t="s">
        <v>1488</v>
      </c>
      <c r="C667" t="s">
        <v>43</v>
      </c>
      <c r="D667" t="s">
        <v>44</v>
      </c>
      <c r="E667" t="s">
        <v>45</v>
      </c>
      <c r="F667" t="s">
        <v>1441</v>
      </c>
      <c r="G667">
        <v>3</v>
      </c>
      <c r="H667" t="s">
        <v>1489</v>
      </c>
      <c r="I667" t="s">
        <v>30</v>
      </c>
      <c r="J667" t="s">
        <v>70</v>
      </c>
      <c r="K667" t="s">
        <v>48</v>
      </c>
      <c r="L667" t="s">
        <v>49</v>
      </c>
      <c r="N667" s="2">
        <v>45266.556898148148</v>
      </c>
      <c r="O667" s="2">
        <v>45345.208333333336</v>
      </c>
      <c r="P667" s="2">
        <v>45345.208333333336</v>
      </c>
      <c r="Q667" s="2">
        <v>45343</v>
      </c>
      <c r="R667" s="2">
        <v>45344.594350752312</v>
      </c>
      <c r="T667" s="2"/>
      <c r="U667" s="2"/>
      <c r="V667" s="2"/>
      <c r="W667" s="2"/>
      <c r="X667" s="3" t="str">
        <f t="shared" si="100"/>
        <v/>
      </c>
      <c r="Y667" t="str">
        <f t="shared" si="101"/>
        <v/>
      </c>
      <c r="Z667">
        <f t="shared" si="102"/>
        <v>0</v>
      </c>
      <c r="AA667">
        <f t="shared" si="103"/>
        <v>76.443101851851679</v>
      </c>
      <c r="AB667">
        <f t="shared" si="104"/>
        <v>76.443101851851679</v>
      </c>
      <c r="AC667">
        <f>IFERROR(_xlfn.XLOOKUP(B667, HoldSummary!$A:$A, HoldSummary!B:B), 0)</f>
        <v>0</v>
      </c>
      <c r="AD667">
        <f>IFERROR(_xlfn.XLOOKUP(B667, HoldSummary!$A:$A, HoldSummary!C:C), 0)</f>
        <v>0</v>
      </c>
      <c r="AE667">
        <f>IFERROR(_xlfn.XLOOKUP(B667, HoldSummary!$A:$A, HoldSummary!D:D), 0)</f>
        <v>0</v>
      </c>
      <c r="AF667">
        <f>IFERROR(_xlfn.XLOOKUP(B667, HoldSummary!$A:$A, HoldSummary!E:E), 0)</f>
        <v>0</v>
      </c>
      <c r="AG667">
        <f>IFERROR(_xlfn.XLOOKUP(B667, HoldSummary!$A:$A, HoldSummary!F:F), 0)</f>
        <v>0</v>
      </c>
      <c r="AH667">
        <f>IFERROR(_xlfn.XLOOKUP(B667, HoldSummary!$A:$A, HoldSummary!G:G), 0)</f>
        <v>0</v>
      </c>
      <c r="AI667">
        <f>IFERROR(_xlfn.XLOOKUP(B667, HoldSummary!$A:$A, HoldSummary!H:H), 0)</f>
        <v>0</v>
      </c>
      <c r="AJ667">
        <f>IFERROR(_xlfn.XLOOKUP(B667, HoldSummary!$A:$A, HoldSummary!I:I), 0)</f>
        <v>0</v>
      </c>
      <c r="AK667">
        <f t="shared" si="105"/>
        <v>0</v>
      </c>
      <c r="AL667">
        <f t="shared" si="106"/>
        <v>76.443101851851679</v>
      </c>
      <c r="AM667">
        <f t="shared" si="107"/>
        <v>76.443101851851679</v>
      </c>
      <c r="AN667" s="12">
        <f t="shared" si="108"/>
        <v>-2.2083333333357587</v>
      </c>
      <c r="AO667">
        <f t="shared" si="109"/>
        <v>1</v>
      </c>
    </row>
    <row r="668" spans="1:41" x14ac:dyDescent="0.35">
      <c r="A668" t="s">
        <v>23</v>
      </c>
      <c r="B668" t="s">
        <v>1490</v>
      </c>
      <c r="C668" t="s">
        <v>43</v>
      </c>
      <c r="D668" t="s">
        <v>44</v>
      </c>
      <c r="E668" t="s">
        <v>45</v>
      </c>
      <c r="F668" t="s">
        <v>1441</v>
      </c>
      <c r="G668">
        <v>3</v>
      </c>
      <c r="H668" t="s">
        <v>1491</v>
      </c>
      <c r="I668" t="s">
        <v>30</v>
      </c>
      <c r="J668" t="s">
        <v>70</v>
      </c>
      <c r="K668" t="s">
        <v>174</v>
      </c>
      <c r="L668" t="s">
        <v>174</v>
      </c>
      <c r="N668" s="2">
        <v>45302.78707175926</v>
      </c>
      <c r="O668" s="2">
        <v>45380.166666666664</v>
      </c>
      <c r="P668" s="2">
        <v>45356.208333333336</v>
      </c>
      <c r="Q668" s="2">
        <v>45355</v>
      </c>
      <c r="R668" s="2">
        <v>45356.640218148146</v>
      </c>
      <c r="S668" t="s">
        <v>1492</v>
      </c>
      <c r="T668" s="2"/>
      <c r="U668" s="2"/>
      <c r="V668" s="2"/>
      <c r="W668" s="2"/>
      <c r="X668" s="3" t="str">
        <f t="shared" si="100"/>
        <v/>
      </c>
      <c r="Y668" t="str">
        <f t="shared" si="101"/>
        <v/>
      </c>
      <c r="Z668">
        <f t="shared" si="102"/>
        <v>0</v>
      </c>
      <c r="AA668">
        <f t="shared" si="103"/>
        <v>52.212928240740439</v>
      </c>
      <c r="AB668">
        <f t="shared" si="104"/>
        <v>52.212928240740439</v>
      </c>
      <c r="AC668">
        <f>IFERROR(_xlfn.XLOOKUP(B668, HoldSummary!$A:$A, HoldSummary!B:B), 0)</f>
        <v>0</v>
      </c>
      <c r="AD668">
        <f>IFERROR(_xlfn.XLOOKUP(B668, HoldSummary!$A:$A, HoldSummary!C:C), 0)</f>
        <v>0</v>
      </c>
      <c r="AE668">
        <f>IFERROR(_xlfn.XLOOKUP(B668, HoldSummary!$A:$A, HoldSummary!D:D), 0)</f>
        <v>0</v>
      </c>
      <c r="AF668">
        <f>IFERROR(_xlfn.XLOOKUP(B668, HoldSummary!$A:$A, HoldSummary!E:E), 0)</f>
        <v>0</v>
      </c>
      <c r="AG668">
        <f>IFERROR(_xlfn.XLOOKUP(B668, HoldSummary!$A:$A, HoldSummary!F:F), 0)</f>
        <v>0</v>
      </c>
      <c r="AH668">
        <f>IFERROR(_xlfn.XLOOKUP(B668, HoldSummary!$A:$A, HoldSummary!G:G), 0)</f>
        <v>0</v>
      </c>
      <c r="AI668">
        <f>IFERROR(_xlfn.XLOOKUP(B668, HoldSummary!$A:$A, HoldSummary!H:H), 0)</f>
        <v>0</v>
      </c>
      <c r="AJ668">
        <f>IFERROR(_xlfn.XLOOKUP(B668, HoldSummary!$A:$A, HoldSummary!I:I), 0)</f>
        <v>0</v>
      </c>
      <c r="AK668">
        <f t="shared" si="105"/>
        <v>0</v>
      </c>
      <c r="AL668">
        <f t="shared" si="106"/>
        <v>52.212928240740439</v>
      </c>
      <c r="AM668">
        <f t="shared" si="107"/>
        <v>52.212928240740439</v>
      </c>
      <c r="AN668" s="12">
        <f t="shared" si="108"/>
        <v>-25.166666666664241</v>
      </c>
      <c r="AO668">
        <f t="shared" si="109"/>
        <v>1</v>
      </c>
    </row>
    <row r="669" spans="1:41" x14ac:dyDescent="0.35">
      <c r="A669" t="s">
        <v>23</v>
      </c>
      <c r="B669" t="s">
        <v>1493</v>
      </c>
      <c r="C669" t="s">
        <v>43</v>
      </c>
      <c r="D669" t="s">
        <v>44</v>
      </c>
      <c r="E669" t="s">
        <v>45</v>
      </c>
      <c r="F669" t="s">
        <v>1441</v>
      </c>
      <c r="G669">
        <v>3</v>
      </c>
      <c r="H669" t="s">
        <v>1494</v>
      </c>
      <c r="I669" t="s">
        <v>30</v>
      </c>
      <c r="J669" t="s">
        <v>300</v>
      </c>
      <c r="K669" t="s">
        <v>38</v>
      </c>
      <c r="L669" t="s">
        <v>39</v>
      </c>
      <c r="N669" s="2">
        <v>45394.727349537039</v>
      </c>
      <c r="O669" s="2">
        <v>45449.166666666664</v>
      </c>
      <c r="P669" s="2">
        <v>45548.166666666664</v>
      </c>
      <c r="Q669" s="2">
        <v>45544</v>
      </c>
      <c r="R669" s="2">
        <v>45545.616731956019</v>
      </c>
      <c r="S669" t="s">
        <v>231</v>
      </c>
      <c r="T669" s="2">
        <v>45406.166666666664</v>
      </c>
      <c r="U669" s="2">
        <v>45436.166666666664</v>
      </c>
      <c r="V669" s="2">
        <v>45436.166666666664</v>
      </c>
      <c r="W669" s="2">
        <v>45464.166666666664</v>
      </c>
      <c r="X669" s="3">
        <f t="shared" si="100"/>
        <v>30</v>
      </c>
      <c r="Y669">
        <f t="shared" si="101"/>
        <v>28</v>
      </c>
      <c r="Z669">
        <f t="shared" si="102"/>
        <v>58</v>
      </c>
      <c r="AA669">
        <f t="shared" si="103"/>
        <v>149.27265046296088</v>
      </c>
      <c r="AB669">
        <f t="shared" si="104"/>
        <v>91.272650462960883</v>
      </c>
      <c r="AC669">
        <f>IFERROR(_xlfn.XLOOKUP(B669, HoldSummary!$A:$A, HoldSummary!B:B), 0)</f>
        <v>0</v>
      </c>
      <c r="AD669">
        <f>IFERROR(_xlfn.XLOOKUP(B669, HoldSummary!$A:$A, HoldSummary!C:C), 0)</f>
        <v>0</v>
      </c>
      <c r="AE669">
        <f>IFERROR(_xlfn.XLOOKUP(B669, HoldSummary!$A:$A, HoldSummary!D:D), 0)</f>
        <v>0</v>
      </c>
      <c r="AF669">
        <f>IFERROR(_xlfn.XLOOKUP(B669, HoldSummary!$A:$A, HoldSummary!E:E), 0)</f>
        <v>0</v>
      </c>
      <c r="AG669">
        <f>IFERROR(_xlfn.XLOOKUP(B669, HoldSummary!$A:$A, HoldSummary!F:F), 0)</f>
        <v>0</v>
      </c>
      <c r="AH669">
        <f>IFERROR(_xlfn.XLOOKUP(B669, HoldSummary!$A:$A, HoldSummary!G:G), 0)</f>
        <v>0</v>
      </c>
      <c r="AI669">
        <f>IFERROR(_xlfn.XLOOKUP(B669, HoldSummary!$A:$A, HoldSummary!H:H), 0)</f>
        <v>0</v>
      </c>
      <c r="AJ669">
        <f>IFERROR(_xlfn.XLOOKUP(B669, HoldSummary!$A:$A, HoldSummary!I:I), 0)</f>
        <v>0</v>
      </c>
      <c r="AK669">
        <f t="shared" si="105"/>
        <v>0</v>
      </c>
      <c r="AL669">
        <f t="shared" si="106"/>
        <v>149.27265046296088</v>
      </c>
      <c r="AM669">
        <f t="shared" si="107"/>
        <v>91.272650462960883</v>
      </c>
      <c r="AN669" s="12">
        <f t="shared" si="108"/>
        <v>94.833333333335759</v>
      </c>
      <c r="AO669">
        <f t="shared" si="109"/>
        <v>0</v>
      </c>
    </row>
    <row r="670" spans="1:41" x14ac:dyDescent="0.35">
      <c r="A670" t="s">
        <v>23</v>
      </c>
      <c r="B670" t="s">
        <v>1495</v>
      </c>
      <c r="C670" t="s">
        <v>76</v>
      </c>
      <c r="D670" t="s">
        <v>44</v>
      </c>
      <c r="E670" t="s">
        <v>45</v>
      </c>
      <c r="F670" t="s">
        <v>1441</v>
      </c>
      <c r="G670">
        <v>3</v>
      </c>
      <c r="H670" t="s">
        <v>1496</v>
      </c>
      <c r="I670" t="s">
        <v>30</v>
      </c>
      <c r="J670" t="s">
        <v>31</v>
      </c>
      <c r="K670" t="s">
        <v>32</v>
      </c>
      <c r="L670" t="s">
        <v>32</v>
      </c>
      <c r="M670" t="s">
        <v>33</v>
      </c>
      <c r="N670" s="2">
        <v>45530.756597222222</v>
      </c>
      <c r="O670" s="2">
        <v>45616.208333333336</v>
      </c>
      <c r="P670" s="2">
        <v>45589.166666666664</v>
      </c>
      <c r="Q670" s="2">
        <v>45586</v>
      </c>
      <c r="R670" s="2">
        <v>45586.728112511577</v>
      </c>
      <c r="S670" t="s">
        <v>834</v>
      </c>
      <c r="T670" s="2">
        <v>45551.166666666664</v>
      </c>
      <c r="U670" s="2">
        <v>45555.166666666664</v>
      </c>
      <c r="V670" s="2">
        <v>45555.166666666664</v>
      </c>
      <c r="W670" s="2">
        <v>45558.166666666664</v>
      </c>
      <c r="X670" s="3">
        <f t="shared" si="100"/>
        <v>4</v>
      </c>
      <c r="Y670">
        <f t="shared" si="101"/>
        <v>3</v>
      </c>
      <c r="Z670">
        <f t="shared" si="102"/>
        <v>7</v>
      </c>
      <c r="AA670">
        <f t="shared" si="103"/>
        <v>55.243402777778101</v>
      </c>
      <c r="AB670">
        <f t="shared" si="104"/>
        <v>48.243402777778101</v>
      </c>
      <c r="AC670">
        <f>IFERROR(_xlfn.XLOOKUP(B670, HoldSummary!$A:$A, HoldSummary!B:B), 0)</f>
        <v>0</v>
      </c>
      <c r="AD670">
        <f>IFERROR(_xlfn.XLOOKUP(B670, HoldSummary!$A:$A, HoldSummary!C:C), 0)</f>
        <v>0</v>
      </c>
      <c r="AE670">
        <f>IFERROR(_xlfn.XLOOKUP(B670, HoldSummary!$A:$A, HoldSummary!D:D), 0)</f>
        <v>0</v>
      </c>
      <c r="AF670">
        <f>IFERROR(_xlfn.XLOOKUP(B670, HoldSummary!$A:$A, HoldSummary!E:E), 0)</f>
        <v>0</v>
      </c>
      <c r="AG670">
        <f>IFERROR(_xlfn.XLOOKUP(B670, HoldSummary!$A:$A, HoldSummary!F:F), 0)</f>
        <v>0</v>
      </c>
      <c r="AH670">
        <f>IFERROR(_xlfn.XLOOKUP(B670, HoldSummary!$A:$A, HoldSummary!G:G), 0)</f>
        <v>0</v>
      </c>
      <c r="AI670">
        <f>IFERROR(_xlfn.XLOOKUP(B670, HoldSummary!$A:$A, HoldSummary!H:H), 0)</f>
        <v>0</v>
      </c>
      <c r="AJ670">
        <f>IFERROR(_xlfn.XLOOKUP(B670, HoldSummary!$A:$A, HoldSummary!I:I), 0)</f>
        <v>0</v>
      </c>
      <c r="AK670">
        <f t="shared" si="105"/>
        <v>0</v>
      </c>
      <c r="AL670">
        <f t="shared" si="106"/>
        <v>55.243402777778101</v>
      </c>
      <c r="AM670">
        <f t="shared" si="107"/>
        <v>48.243402777778101</v>
      </c>
      <c r="AN670" s="12">
        <f t="shared" si="108"/>
        <v>-30.208333333335759</v>
      </c>
      <c r="AO670">
        <f t="shared" si="109"/>
        <v>1</v>
      </c>
    </row>
    <row r="671" spans="1:41" x14ac:dyDescent="0.35">
      <c r="A671" t="s">
        <v>23</v>
      </c>
      <c r="B671" t="s">
        <v>1497</v>
      </c>
      <c r="C671" t="s">
        <v>54</v>
      </c>
      <c r="D671" t="s">
        <v>44</v>
      </c>
      <c r="E671" t="s">
        <v>45</v>
      </c>
      <c r="F671" t="s">
        <v>1441</v>
      </c>
      <c r="G671">
        <v>4</v>
      </c>
      <c r="H671" t="s">
        <v>1498</v>
      </c>
      <c r="I671" t="s">
        <v>30</v>
      </c>
      <c r="J671" t="s">
        <v>70</v>
      </c>
      <c r="K671" t="s">
        <v>349</v>
      </c>
      <c r="L671" t="s">
        <v>414</v>
      </c>
      <c r="N671" s="2">
        <v>44692.883518518516</v>
      </c>
      <c r="O671" s="2">
        <v>44915.208333333336</v>
      </c>
      <c r="P671" s="2">
        <v>45484.166666666664</v>
      </c>
      <c r="Q671" s="2">
        <v>45530</v>
      </c>
      <c r="R671" s="2">
        <v>45530.800225277781</v>
      </c>
      <c r="S671" t="s">
        <v>256</v>
      </c>
      <c r="T671" s="2">
        <v>44852.166666666664</v>
      </c>
      <c r="U671" s="2">
        <v>45008.166666666664</v>
      </c>
      <c r="V671" s="2">
        <v>45008.166666666664</v>
      </c>
      <c r="W671" s="2">
        <v>45409.166666666664</v>
      </c>
      <c r="X671" s="3">
        <f t="shared" si="100"/>
        <v>156</v>
      </c>
      <c r="Y671">
        <f t="shared" si="101"/>
        <v>401</v>
      </c>
      <c r="Z671">
        <f t="shared" si="102"/>
        <v>557</v>
      </c>
      <c r="AA671">
        <f t="shared" si="103"/>
        <v>837.11648148148379</v>
      </c>
      <c r="AB671">
        <f t="shared" si="104"/>
        <v>280.11648148148379</v>
      </c>
      <c r="AC671">
        <f>IFERROR(_xlfn.XLOOKUP(B671, HoldSummary!$A:$A, HoldSummary!B:B), 0)</f>
        <v>0</v>
      </c>
      <c r="AD671">
        <f>IFERROR(_xlfn.XLOOKUP(B671, HoldSummary!$A:$A, HoldSummary!C:C), 0)</f>
        <v>0</v>
      </c>
      <c r="AE671">
        <f>IFERROR(_xlfn.XLOOKUP(B671, HoldSummary!$A:$A, HoldSummary!D:D), 0)</f>
        <v>0</v>
      </c>
      <c r="AF671">
        <f>IFERROR(_xlfn.XLOOKUP(B671, HoldSummary!$A:$A, HoldSummary!E:E), 0)</f>
        <v>0</v>
      </c>
      <c r="AG671">
        <f>IFERROR(_xlfn.XLOOKUP(B671, HoldSummary!$A:$A, HoldSummary!F:F), 0)</f>
        <v>0</v>
      </c>
      <c r="AH671">
        <f>IFERROR(_xlfn.XLOOKUP(B671, HoldSummary!$A:$A, HoldSummary!G:G), 0)</f>
        <v>0</v>
      </c>
      <c r="AI671">
        <f>IFERROR(_xlfn.XLOOKUP(B671, HoldSummary!$A:$A, HoldSummary!H:H), 0)</f>
        <v>0</v>
      </c>
      <c r="AJ671">
        <f>IFERROR(_xlfn.XLOOKUP(B671, HoldSummary!$A:$A, HoldSummary!I:I), 0)</f>
        <v>13.985286840274057</v>
      </c>
      <c r="AK671">
        <f t="shared" si="105"/>
        <v>13.985286840274057</v>
      </c>
      <c r="AL671">
        <f t="shared" si="106"/>
        <v>823.13119464120973</v>
      </c>
      <c r="AM671">
        <f t="shared" si="107"/>
        <v>266.13119464120973</v>
      </c>
      <c r="AN671" s="12">
        <f t="shared" si="108"/>
        <v>614.79166666666424</v>
      </c>
      <c r="AO671">
        <f t="shared" si="109"/>
        <v>0</v>
      </c>
    </row>
    <row r="672" spans="1:41" x14ac:dyDescent="0.35">
      <c r="A672" t="s">
        <v>23</v>
      </c>
      <c r="B672" t="s">
        <v>1499</v>
      </c>
      <c r="C672" t="s">
        <v>76</v>
      </c>
      <c r="D672" t="s">
        <v>44</v>
      </c>
      <c r="E672" t="s">
        <v>45</v>
      </c>
      <c r="F672" t="s">
        <v>1441</v>
      </c>
      <c r="G672">
        <v>4</v>
      </c>
      <c r="H672" t="s">
        <v>1500</v>
      </c>
      <c r="I672" t="s">
        <v>30</v>
      </c>
      <c r="J672" t="s">
        <v>31</v>
      </c>
      <c r="K672" t="s">
        <v>32</v>
      </c>
      <c r="L672" t="s">
        <v>39</v>
      </c>
      <c r="N672" s="2">
        <v>45026.941446759258</v>
      </c>
      <c r="O672" s="2">
        <v>45197.166666666664</v>
      </c>
      <c r="P672" s="2">
        <v>45491.166666666664</v>
      </c>
      <c r="Q672" s="2">
        <v>45490</v>
      </c>
      <c r="R672" s="2">
        <v>45490.671220023149</v>
      </c>
      <c r="S672" t="s">
        <v>215</v>
      </c>
      <c r="T672" s="2">
        <v>45224.166666666664</v>
      </c>
      <c r="U672" s="2">
        <v>45282.208333333336</v>
      </c>
      <c r="V672" s="2">
        <v>45282.208333333336</v>
      </c>
      <c r="W672" s="2">
        <v>45344.208333333336</v>
      </c>
      <c r="X672" s="3">
        <f t="shared" si="100"/>
        <v>58.041666666671517</v>
      </c>
      <c r="Y672">
        <f t="shared" si="101"/>
        <v>62</v>
      </c>
      <c r="Z672">
        <f t="shared" si="102"/>
        <v>120.04166666667152</v>
      </c>
      <c r="AA672">
        <f t="shared" si="103"/>
        <v>463.05855324074219</v>
      </c>
      <c r="AB672">
        <f t="shared" si="104"/>
        <v>343.01688657407067</v>
      </c>
      <c r="AC672">
        <f>IFERROR(_xlfn.XLOOKUP(B672, HoldSummary!$A:$A, HoldSummary!B:B), 0)</f>
        <v>0</v>
      </c>
      <c r="AD672">
        <f>IFERROR(_xlfn.XLOOKUP(B672, HoldSummary!$A:$A, HoldSummary!C:C), 0)</f>
        <v>0</v>
      </c>
      <c r="AE672">
        <f>IFERROR(_xlfn.XLOOKUP(B672, HoldSummary!$A:$A, HoldSummary!D:D), 0)</f>
        <v>0</v>
      </c>
      <c r="AF672">
        <f>IFERROR(_xlfn.XLOOKUP(B672, HoldSummary!$A:$A, HoldSummary!E:E), 0)</f>
        <v>0</v>
      </c>
      <c r="AG672">
        <f>IFERROR(_xlfn.XLOOKUP(B672, HoldSummary!$A:$A, HoldSummary!F:F), 0)</f>
        <v>0</v>
      </c>
      <c r="AH672">
        <f>IFERROR(_xlfn.XLOOKUP(B672, HoldSummary!$A:$A, HoldSummary!G:G), 0)</f>
        <v>0</v>
      </c>
      <c r="AI672">
        <f>IFERROR(_xlfn.XLOOKUP(B672, HoldSummary!$A:$A, HoldSummary!H:H), 0)</f>
        <v>0</v>
      </c>
      <c r="AJ672">
        <f>IFERROR(_xlfn.XLOOKUP(B672, HoldSummary!$A:$A, HoldSummary!I:I), 0)</f>
        <v>0</v>
      </c>
      <c r="AK672">
        <f t="shared" si="105"/>
        <v>0</v>
      </c>
      <c r="AL672">
        <f t="shared" si="106"/>
        <v>463.05855324074219</v>
      </c>
      <c r="AM672">
        <f t="shared" si="107"/>
        <v>343.01688657407067</v>
      </c>
      <c r="AN672" s="12">
        <f t="shared" si="108"/>
        <v>292.83333333333576</v>
      </c>
      <c r="AO672">
        <f t="shared" si="109"/>
        <v>0</v>
      </c>
    </row>
    <row r="673" spans="1:41" x14ac:dyDescent="0.35">
      <c r="A673" t="s">
        <v>23</v>
      </c>
      <c r="B673" t="s">
        <v>1501</v>
      </c>
      <c r="C673" t="s">
        <v>76</v>
      </c>
      <c r="D673" t="s">
        <v>44</v>
      </c>
      <c r="E673" t="s">
        <v>45</v>
      </c>
      <c r="F673" t="s">
        <v>1441</v>
      </c>
      <c r="G673">
        <v>4</v>
      </c>
      <c r="H673" t="s">
        <v>1502</v>
      </c>
      <c r="I673" t="s">
        <v>30</v>
      </c>
      <c r="J673" t="s">
        <v>31</v>
      </c>
      <c r="K673" t="s">
        <v>48</v>
      </c>
      <c r="L673" t="s">
        <v>49</v>
      </c>
      <c r="N673" s="2">
        <v>45140.502118055556</v>
      </c>
      <c r="O673" s="2">
        <v>45246.208333333336</v>
      </c>
      <c r="P673" s="2">
        <v>45302.208333333336</v>
      </c>
      <c r="Q673" s="2">
        <v>45295</v>
      </c>
      <c r="R673" s="2">
        <v>45295.874918379632</v>
      </c>
      <c r="T673" s="2">
        <v>45175.166666666664</v>
      </c>
      <c r="U673" s="2">
        <v>45212.166666666664</v>
      </c>
      <c r="V673" s="2">
        <v>45212.166666666664</v>
      </c>
      <c r="W673" s="2">
        <v>45251.208333333336</v>
      </c>
      <c r="X673" s="3">
        <f t="shared" si="100"/>
        <v>37</v>
      </c>
      <c r="Y673">
        <f t="shared" si="101"/>
        <v>39.041666666671517</v>
      </c>
      <c r="Z673">
        <f t="shared" si="102"/>
        <v>76.041666666671517</v>
      </c>
      <c r="AA673">
        <f t="shared" si="103"/>
        <v>154.49788194444409</v>
      </c>
      <c r="AB673">
        <f t="shared" si="104"/>
        <v>78.456215277772571</v>
      </c>
      <c r="AC673">
        <f>IFERROR(_xlfn.XLOOKUP(B673, HoldSummary!$A:$A, HoldSummary!B:B), 0)</f>
        <v>0</v>
      </c>
      <c r="AD673">
        <f>IFERROR(_xlfn.XLOOKUP(B673, HoldSummary!$A:$A, HoldSummary!C:C), 0)</f>
        <v>0</v>
      </c>
      <c r="AE673">
        <f>IFERROR(_xlfn.XLOOKUP(B673, HoldSummary!$A:$A, HoldSummary!D:D), 0)</f>
        <v>0</v>
      </c>
      <c r="AF673">
        <f>IFERROR(_xlfn.XLOOKUP(B673, HoldSummary!$A:$A, HoldSummary!E:E), 0)</f>
        <v>0</v>
      </c>
      <c r="AG673">
        <f>IFERROR(_xlfn.XLOOKUP(B673, HoldSummary!$A:$A, HoldSummary!F:F), 0)</f>
        <v>0</v>
      </c>
      <c r="AH673">
        <f>IFERROR(_xlfn.XLOOKUP(B673, HoldSummary!$A:$A, HoldSummary!G:G), 0)</f>
        <v>0</v>
      </c>
      <c r="AI673">
        <f>IFERROR(_xlfn.XLOOKUP(B673, HoldSummary!$A:$A, HoldSummary!H:H), 0)</f>
        <v>0</v>
      </c>
      <c r="AJ673">
        <f>IFERROR(_xlfn.XLOOKUP(B673, HoldSummary!$A:$A, HoldSummary!I:I), 0)</f>
        <v>0</v>
      </c>
      <c r="AK673">
        <f t="shared" si="105"/>
        <v>0</v>
      </c>
      <c r="AL673">
        <f t="shared" si="106"/>
        <v>154.49788194444409</v>
      </c>
      <c r="AM673">
        <f t="shared" si="107"/>
        <v>78.456215277772571</v>
      </c>
      <c r="AN673" s="12">
        <f t="shared" si="108"/>
        <v>48.791666666664241</v>
      </c>
      <c r="AO673">
        <f t="shared" si="109"/>
        <v>0</v>
      </c>
    </row>
    <row r="674" spans="1:41" x14ac:dyDescent="0.35">
      <c r="A674" t="s">
        <v>23</v>
      </c>
      <c r="B674" t="s">
        <v>1503</v>
      </c>
      <c r="C674" t="s">
        <v>135</v>
      </c>
      <c r="D674" t="s">
        <v>44</v>
      </c>
      <c r="E674" t="s">
        <v>45</v>
      </c>
      <c r="F674" t="s">
        <v>1441</v>
      </c>
      <c r="G674">
        <v>4</v>
      </c>
      <c r="H674" t="s">
        <v>1504</v>
      </c>
      <c r="I674" t="s">
        <v>30</v>
      </c>
      <c r="J674" t="s">
        <v>31</v>
      </c>
      <c r="K674" t="s">
        <v>32</v>
      </c>
      <c r="L674" t="s">
        <v>32</v>
      </c>
      <c r="N674" s="2">
        <v>45167.720775462964</v>
      </c>
      <c r="O674" s="2">
        <v>45268.208333333336</v>
      </c>
      <c r="P674" s="2">
        <v>45394.166666666664</v>
      </c>
      <c r="Q674" s="2">
        <v>45386</v>
      </c>
      <c r="R674" s="2">
        <v>45390.755308692133</v>
      </c>
      <c r="S674" t="s">
        <v>198</v>
      </c>
      <c r="T674" s="2">
        <v>45197.166666666664</v>
      </c>
      <c r="U674" s="2">
        <v>45205.166666666664</v>
      </c>
      <c r="V674" s="2">
        <v>45205.166666666664</v>
      </c>
      <c r="W674" s="2">
        <v>45322.208333333336</v>
      </c>
      <c r="X674" s="3">
        <f t="shared" si="100"/>
        <v>8</v>
      </c>
      <c r="Y674">
        <f t="shared" si="101"/>
        <v>117.04166666667152</v>
      </c>
      <c r="Z674">
        <f t="shared" si="102"/>
        <v>125.04166666667152</v>
      </c>
      <c r="AA674">
        <f t="shared" si="103"/>
        <v>218.2792245370365</v>
      </c>
      <c r="AB674">
        <f t="shared" si="104"/>
        <v>93.237557870364981</v>
      </c>
      <c r="AC674">
        <f>IFERROR(_xlfn.XLOOKUP(B674, HoldSummary!$A:$A, HoldSummary!B:B), 0)</f>
        <v>0</v>
      </c>
      <c r="AD674">
        <f>IFERROR(_xlfn.XLOOKUP(B674, HoldSummary!$A:$A, HoldSummary!C:C), 0)</f>
        <v>0</v>
      </c>
      <c r="AE674">
        <f>IFERROR(_xlfn.XLOOKUP(B674, HoldSummary!$A:$A, HoldSummary!D:D), 0)</f>
        <v>0</v>
      </c>
      <c r="AF674">
        <f>IFERROR(_xlfn.XLOOKUP(B674, HoldSummary!$A:$A, HoldSummary!E:E), 0)</f>
        <v>0</v>
      </c>
      <c r="AG674">
        <f>IFERROR(_xlfn.XLOOKUP(B674, HoldSummary!$A:$A, HoldSummary!F:F), 0)</f>
        <v>0</v>
      </c>
      <c r="AH674">
        <f>IFERROR(_xlfn.XLOOKUP(B674, HoldSummary!$A:$A, HoldSummary!G:G), 0)</f>
        <v>0</v>
      </c>
      <c r="AI674">
        <f>IFERROR(_xlfn.XLOOKUP(B674, HoldSummary!$A:$A, HoldSummary!H:H), 0)</f>
        <v>0</v>
      </c>
      <c r="AJ674">
        <f>IFERROR(_xlfn.XLOOKUP(B674, HoldSummary!$A:$A, HoldSummary!I:I), 0)</f>
        <v>0</v>
      </c>
      <c r="AK674">
        <f t="shared" si="105"/>
        <v>0</v>
      </c>
      <c r="AL674">
        <f t="shared" si="106"/>
        <v>218.2792245370365</v>
      </c>
      <c r="AM674">
        <f t="shared" si="107"/>
        <v>93.237557870364981</v>
      </c>
      <c r="AN674" s="12">
        <f t="shared" si="108"/>
        <v>117.79166666666424</v>
      </c>
      <c r="AO674">
        <f t="shared" si="109"/>
        <v>0</v>
      </c>
    </row>
    <row r="675" spans="1:41" x14ac:dyDescent="0.35">
      <c r="A675" t="s">
        <v>23</v>
      </c>
      <c r="B675" t="s">
        <v>1505</v>
      </c>
      <c r="C675" t="s">
        <v>130</v>
      </c>
      <c r="D675" t="s">
        <v>44</v>
      </c>
      <c r="E675" t="s">
        <v>45</v>
      </c>
      <c r="F675" t="s">
        <v>1441</v>
      </c>
      <c r="G675">
        <v>4</v>
      </c>
      <c r="H675" t="s">
        <v>1506</v>
      </c>
      <c r="I675" t="s">
        <v>30</v>
      </c>
      <c r="J675" t="s">
        <v>31</v>
      </c>
      <c r="K675" t="s">
        <v>48</v>
      </c>
      <c r="L675" t="s">
        <v>39</v>
      </c>
      <c r="N675" s="2">
        <v>45243.566990740743</v>
      </c>
      <c r="O675" s="2">
        <v>45392.166666666664</v>
      </c>
      <c r="P675" s="2">
        <v>45568.166666666664</v>
      </c>
      <c r="Q675" s="2">
        <v>45552</v>
      </c>
      <c r="R675" s="2">
        <v>45552.803311099538</v>
      </c>
      <c r="S675" t="s">
        <v>1507</v>
      </c>
      <c r="T675" s="2">
        <v>45533.166666666664</v>
      </c>
      <c r="U675" s="2">
        <v>45533.166666666664</v>
      </c>
      <c r="V675" s="2">
        <v>45533.166666666664</v>
      </c>
      <c r="W675" s="2">
        <v>45547.166666666664</v>
      </c>
      <c r="X675" s="3">
        <f t="shared" si="100"/>
        <v>0</v>
      </c>
      <c r="Y675">
        <f t="shared" si="101"/>
        <v>14</v>
      </c>
      <c r="Z675">
        <f t="shared" si="102"/>
        <v>14</v>
      </c>
      <c r="AA675">
        <f t="shared" si="103"/>
        <v>308.43300925925723</v>
      </c>
      <c r="AB675">
        <f t="shared" si="104"/>
        <v>294.43300925925723</v>
      </c>
      <c r="AC675">
        <f>IFERROR(_xlfn.XLOOKUP(B675, HoldSummary!$A:$A, HoldSummary!B:B), 0)</f>
        <v>0</v>
      </c>
      <c r="AD675">
        <f>IFERROR(_xlfn.XLOOKUP(B675, HoldSummary!$A:$A, HoldSummary!C:C), 0)</f>
        <v>0</v>
      </c>
      <c r="AE675">
        <f>IFERROR(_xlfn.XLOOKUP(B675, HoldSummary!$A:$A, HoldSummary!D:D), 0)</f>
        <v>0</v>
      </c>
      <c r="AF675">
        <f>IFERROR(_xlfn.XLOOKUP(B675, HoldSummary!$A:$A, HoldSummary!E:E), 0)</f>
        <v>0</v>
      </c>
      <c r="AG675">
        <f>IFERROR(_xlfn.XLOOKUP(B675, HoldSummary!$A:$A, HoldSummary!F:F), 0)</f>
        <v>0</v>
      </c>
      <c r="AH675">
        <f>IFERROR(_xlfn.XLOOKUP(B675, HoldSummary!$A:$A, HoldSummary!G:G), 0)</f>
        <v>90.972815821762197</v>
      </c>
      <c r="AI675">
        <f>IFERROR(_xlfn.XLOOKUP(B675, HoldSummary!$A:$A, HoldSummary!H:H), 0)</f>
        <v>0</v>
      </c>
      <c r="AJ675">
        <f>IFERROR(_xlfn.XLOOKUP(B675, HoldSummary!$A:$A, HoldSummary!I:I), 0)</f>
        <v>0</v>
      </c>
      <c r="AK675">
        <f t="shared" si="105"/>
        <v>90.972815821762197</v>
      </c>
      <c r="AL675">
        <f t="shared" si="106"/>
        <v>217.46019343749504</v>
      </c>
      <c r="AM675">
        <f t="shared" si="107"/>
        <v>203.46019343749504</v>
      </c>
      <c r="AN675" s="12">
        <f t="shared" si="108"/>
        <v>159.83333333333576</v>
      </c>
      <c r="AO675">
        <f t="shared" si="109"/>
        <v>0</v>
      </c>
    </row>
    <row r="676" spans="1:41" x14ac:dyDescent="0.35">
      <c r="A676" t="s">
        <v>23</v>
      </c>
      <c r="B676" t="s">
        <v>1508</v>
      </c>
      <c r="C676" t="s">
        <v>130</v>
      </c>
      <c r="D676" t="s">
        <v>44</v>
      </c>
      <c r="E676" t="s">
        <v>45</v>
      </c>
      <c r="F676" t="s">
        <v>1441</v>
      </c>
      <c r="G676">
        <v>4</v>
      </c>
      <c r="H676" t="s">
        <v>1509</v>
      </c>
      <c r="I676" t="s">
        <v>30</v>
      </c>
      <c r="J676" t="s">
        <v>31</v>
      </c>
      <c r="K676" t="s">
        <v>38</v>
      </c>
      <c r="L676" t="s">
        <v>39</v>
      </c>
      <c r="N676" s="2">
        <v>45042.454363425924</v>
      </c>
      <c r="O676" s="2">
        <v>45519.166666666664</v>
      </c>
      <c r="P676" s="2">
        <v>45589.166666666664</v>
      </c>
      <c r="Q676" s="2">
        <v>45580</v>
      </c>
      <c r="R676" s="2">
        <v>45580.97107417824</v>
      </c>
      <c r="S676" t="s">
        <v>834</v>
      </c>
      <c r="T676" s="2">
        <v>45296.208333333336</v>
      </c>
      <c r="U676" s="2">
        <v>45310.208333333336</v>
      </c>
      <c r="V676" s="2">
        <v>45310.208333333336</v>
      </c>
      <c r="W676" s="2">
        <v>45504.166666666664</v>
      </c>
      <c r="X676" s="3">
        <f t="shared" si="100"/>
        <v>14</v>
      </c>
      <c r="Y676">
        <f t="shared" si="101"/>
        <v>193.95833333332848</v>
      </c>
      <c r="Z676">
        <f t="shared" si="102"/>
        <v>207.95833333332848</v>
      </c>
      <c r="AA676">
        <f t="shared" si="103"/>
        <v>537.54563657407562</v>
      </c>
      <c r="AB676">
        <f t="shared" si="104"/>
        <v>329.58730324074713</v>
      </c>
      <c r="AC676">
        <f>IFERROR(_xlfn.XLOOKUP(B676, HoldSummary!$A:$A, HoldSummary!B:B), 0)</f>
        <v>0</v>
      </c>
      <c r="AD676">
        <f>IFERROR(_xlfn.XLOOKUP(B676, HoldSummary!$A:$A, HoldSummary!C:C), 0)</f>
        <v>0</v>
      </c>
      <c r="AE676">
        <f>IFERROR(_xlfn.XLOOKUP(B676, HoldSummary!$A:$A, HoldSummary!D:D), 0)</f>
        <v>0</v>
      </c>
      <c r="AF676">
        <f>IFERROR(_xlfn.XLOOKUP(B676, HoldSummary!$A:$A, HoldSummary!E:E), 0)</f>
        <v>0</v>
      </c>
      <c r="AG676">
        <f>IFERROR(_xlfn.XLOOKUP(B676, HoldSummary!$A:$A, HoldSummary!F:F), 0)</f>
        <v>83</v>
      </c>
      <c r="AH676">
        <f>IFERROR(_xlfn.XLOOKUP(B676, HoldSummary!$A:$A, HoldSummary!G:G), 0)</f>
        <v>43</v>
      </c>
      <c r="AI676">
        <f>IFERROR(_xlfn.XLOOKUP(B676, HoldSummary!$A:$A, HoldSummary!H:H), 0)</f>
        <v>45</v>
      </c>
      <c r="AJ676">
        <f>IFERROR(_xlfn.XLOOKUP(B676, HoldSummary!$A:$A, HoldSummary!I:I), 0)</f>
        <v>2</v>
      </c>
      <c r="AK676">
        <f t="shared" si="105"/>
        <v>173</v>
      </c>
      <c r="AL676">
        <f t="shared" si="106"/>
        <v>364.54563657407562</v>
      </c>
      <c r="AM676">
        <f t="shared" si="107"/>
        <v>156.58730324074713</v>
      </c>
      <c r="AN676" s="12">
        <f t="shared" si="108"/>
        <v>60.833333333335759</v>
      </c>
      <c r="AO676">
        <f t="shared" si="109"/>
        <v>0</v>
      </c>
    </row>
    <row r="677" spans="1:41" x14ac:dyDescent="0.35">
      <c r="A677" t="s">
        <v>23</v>
      </c>
      <c r="B677" t="s">
        <v>1510</v>
      </c>
      <c r="C677" t="s">
        <v>43</v>
      </c>
      <c r="D677" t="s">
        <v>44</v>
      </c>
      <c r="E677" t="s">
        <v>45</v>
      </c>
      <c r="F677" t="s">
        <v>1441</v>
      </c>
      <c r="G677">
        <v>4</v>
      </c>
      <c r="H677" t="s">
        <v>1511</v>
      </c>
      <c r="I677" t="s">
        <v>30</v>
      </c>
      <c r="J677" t="s">
        <v>31</v>
      </c>
      <c r="K677" t="s">
        <v>48</v>
      </c>
      <c r="L677" t="s">
        <v>192</v>
      </c>
      <c r="N677" s="2">
        <v>45385.604178240741</v>
      </c>
      <c r="O677" s="2">
        <v>45413.166666666664</v>
      </c>
      <c r="P677" s="2">
        <v>45411.166666666664</v>
      </c>
      <c r="Q677" s="2">
        <v>45412</v>
      </c>
      <c r="R677" s="2">
        <v>45412.777105358793</v>
      </c>
      <c r="S677" t="s">
        <v>399</v>
      </c>
      <c r="T677" s="2">
        <v>45386.166666666664</v>
      </c>
      <c r="U677" s="2">
        <v>45390.166666666664</v>
      </c>
      <c r="V677" s="2">
        <v>45390.166666666664</v>
      </c>
      <c r="W677" s="2">
        <v>45397.166666666664</v>
      </c>
      <c r="X677" s="3">
        <f t="shared" si="100"/>
        <v>4</v>
      </c>
      <c r="Y677">
        <f t="shared" si="101"/>
        <v>7</v>
      </c>
      <c r="Z677">
        <f t="shared" si="102"/>
        <v>11</v>
      </c>
      <c r="AA677">
        <f t="shared" si="103"/>
        <v>26.395821759258979</v>
      </c>
      <c r="AB677">
        <f t="shared" si="104"/>
        <v>15.395821759258979</v>
      </c>
      <c r="AC677">
        <f>IFERROR(_xlfn.XLOOKUP(B677, HoldSummary!$A:$A, HoldSummary!B:B), 0)</f>
        <v>0</v>
      </c>
      <c r="AD677">
        <f>IFERROR(_xlfn.XLOOKUP(B677, HoldSummary!$A:$A, HoldSummary!C:C), 0)</f>
        <v>0</v>
      </c>
      <c r="AE677">
        <f>IFERROR(_xlfn.XLOOKUP(B677, HoldSummary!$A:$A, HoldSummary!D:D), 0)</f>
        <v>0</v>
      </c>
      <c r="AF677">
        <f>IFERROR(_xlfn.XLOOKUP(B677, HoldSummary!$A:$A, HoldSummary!E:E), 0)</f>
        <v>0</v>
      </c>
      <c r="AG677">
        <f>IFERROR(_xlfn.XLOOKUP(B677, HoldSummary!$A:$A, HoldSummary!F:F), 0)</f>
        <v>0</v>
      </c>
      <c r="AH677">
        <f>IFERROR(_xlfn.XLOOKUP(B677, HoldSummary!$A:$A, HoldSummary!G:G), 0)</f>
        <v>0</v>
      </c>
      <c r="AI677">
        <f>IFERROR(_xlfn.XLOOKUP(B677, HoldSummary!$A:$A, HoldSummary!H:H), 0)</f>
        <v>0</v>
      </c>
      <c r="AJ677">
        <f>IFERROR(_xlfn.XLOOKUP(B677, HoldSummary!$A:$A, HoldSummary!I:I), 0)</f>
        <v>0</v>
      </c>
      <c r="AK677">
        <f t="shared" si="105"/>
        <v>0</v>
      </c>
      <c r="AL677">
        <f t="shared" si="106"/>
        <v>26.395821759258979</v>
      </c>
      <c r="AM677">
        <f t="shared" si="107"/>
        <v>15.395821759258979</v>
      </c>
      <c r="AN677" s="12">
        <f t="shared" si="108"/>
        <v>-1.1666666666642413</v>
      </c>
      <c r="AO677">
        <f t="shared" si="109"/>
        <v>1</v>
      </c>
    </row>
    <row r="678" spans="1:41" x14ac:dyDescent="0.35">
      <c r="A678" t="s">
        <v>23</v>
      </c>
      <c r="B678" t="s">
        <v>1512</v>
      </c>
      <c r="C678" t="s">
        <v>51</v>
      </c>
      <c r="D678" t="s">
        <v>44</v>
      </c>
      <c r="E678" t="s">
        <v>45</v>
      </c>
      <c r="F678" t="s">
        <v>1441</v>
      </c>
      <c r="G678">
        <v>4</v>
      </c>
      <c r="H678" t="s">
        <v>1513</v>
      </c>
      <c r="I678" t="s">
        <v>30</v>
      </c>
      <c r="J678" t="s">
        <v>31</v>
      </c>
      <c r="K678" t="s">
        <v>38</v>
      </c>
      <c r="L678" t="s">
        <v>53</v>
      </c>
      <c r="N678" s="2">
        <v>45370.752430555556</v>
      </c>
      <c r="O678" s="2">
        <v>45471.166666666664</v>
      </c>
      <c r="P678" s="2">
        <v>45471.166666666664</v>
      </c>
      <c r="Q678" s="2">
        <v>45457</v>
      </c>
      <c r="R678" s="2">
        <v>45457.101321539354</v>
      </c>
      <c r="S678" t="s">
        <v>1105</v>
      </c>
      <c r="T678" s="2">
        <v>45411.166666666664</v>
      </c>
      <c r="U678" s="2">
        <v>45411.166666666664</v>
      </c>
      <c r="V678" s="2">
        <v>45411.166666666664</v>
      </c>
      <c r="W678" s="2">
        <v>45442.166666666664</v>
      </c>
      <c r="X678" s="3">
        <f t="shared" si="100"/>
        <v>0</v>
      </c>
      <c r="Y678">
        <f t="shared" si="101"/>
        <v>31</v>
      </c>
      <c r="Z678">
        <f t="shared" si="102"/>
        <v>31</v>
      </c>
      <c r="AA678">
        <f t="shared" si="103"/>
        <v>86.247569444443798</v>
      </c>
      <c r="AB678">
        <f t="shared" si="104"/>
        <v>55.247569444443798</v>
      </c>
      <c r="AC678">
        <f>IFERROR(_xlfn.XLOOKUP(B678, HoldSummary!$A:$A, HoldSummary!B:B), 0)</f>
        <v>0</v>
      </c>
      <c r="AD678">
        <f>IFERROR(_xlfn.XLOOKUP(B678, HoldSummary!$A:$A, HoldSummary!C:C), 0)</f>
        <v>0</v>
      </c>
      <c r="AE678">
        <f>IFERROR(_xlfn.XLOOKUP(B678, HoldSummary!$A:$A, HoldSummary!D:D), 0)</f>
        <v>0</v>
      </c>
      <c r="AF678">
        <f>IFERROR(_xlfn.XLOOKUP(B678, HoldSummary!$A:$A, HoldSummary!E:E), 0)</f>
        <v>0</v>
      </c>
      <c r="AG678">
        <f>IFERROR(_xlfn.XLOOKUP(B678, HoldSummary!$A:$A, HoldSummary!F:F), 0)</f>
        <v>13</v>
      </c>
      <c r="AH678">
        <f>IFERROR(_xlfn.XLOOKUP(B678, HoldSummary!$A:$A, HoldSummary!G:G), 0)</f>
        <v>0</v>
      </c>
      <c r="AI678">
        <f>IFERROR(_xlfn.XLOOKUP(B678, HoldSummary!$A:$A, HoldSummary!H:H), 0)</f>
        <v>0</v>
      </c>
      <c r="AJ678">
        <f>IFERROR(_xlfn.XLOOKUP(B678, HoldSummary!$A:$A, HoldSummary!I:I), 0)</f>
        <v>0</v>
      </c>
      <c r="AK678">
        <f t="shared" si="105"/>
        <v>13</v>
      </c>
      <c r="AL678">
        <f t="shared" si="106"/>
        <v>73.247569444443798</v>
      </c>
      <c r="AM678">
        <f t="shared" si="107"/>
        <v>42.247569444443798</v>
      </c>
      <c r="AN678" s="12">
        <f t="shared" si="108"/>
        <v>-14.166666666664241</v>
      </c>
      <c r="AO678">
        <f t="shared" si="109"/>
        <v>1</v>
      </c>
    </row>
    <row r="679" spans="1:41" x14ac:dyDescent="0.35">
      <c r="A679" t="s">
        <v>23</v>
      </c>
      <c r="B679" t="s">
        <v>1514</v>
      </c>
      <c r="C679" t="s">
        <v>43</v>
      </c>
      <c r="D679" t="s">
        <v>44</v>
      </c>
      <c r="E679" t="s">
        <v>45</v>
      </c>
      <c r="F679" t="s">
        <v>1441</v>
      </c>
      <c r="G679">
        <v>4</v>
      </c>
      <c r="H679" t="s">
        <v>1515</v>
      </c>
      <c r="I679" t="s">
        <v>30</v>
      </c>
      <c r="J679" t="s">
        <v>31</v>
      </c>
      <c r="K679" t="s">
        <v>38</v>
      </c>
      <c r="L679" t="s">
        <v>39</v>
      </c>
      <c r="M679" t="s">
        <v>33</v>
      </c>
      <c r="N679" s="2">
        <v>45428.495462962965</v>
      </c>
      <c r="O679" s="2">
        <v>45527.166666666664</v>
      </c>
      <c r="P679" s="2">
        <v>45551.166666666664</v>
      </c>
      <c r="Q679" s="2">
        <v>45545</v>
      </c>
      <c r="R679" s="2">
        <v>45545.832512407411</v>
      </c>
      <c r="T679" s="2">
        <v>45463.166666666664</v>
      </c>
      <c r="U679" s="2">
        <v>45527.166666666664</v>
      </c>
      <c r="V679" s="2">
        <v>45527.166666666664</v>
      </c>
      <c r="W679" s="2">
        <v>45541.166666666664</v>
      </c>
      <c r="X679" s="3">
        <f t="shared" si="100"/>
        <v>64</v>
      </c>
      <c r="Y679">
        <f t="shared" si="101"/>
        <v>14</v>
      </c>
      <c r="Z679">
        <f t="shared" si="102"/>
        <v>78</v>
      </c>
      <c r="AA679">
        <f t="shared" si="103"/>
        <v>116.50453703703533</v>
      </c>
      <c r="AB679">
        <f t="shared" si="104"/>
        <v>38.504537037035334</v>
      </c>
      <c r="AC679">
        <f>IFERROR(_xlfn.XLOOKUP(B679, HoldSummary!$A:$A, HoldSummary!B:B), 0)</f>
        <v>0</v>
      </c>
      <c r="AD679">
        <f>IFERROR(_xlfn.XLOOKUP(B679, HoldSummary!$A:$A, HoldSummary!C:C), 0)</f>
        <v>13</v>
      </c>
      <c r="AE679">
        <f>IFERROR(_xlfn.XLOOKUP(B679, HoldSummary!$A:$A, HoldSummary!D:D), 0)</f>
        <v>0</v>
      </c>
      <c r="AF679">
        <f>IFERROR(_xlfn.XLOOKUP(B679, HoldSummary!$A:$A, HoldSummary!E:E), 0)</f>
        <v>0</v>
      </c>
      <c r="AG679">
        <f>IFERROR(_xlfn.XLOOKUP(B679, HoldSummary!$A:$A, HoldSummary!F:F), 0)</f>
        <v>0</v>
      </c>
      <c r="AH679">
        <f>IFERROR(_xlfn.XLOOKUP(B679, HoldSummary!$A:$A, HoldSummary!G:G), 0)</f>
        <v>0</v>
      </c>
      <c r="AI679">
        <f>IFERROR(_xlfn.XLOOKUP(B679, HoldSummary!$A:$A, HoldSummary!H:H), 0)</f>
        <v>0</v>
      </c>
      <c r="AJ679">
        <f>IFERROR(_xlfn.XLOOKUP(B679, HoldSummary!$A:$A, HoldSummary!I:I), 0)</f>
        <v>0</v>
      </c>
      <c r="AK679">
        <f t="shared" si="105"/>
        <v>13</v>
      </c>
      <c r="AL679">
        <f t="shared" si="106"/>
        <v>103.50453703703533</v>
      </c>
      <c r="AM679">
        <f t="shared" si="107"/>
        <v>25.504537037035334</v>
      </c>
      <c r="AN679" s="12">
        <f t="shared" si="108"/>
        <v>17.833333333335759</v>
      </c>
      <c r="AO679">
        <f t="shared" si="109"/>
        <v>0</v>
      </c>
    </row>
    <row r="680" spans="1:41" x14ac:dyDescent="0.35">
      <c r="A680" t="s">
        <v>23</v>
      </c>
      <c r="B680" t="s">
        <v>1516</v>
      </c>
      <c r="C680" t="s">
        <v>76</v>
      </c>
      <c r="D680" t="s">
        <v>44</v>
      </c>
      <c r="E680" t="s">
        <v>27</v>
      </c>
      <c r="F680" t="s">
        <v>1441</v>
      </c>
      <c r="G680">
        <v>5</v>
      </c>
      <c r="H680" t="s">
        <v>1517</v>
      </c>
      <c r="I680" t="s">
        <v>30</v>
      </c>
      <c r="J680" t="s">
        <v>31</v>
      </c>
      <c r="K680" t="s">
        <v>48</v>
      </c>
      <c r="L680" t="s">
        <v>49</v>
      </c>
      <c r="N680" s="2">
        <v>45083.677754629629</v>
      </c>
      <c r="O680" s="2">
        <v>45190.166666666664</v>
      </c>
      <c r="P680" s="2">
        <v>45302.208333333336</v>
      </c>
      <c r="Q680" s="2">
        <v>45300</v>
      </c>
      <c r="R680" s="2">
        <v>45300.692962928239</v>
      </c>
      <c r="S680" t="s">
        <v>115</v>
      </c>
      <c r="T680" s="2">
        <v>45156.166666666664</v>
      </c>
      <c r="U680" s="2">
        <v>45161.166666666664</v>
      </c>
      <c r="V680" s="2">
        <v>45161.166666666664</v>
      </c>
      <c r="W680" s="2">
        <v>45251.208333333336</v>
      </c>
      <c r="X680" s="3">
        <f t="shared" si="100"/>
        <v>5</v>
      </c>
      <c r="Y680">
        <f t="shared" si="101"/>
        <v>90.041666666671517</v>
      </c>
      <c r="Z680">
        <f t="shared" si="102"/>
        <v>95.041666666671517</v>
      </c>
      <c r="AA680">
        <f t="shared" si="103"/>
        <v>216.32224537037109</v>
      </c>
      <c r="AB680">
        <f t="shared" si="104"/>
        <v>121.28057870369958</v>
      </c>
      <c r="AC680">
        <f>IFERROR(_xlfn.XLOOKUP(B680, HoldSummary!$A:$A, HoldSummary!B:B), 0)</f>
        <v>0</v>
      </c>
      <c r="AD680">
        <f>IFERROR(_xlfn.XLOOKUP(B680, HoldSummary!$A:$A, HoldSummary!C:C), 0)</f>
        <v>0</v>
      </c>
      <c r="AE680">
        <f>IFERROR(_xlfn.XLOOKUP(B680, HoldSummary!$A:$A, HoldSummary!D:D), 0)</f>
        <v>0</v>
      </c>
      <c r="AF680">
        <f>IFERROR(_xlfn.XLOOKUP(B680, HoldSummary!$A:$A, HoldSummary!E:E), 0)</f>
        <v>0</v>
      </c>
      <c r="AG680">
        <f>IFERROR(_xlfn.XLOOKUP(B680, HoldSummary!$A:$A, HoldSummary!F:F), 0)</f>
        <v>0</v>
      </c>
      <c r="AH680">
        <f>IFERROR(_xlfn.XLOOKUP(B680, HoldSummary!$A:$A, HoldSummary!G:G), 0)</f>
        <v>0</v>
      </c>
      <c r="AI680">
        <f>IFERROR(_xlfn.XLOOKUP(B680, HoldSummary!$A:$A, HoldSummary!H:H), 0)</f>
        <v>0</v>
      </c>
      <c r="AJ680">
        <f>IFERROR(_xlfn.XLOOKUP(B680, HoldSummary!$A:$A, HoldSummary!I:I), 0)</f>
        <v>0</v>
      </c>
      <c r="AK680">
        <f t="shared" si="105"/>
        <v>0</v>
      </c>
      <c r="AL680">
        <f t="shared" si="106"/>
        <v>216.32224537037109</v>
      </c>
      <c r="AM680">
        <f t="shared" si="107"/>
        <v>121.28057870369958</v>
      </c>
      <c r="AN680" s="12">
        <f t="shared" si="108"/>
        <v>109.83333333333576</v>
      </c>
      <c r="AO680">
        <f t="shared" si="109"/>
        <v>0</v>
      </c>
    </row>
    <row r="681" spans="1:41" x14ac:dyDescent="0.35">
      <c r="A681" t="s">
        <v>23</v>
      </c>
      <c r="B681" t="s">
        <v>1518</v>
      </c>
      <c r="C681" t="s">
        <v>54</v>
      </c>
      <c r="D681" t="s">
        <v>44</v>
      </c>
      <c r="E681" t="s">
        <v>45</v>
      </c>
      <c r="F681" t="s">
        <v>1441</v>
      </c>
      <c r="G681">
        <v>5</v>
      </c>
      <c r="H681" t="s">
        <v>1519</v>
      </c>
      <c r="I681" t="s">
        <v>30</v>
      </c>
      <c r="J681" t="s">
        <v>31</v>
      </c>
      <c r="K681" t="s">
        <v>38</v>
      </c>
      <c r="L681" t="s">
        <v>53</v>
      </c>
      <c r="N681" s="2">
        <v>45161.269675925927</v>
      </c>
      <c r="O681" s="2">
        <v>45352.208333333336</v>
      </c>
      <c r="P681" s="2">
        <v>45352.208333333336</v>
      </c>
      <c r="Q681" s="2">
        <v>45344</v>
      </c>
      <c r="R681" s="2">
        <v>45345.203378749997</v>
      </c>
      <c r="S681" t="s">
        <v>1520</v>
      </c>
      <c r="T681" s="2">
        <v>45180.166666666664</v>
      </c>
      <c r="U681" s="2">
        <v>45198.166666666664</v>
      </c>
      <c r="V681" s="2">
        <v>45198.166666666664</v>
      </c>
      <c r="W681" s="2">
        <v>45307.208333333336</v>
      </c>
      <c r="X681" s="3">
        <f t="shared" si="100"/>
        <v>18</v>
      </c>
      <c r="Y681">
        <f t="shared" si="101"/>
        <v>109.04166666667152</v>
      </c>
      <c r="Z681">
        <f t="shared" si="102"/>
        <v>127.04166666667152</v>
      </c>
      <c r="AA681">
        <f t="shared" si="103"/>
        <v>182.730324074073</v>
      </c>
      <c r="AB681">
        <f t="shared" si="104"/>
        <v>55.688657407401479</v>
      </c>
      <c r="AC681">
        <f>IFERROR(_xlfn.XLOOKUP(B681, HoldSummary!$A:$A, HoldSummary!B:B), 0)</f>
        <v>0</v>
      </c>
      <c r="AD681">
        <f>IFERROR(_xlfn.XLOOKUP(B681, HoldSummary!$A:$A, HoldSummary!C:C), 0)</f>
        <v>0</v>
      </c>
      <c r="AE681">
        <f>IFERROR(_xlfn.XLOOKUP(B681, HoldSummary!$A:$A, HoldSummary!D:D), 0)</f>
        <v>0</v>
      </c>
      <c r="AF681">
        <f>IFERROR(_xlfn.XLOOKUP(B681, HoldSummary!$A:$A, HoldSummary!E:E), 0)</f>
        <v>0</v>
      </c>
      <c r="AG681">
        <f>IFERROR(_xlfn.XLOOKUP(B681, HoldSummary!$A:$A, HoldSummary!F:F), 0)</f>
        <v>0</v>
      </c>
      <c r="AH681">
        <f>IFERROR(_xlfn.XLOOKUP(B681, HoldSummary!$A:$A, HoldSummary!G:G), 0)</f>
        <v>0</v>
      </c>
      <c r="AI681">
        <f>IFERROR(_xlfn.XLOOKUP(B681, HoldSummary!$A:$A, HoldSummary!H:H), 0)</f>
        <v>0</v>
      </c>
      <c r="AJ681">
        <f>IFERROR(_xlfn.XLOOKUP(B681, HoldSummary!$A:$A, HoldSummary!I:I), 0)</f>
        <v>0</v>
      </c>
      <c r="AK681">
        <f t="shared" si="105"/>
        <v>0</v>
      </c>
      <c r="AL681">
        <f t="shared" si="106"/>
        <v>182.730324074073</v>
      </c>
      <c r="AM681">
        <f t="shared" si="107"/>
        <v>55.688657407401479</v>
      </c>
      <c r="AN681" s="12">
        <f t="shared" si="108"/>
        <v>-8.2083333333357587</v>
      </c>
      <c r="AO681">
        <f t="shared" si="109"/>
        <v>1</v>
      </c>
    </row>
    <row r="682" spans="1:41" x14ac:dyDescent="0.35">
      <c r="A682" t="s">
        <v>23</v>
      </c>
      <c r="B682" t="s">
        <v>1521</v>
      </c>
      <c r="C682" t="s">
        <v>130</v>
      </c>
      <c r="D682" t="s">
        <v>44</v>
      </c>
      <c r="E682" t="s">
        <v>45</v>
      </c>
      <c r="F682" t="s">
        <v>1441</v>
      </c>
      <c r="G682">
        <v>5</v>
      </c>
      <c r="H682" t="s">
        <v>1522</v>
      </c>
      <c r="I682" t="s">
        <v>30</v>
      </c>
      <c r="J682" t="s">
        <v>31</v>
      </c>
      <c r="K682" t="s">
        <v>48</v>
      </c>
      <c r="L682" t="s">
        <v>192</v>
      </c>
      <c r="N682" s="2">
        <v>45167.713680555556</v>
      </c>
      <c r="O682" s="2">
        <v>45309.208333333336</v>
      </c>
      <c r="P682" s="2">
        <v>45442.166666666664</v>
      </c>
      <c r="Q682" s="2">
        <v>45441</v>
      </c>
      <c r="R682" s="2">
        <v>45441.688891851853</v>
      </c>
      <c r="S682" t="s">
        <v>1523</v>
      </c>
      <c r="T682" s="2">
        <v>45275.208333333336</v>
      </c>
      <c r="U682" s="2">
        <v>45307.208333333336</v>
      </c>
      <c r="V682" s="2">
        <v>45307.208333333336</v>
      </c>
      <c r="W682" s="2">
        <v>45404.166666666664</v>
      </c>
      <c r="X682" s="3">
        <f t="shared" si="100"/>
        <v>32</v>
      </c>
      <c r="Y682">
        <f t="shared" si="101"/>
        <v>96.958333333328483</v>
      </c>
      <c r="Z682">
        <f t="shared" si="102"/>
        <v>128.95833333332848</v>
      </c>
      <c r="AA682">
        <f t="shared" si="103"/>
        <v>273.28631944444351</v>
      </c>
      <c r="AB682">
        <f t="shared" si="104"/>
        <v>144.32798611111502</v>
      </c>
      <c r="AC682">
        <f>IFERROR(_xlfn.XLOOKUP(B682, HoldSummary!$A:$A, HoldSummary!B:B), 0)</f>
        <v>0</v>
      </c>
      <c r="AD682">
        <f>IFERROR(_xlfn.XLOOKUP(B682, HoldSummary!$A:$A, HoldSummary!C:C), 0)</f>
        <v>0</v>
      </c>
      <c r="AE682">
        <f>IFERROR(_xlfn.XLOOKUP(B682, HoldSummary!$A:$A, HoldSummary!D:D), 0)</f>
        <v>0</v>
      </c>
      <c r="AF682">
        <f>IFERROR(_xlfn.XLOOKUP(B682, HoldSummary!$A:$A, HoldSummary!E:E), 0)</f>
        <v>0</v>
      </c>
      <c r="AG682">
        <f>IFERROR(_xlfn.XLOOKUP(B682, HoldSummary!$A:$A, HoldSummary!F:F), 0)</f>
        <v>0</v>
      </c>
      <c r="AH682">
        <f>IFERROR(_xlfn.XLOOKUP(B682, HoldSummary!$A:$A, HoldSummary!G:G), 0)</f>
        <v>0</v>
      </c>
      <c r="AI682">
        <f>IFERROR(_xlfn.XLOOKUP(B682, HoldSummary!$A:$A, HoldSummary!H:H), 0)</f>
        <v>0</v>
      </c>
      <c r="AJ682">
        <f>IFERROR(_xlfn.XLOOKUP(B682, HoldSummary!$A:$A, HoldSummary!I:I), 0)</f>
        <v>0</v>
      </c>
      <c r="AK682">
        <f t="shared" si="105"/>
        <v>0</v>
      </c>
      <c r="AL682">
        <f t="shared" si="106"/>
        <v>273.28631944444351</v>
      </c>
      <c r="AM682">
        <f t="shared" si="107"/>
        <v>144.32798611111502</v>
      </c>
      <c r="AN682" s="12">
        <f t="shared" si="108"/>
        <v>131.79166666666424</v>
      </c>
      <c r="AO682">
        <f t="shared" si="109"/>
        <v>0</v>
      </c>
    </row>
    <row r="683" spans="1:41" x14ac:dyDescent="0.35">
      <c r="A683" t="s">
        <v>23</v>
      </c>
      <c r="B683" t="s">
        <v>1524</v>
      </c>
      <c r="C683" t="s">
        <v>113</v>
      </c>
      <c r="D683" t="s">
        <v>44</v>
      </c>
      <c r="E683" t="s">
        <v>45</v>
      </c>
      <c r="F683" t="s">
        <v>1441</v>
      </c>
      <c r="G683">
        <v>5</v>
      </c>
      <c r="H683" t="s">
        <v>1525</v>
      </c>
      <c r="I683" t="s">
        <v>30</v>
      </c>
      <c r="J683" t="s">
        <v>31</v>
      </c>
      <c r="K683" t="s">
        <v>38</v>
      </c>
      <c r="L683" t="s">
        <v>39</v>
      </c>
      <c r="N683" s="2">
        <v>45229.633159722223</v>
      </c>
      <c r="O683" s="2">
        <v>45366.166666666664</v>
      </c>
      <c r="P683" s="2">
        <v>45457.166666666664</v>
      </c>
      <c r="Q683" s="2">
        <v>45441</v>
      </c>
      <c r="R683" s="2">
        <v>45441.794527962964</v>
      </c>
      <c r="T683" s="2">
        <v>45407.166666666664</v>
      </c>
      <c r="U683" s="2">
        <v>45425.166666666664</v>
      </c>
      <c r="V683" s="2">
        <v>45425.166666666664</v>
      </c>
      <c r="W683" s="2">
        <v>45428.166666666664</v>
      </c>
      <c r="X683" s="3">
        <f t="shared" si="100"/>
        <v>18</v>
      </c>
      <c r="Y683">
        <f t="shared" si="101"/>
        <v>3</v>
      </c>
      <c r="Z683">
        <f t="shared" si="102"/>
        <v>21</v>
      </c>
      <c r="AA683">
        <f t="shared" si="103"/>
        <v>211.36684027777665</v>
      </c>
      <c r="AB683">
        <f t="shared" si="104"/>
        <v>190.36684027777665</v>
      </c>
      <c r="AC683">
        <f>IFERROR(_xlfn.XLOOKUP(B683, HoldSummary!$A:$A, HoldSummary!B:B), 0)</f>
        <v>0</v>
      </c>
      <c r="AD683">
        <f>IFERROR(_xlfn.XLOOKUP(B683, HoldSummary!$A:$A, HoldSummary!C:C), 0)</f>
        <v>0</v>
      </c>
      <c r="AE683">
        <f>IFERROR(_xlfn.XLOOKUP(B683, HoldSummary!$A:$A, HoldSummary!D:D), 0)</f>
        <v>0</v>
      </c>
      <c r="AF683">
        <f>IFERROR(_xlfn.XLOOKUP(B683, HoldSummary!$A:$A, HoldSummary!E:E), 0)</f>
        <v>0</v>
      </c>
      <c r="AG683">
        <f>IFERROR(_xlfn.XLOOKUP(B683, HoldSummary!$A:$A, HoldSummary!F:F), 0)</f>
        <v>0</v>
      </c>
      <c r="AH683">
        <f>IFERROR(_xlfn.XLOOKUP(B683, HoldSummary!$A:$A, HoldSummary!G:G), 0)</f>
        <v>0</v>
      </c>
      <c r="AI683">
        <f>IFERROR(_xlfn.XLOOKUP(B683, HoldSummary!$A:$A, HoldSummary!H:H), 0)</f>
        <v>0</v>
      </c>
      <c r="AJ683">
        <f>IFERROR(_xlfn.XLOOKUP(B683, HoldSummary!$A:$A, HoldSummary!I:I), 0)</f>
        <v>0</v>
      </c>
      <c r="AK683">
        <f t="shared" si="105"/>
        <v>0</v>
      </c>
      <c r="AL683">
        <f t="shared" si="106"/>
        <v>211.36684027777665</v>
      </c>
      <c r="AM683">
        <f t="shared" si="107"/>
        <v>190.36684027777665</v>
      </c>
      <c r="AN683" s="12">
        <f t="shared" si="108"/>
        <v>74.833333333335759</v>
      </c>
      <c r="AO683">
        <f t="shared" si="109"/>
        <v>0</v>
      </c>
    </row>
    <row r="684" spans="1:41" x14ac:dyDescent="0.35">
      <c r="A684" t="s">
        <v>23</v>
      </c>
      <c r="B684" t="s">
        <v>1526</v>
      </c>
      <c r="C684" t="s">
        <v>43</v>
      </c>
      <c r="D684" t="s">
        <v>44</v>
      </c>
      <c r="E684" t="s">
        <v>45</v>
      </c>
      <c r="F684" t="s">
        <v>1441</v>
      </c>
      <c r="G684">
        <v>6</v>
      </c>
      <c r="H684" t="s">
        <v>1527</v>
      </c>
      <c r="I684" t="s">
        <v>30</v>
      </c>
      <c r="J684" t="s">
        <v>70</v>
      </c>
      <c r="K684" t="s">
        <v>48</v>
      </c>
      <c r="L684" t="s">
        <v>49</v>
      </c>
      <c r="N684" s="2">
        <v>45105.640162037038</v>
      </c>
      <c r="O684" s="2">
        <v>45380.166666666664</v>
      </c>
      <c r="P684" s="2">
        <v>45429.166666666664</v>
      </c>
      <c r="Q684" s="2">
        <v>45428</v>
      </c>
      <c r="R684" s="2">
        <v>45428.826820462964</v>
      </c>
      <c r="T684" s="2"/>
      <c r="U684" s="2"/>
      <c r="V684" s="2"/>
      <c r="W684" s="2"/>
      <c r="X684" s="3" t="str">
        <f t="shared" si="100"/>
        <v/>
      </c>
      <c r="Y684" t="str">
        <f t="shared" si="101"/>
        <v/>
      </c>
      <c r="Z684">
        <f t="shared" si="102"/>
        <v>0</v>
      </c>
      <c r="AA684">
        <f t="shared" si="103"/>
        <v>322.35983796296205</v>
      </c>
      <c r="AB684">
        <f t="shared" si="104"/>
        <v>322.35983796296205</v>
      </c>
      <c r="AC684">
        <f>IFERROR(_xlfn.XLOOKUP(B684, HoldSummary!$A:$A, HoldSummary!B:B), 0)</f>
        <v>0</v>
      </c>
      <c r="AD684">
        <f>IFERROR(_xlfn.XLOOKUP(B684, HoldSummary!$A:$A, HoldSummary!C:C), 0)</f>
        <v>0</v>
      </c>
      <c r="AE684">
        <f>IFERROR(_xlfn.XLOOKUP(B684, HoldSummary!$A:$A, HoldSummary!D:D), 0)</f>
        <v>0</v>
      </c>
      <c r="AF684">
        <f>IFERROR(_xlfn.XLOOKUP(B684, HoldSummary!$A:$A, HoldSummary!E:E), 0)</f>
        <v>0</v>
      </c>
      <c r="AG684">
        <f>IFERROR(_xlfn.XLOOKUP(B684, HoldSummary!$A:$A, HoldSummary!F:F), 0)</f>
        <v>0</v>
      </c>
      <c r="AH684">
        <f>IFERROR(_xlfn.XLOOKUP(B684, HoldSummary!$A:$A, HoldSummary!G:G), 0)</f>
        <v>0</v>
      </c>
      <c r="AI684">
        <f>IFERROR(_xlfn.XLOOKUP(B684, HoldSummary!$A:$A, HoldSummary!H:H), 0)</f>
        <v>0</v>
      </c>
      <c r="AJ684">
        <f>IFERROR(_xlfn.XLOOKUP(B684, HoldSummary!$A:$A, HoldSummary!I:I), 0)</f>
        <v>0</v>
      </c>
      <c r="AK684">
        <f t="shared" si="105"/>
        <v>0</v>
      </c>
      <c r="AL684">
        <f t="shared" si="106"/>
        <v>322.35983796296205</v>
      </c>
      <c r="AM684">
        <f t="shared" si="107"/>
        <v>322.35983796296205</v>
      </c>
      <c r="AN684" s="12">
        <f t="shared" si="108"/>
        <v>47.833333333335759</v>
      </c>
      <c r="AO684">
        <f t="shared" si="109"/>
        <v>0</v>
      </c>
    </row>
    <row r="685" spans="1:41" x14ac:dyDescent="0.35">
      <c r="A685" t="s">
        <v>23</v>
      </c>
      <c r="B685" t="s">
        <v>1528</v>
      </c>
      <c r="C685" t="s">
        <v>43</v>
      </c>
      <c r="D685" t="s">
        <v>44</v>
      </c>
      <c r="E685" t="s">
        <v>45</v>
      </c>
      <c r="F685" t="s">
        <v>1441</v>
      </c>
      <c r="G685">
        <v>6</v>
      </c>
      <c r="H685" t="s">
        <v>1529</v>
      </c>
      <c r="I685" t="s">
        <v>30</v>
      </c>
      <c r="J685" t="s">
        <v>70</v>
      </c>
      <c r="K685" t="s">
        <v>48</v>
      </c>
      <c r="L685" t="s">
        <v>49</v>
      </c>
      <c r="N685" s="2">
        <v>45266.65042824074</v>
      </c>
      <c r="O685" s="2">
        <v>45345.208333333336</v>
      </c>
      <c r="P685" s="2">
        <v>45373.166666666664</v>
      </c>
      <c r="Q685" s="2">
        <v>45369</v>
      </c>
      <c r="R685" s="2">
        <v>45369.513054212963</v>
      </c>
      <c r="S685" t="s">
        <v>386</v>
      </c>
      <c r="T685" s="2"/>
      <c r="U685" s="2"/>
      <c r="V685" s="2"/>
      <c r="W685" s="2"/>
      <c r="X685" s="3" t="str">
        <f t="shared" si="100"/>
        <v/>
      </c>
      <c r="Y685" t="str">
        <f t="shared" si="101"/>
        <v/>
      </c>
      <c r="Z685">
        <f t="shared" si="102"/>
        <v>0</v>
      </c>
      <c r="AA685">
        <f t="shared" si="103"/>
        <v>102.34957175925956</v>
      </c>
      <c r="AB685">
        <f t="shared" si="104"/>
        <v>102.34957175925956</v>
      </c>
      <c r="AC685">
        <f>IFERROR(_xlfn.XLOOKUP(B685, HoldSummary!$A:$A, HoldSummary!B:B), 0)</f>
        <v>0</v>
      </c>
      <c r="AD685">
        <f>IFERROR(_xlfn.XLOOKUP(B685, HoldSummary!$A:$A, HoldSummary!C:C), 0)</f>
        <v>0</v>
      </c>
      <c r="AE685">
        <f>IFERROR(_xlfn.XLOOKUP(B685, HoldSummary!$A:$A, HoldSummary!D:D), 0)</f>
        <v>0</v>
      </c>
      <c r="AF685">
        <f>IFERROR(_xlfn.XLOOKUP(B685, HoldSummary!$A:$A, HoldSummary!E:E), 0)</f>
        <v>0</v>
      </c>
      <c r="AG685">
        <f>IFERROR(_xlfn.XLOOKUP(B685, HoldSummary!$A:$A, HoldSummary!F:F), 0)</f>
        <v>0</v>
      </c>
      <c r="AH685">
        <f>IFERROR(_xlfn.XLOOKUP(B685, HoldSummary!$A:$A, HoldSummary!G:G), 0)</f>
        <v>0</v>
      </c>
      <c r="AI685">
        <f>IFERROR(_xlfn.XLOOKUP(B685, HoldSummary!$A:$A, HoldSummary!H:H), 0)</f>
        <v>0</v>
      </c>
      <c r="AJ685">
        <f>IFERROR(_xlfn.XLOOKUP(B685, HoldSummary!$A:$A, HoldSummary!I:I), 0)</f>
        <v>0</v>
      </c>
      <c r="AK685">
        <f t="shared" si="105"/>
        <v>0</v>
      </c>
      <c r="AL685">
        <f t="shared" si="106"/>
        <v>102.34957175925956</v>
      </c>
      <c r="AM685">
        <f t="shared" si="107"/>
        <v>102.34957175925956</v>
      </c>
      <c r="AN685" s="12">
        <f t="shared" si="108"/>
        <v>23.791666666664241</v>
      </c>
      <c r="AO685">
        <f t="shared" si="109"/>
        <v>0</v>
      </c>
    </row>
    <row r="686" spans="1:41" x14ac:dyDescent="0.35">
      <c r="A686" t="s">
        <v>23</v>
      </c>
      <c r="B686" t="s">
        <v>1530</v>
      </c>
      <c r="C686" t="s">
        <v>76</v>
      </c>
      <c r="D686" t="s">
        <v>44</v>
      </c>
      <c r="E686" t="s">
        <v>45</v>
      </c>
      <c r="F686" t="s">
        <v>1441</v>
      </c>
      <c r="G686">
        <v>6</v>
      </c>
      <c r="H686" t="s">
        <v>1531</v>
      </c>
      <c r="I686" t="s">
        <v>30</v>
      </c>
      <c r="J686" t="s">
        <v>31</v>
      </c>
      <c r="K686" t="s">
        <v>38</v>
      </c>
      <c r="L686" t="s">
        <v>39</v>
      </c>
      <c r="N686" s="2">
        <v>45330.847060185188</v>
      </c>
      <c r="O686" s="2">
        <v>45394.166666666664</v>
      </c>
      <c r="P686" s="2">
        <v>45432.166666666664</v>
      </c>
      <c r="Q686" s="2">
        <v>45415</v>
      </c>
      <c r="R686" s="2">
        <v>45415.629134467592</v>
      </c>
      <c r="S686" t="s">
        <v>226</v>
      </c>
      <c r="T686" s="2">
        <v>45344.208333333336</v>
      </c>
      <c r="U686" s="2">
        <v>45351.208333333336</v>
      </c>
      <c r="V686" s="2">
        <v>45351.208333333336</v>
      </c>
      <c r="W686" s="2">
        <v>45386.166666666664</v>
      </c>
      <c r="X686" s="3">
        <f t="shared" si="100"/>
        <v>7</v>
      </c>
      <c r="Y686">
        <f t="shared" si="101"/>
        <v>34.958333333328483</v>
      </c>
      <c r="Z686">
        <f t="shared" si="102"/>
        <v>41.958333333328483</v>
      </c>
      <c r="AA686">
        <f t="shared" si="103"/>
        <v>84.152939814812271</v>
      </c>
      <c r="AB686">
        <f t="shared" si="104"/>
        <v>42.194606481483788</v>
      </c>
      <c r="AC686">
        <f>IFERROR(_xlfn.XLOOKUP(B686, HoldSummary!$A:$A, HoldSummary!B:B), 0)</f>
        <v>0</v>
      </c>
      <c r="AD686">
        <f>IFERROR(_xlfn.XLOOKUP(B686, HoldSummary!$A:$A, HoldSummary!C:C), 0)</f>
        <v>0</v>
      </c>
      <c r="AE686">
        <f>IFERROR(_xlfn.XLOOKUP(B686, HoldSummary!$A:$A, HoldSummary!D:D), 0)</f>
        <v>0</v>
      </c>
      <c r="AF686">
        <f>IFERROR(_xlfn.XLOOKUP(B686, HoldSummary!$A:$A, HoldSummary!E:E), 0)</f>
        <v>0</v>
      </c>
      <c r="AG686">
        <f>IFERROR(_xlfn.XLOOKUP(B686, HoldSummary!$A:$A, HoldSummary!F:F), 0)</f>
        <v>0</v>
      </c>
      <c r="AH686">
        <f>IFERROR(_xlfn.XLOOKUP(B686, HoldSummary!$A:$A, HoldSummary!G:G), 0)</f>
        <v>2</v>
      </c>
      <c r="AI686">
        <f>IFERROR(_xlfn.XLOOKUP(B686, HoldSummary!$A:$A, HoldSummary!H:H), 0)</f>
        <v>0</v>
      </c>
      <c r="AJ686">
        <f>IFERROR(_xlfn.XLOOKUP(B686, HoldSummary!$A:$A, HoldSummary!I:I), 0)</f>
        <v>0</v>
      </c>
      <c r="AK686">
        <f t="shared" si="105"/>
        <v>2</v>
      </c>
      <c r="AL686">
        <f t="shared" si="106"/>
        <v>82.152939814812271</v>
      </c>
      <c r="AM686">
        <f t="shared" si="107"/>
        <v>40.194606481483788</v>
      </c>
      <c r="AN686" s="12">
        <f t="shared" si="108"/>
        <v>20.833333333335759</v>
      </c>
      <c r="AO686">
        <f t="shared" si="109"/>
        <v>0</v>
      </c>
    </row>
    <row r="687" spans="1:41" x14ac:dyDescent="0.35">
      <c r="A687" t="s">
        <v>23</v>
      </c>
      <c r="B687" t="s">
        <v>1532</v>
      </c>
      <c r="C687" t="s">
        <v>113</v>
      </c>
      <c r="D687" t="s">
        <v>44</v>
      </c>
      <c r="E687" t="s">
        <v>45</v>
      </c>
      <c r="F687" t="s">
        <v>1441</v>
      </c>
      <c r="G687">
        <v>6</v>
      </c>
      <c r="H687" t="s">
        <v>1533</v>
      </c>
      <c r="I687" t="s">
        <v>30</v>
      </c>
      <c r="J687" t="s">
        <v>31</v>
      </c>
      <c r="K687" t="s">
        <v>32</v>
      </c>
      <c r="L687" t="s">
        <v>32</v>
      </c>
      <c r="N687" s="2">
        <v>45365.686828703707</v>
      </c>
      <c r="O687" s="2">
        <v>45429.166666666664</v>
      </c>
      <c r="P687" s="2">
        <v>45429.166666666664</v>
      </c>
      <c r="Q687" s="2">
        <v>45419</v>
      </c>
      <c r="R687" s="2">
        <v>45421.489350752316</v>
      </c>
      <c r="S687" t="s">
        <v>426</v>
      </c>
      <c r="T687" s="2">
        <v>45379.166666666664</v>
      </c>
      <c r="U687" s="2">
        <v>45385.166666666664</v>
      </c>
      <c r="V687" s="2">
        <v>45385.166666666664</v>
      </c>
      <c r="W687" s="2">
        <v>45397.166666666664</v>
      </c>
      <c r="X687" s="3">
        <f t="shared" si="100"/>
        <v>6</v>
      </c>
      <c r="Y687">
        <f t="shared" si="101"/>
        <v>12</v>
      </c>
      <c r="Z687">
        <f t="shared" si="102"/>
        <v>18</v>
      </c>
      <c r="AA687">
        <f t="shared" si="103"/>
        <v>53.313171296293149</v>
      </c>
      <c r="AB687">
        <f t="shared" si="104"/>
        <v>35.313171296293149</v>
      </c>
      <c r="AC687">
        <f>IFERROR(_xlfn.XLOOKUP(B687, HoldSummary!$A:$A, HoldSummary!B:B), 0)</f>
        <v>0</v>
      </c>
      <c r="AD687">
        <f>IFERROR(_xlfn.XLOOKUP(B687, HoldSummary!$A:$A, HoldSummary!C:C), 0)</f>
        <v>0</v>
      </c>
      <c r="AE687">
        <f>IFERROR(_xlfn.XLOOKUP(B687, HoldSummary!$A:$A, HoldSummary!D:D), 0)</f>
        <v>0</v>
      </c>
      <c r="AF687">
        <f>IFERROR(_xlfn.XLOOKUP(B687, HoldSummary!$A:$A, HoldSummary!E:E), 0)</f>
        <v>0</v>
      </c>
      <c r="AG687">
        <f>IFERROR(_xlfn.XLOOKUP(B687, HoldSummary!$A:$A, HoldSummary!F:F), 0)</f>
        <v>0</v>
      </c>
      <c r="AH687">
        <f>IFERROR(_xlfn.XLOOKUP(B687, HoldSummary!$A:$A, HoldSummary!G:G), 0)</f>
        <v>0</v>
      </c>
      <c r="AI687">
        <f>IFERROR(_xlfn.XLOOKUP(B687, HoldSummary!$A:$A, HoldSummary!H:H), 0)</f>
        <v>0</v>
      </c>
      <c r="AJ687">
        <f>IFERROR(_xlfn.XLOOKUP(B687, HoldSummary!$A:$A, HoldSummary!I:I), 0)</f>
        <v>0</v>
      </c>
      <c r="AK687">
        <f t="shared" si="105"/>
        <v>0</v>
      </c>
      <c r="AL687">
        <f t="shared" si="106"/>
        <v>53.313171296293149</v>
      </c>
      <c r="AM687">
        <f t="shared" si="107"/>
        <v>35.313171296293149</v>
      </c>
      <c r="AN687" s="12">
        <f t="shared" si="108"/>
        <v>-10.166666666664241</v>
      </c>
      <c r="AO687">
        <f t="shared" si="109"/>
        <v>1</v>
      </c>
    </row>
    <row r="688" spans="1:41" x14ac:dyDescent="0.35">
      <c r="A688" t="s">
        <v>23</v>
      </c>
      <c r="B688" t="s">
        <v>1534</v>
      </c>
      <c r="C688" t="s">
        <v>76</v>
      </c>
      <c r="D688" t="s">
        <v>44</v>
      </c>
      <c r="E688" t="s">
        <v>45</v>
      </c>
      <c r="F688" t="s">
        <v>1441</v>
      </c>
      <c r="G688">
        <v>6</v>
      </c>
      <c r="H688" t="s">
        <v>1535</v>
      </c>
      <c r="I688" t="s">
        <v>30</v>
      </c>
      <c r="J688" t="s">
        <v>31</v>
      </c>
      <c r="K688" t="s">
        <v>32</v>
      </c>
      <c r="L688" t="s">
        <v>39</v>
      </c>
      <c r="M688" t="s">
        <v>33</v>
      </c>
      <c r="N688" s="2">
        <v>45530.698958333334</v>
      </c>
      <c r="O688" s="2">
        <v>45687.208333333336</v>
      </c>
      <c r="P688" s="2">
        <v>45687.208333333336</v>
      </c>
      <c r="Q688" s="2">
        <v>45666</v>
      </c>
      <c r="R688" s="2">
        <v>45667.627466701386</v>
      </c>
      <c r="S688" t="s">
        <v>595</v>
      </c>
      <c r="T688" s="2">
        <v>45589.166666666664</v>
      </c>
      <c r="U688" s="2">
        <v>45601.208333333336</v>
      </c>
      <c r="V688" s="2">
        <v>45601.208333333336</v>
      </c>
      <c r="W688" s="2">
        <v>45622.208333333336</v>
      </c>
      <c r="X688" s="3">
        <f t="shared" si="100"/>
        <v>12.041666666671517</v>
      </c>
      <c r="Y688">
        <f t="shared" si="101"/>
        <v>21</v>
      </c>
      <c r="Z688">
        <f t="shared" si="102"/>
        <v>33.041666666671517</v>
      </c>
      <c r="AA688">
        <f t="shared" si="103"/>
        <v>135.3010416666657</v>
      </c>
      <c r="AB688">
        <f t="shared" si="104"/>
        <v>102.25937499999418</v>
      </c>
      <c r="AC688">
        <f>IFERROR(_xlfn.XLOOKUP(B688, HoldSummary!$A:$A, HoldSummary!B:B), 0)</f>
        <v>13</v>
      </c>
      <c r="AD688">
        <f>IFERROR(_xlfn.XLOOKUP(B688, HoldSummary!$A:$A, HoldSummary!C:C), 0)</f>
        <v>1</v>
      </c>
      <c r="AE688">
        <f>IFERROR(_xlfn.XLOOKUP(B688, HoldSummary!$A:$A, HoldSummary!D:D), 0)</f>
        <v>0</v>
      </c>
      <c r="AF688">
        <f>IFERROR(_xlfn.XLOOKUP(B688, HoldSummary!$A:$A, HoldSummary!E:E), 0)</f>
        <v>0</v>
      </c>
      <c r="AG688">
        <f>IFERROR(_xlfn.XLOOKUP(B688, HoldSummary!$A:$A, HoldSummary!F:F), 0)</f>
        <v>0</v>
      </c>
      <c r="AH688">
        <f>IFERROR(_xlfn.XLOOKUP(B688, HoldSummary!$A:$A, HoldSummary!G:G), 0)</f>
        <v>0</v>
      </c>
      <c r="AI688">
        <f>IFERROR(_xlfn.XLOOKUP(B688, HoldSummary!$A:$A, HoldSummary!H:H), 0)</f>
        <v>0</v>
      </c>
      <c r="AJ688">
        <f>IFERROR(_xlfn.XLOOKUP(B688, HoldSummary!$A:$A, HoldSummary!I:I), 0)</f>
        <v>0</v>
      </c>
      <c r="AK688">
        <f t="shared" si="105"/>
        <v>14</v>
      </c>
      <c r="AL688">
        <f t="shared" si="106"/>
        <v>121.3010416666657</v>
      </c>
      <c r="AM688">
        <f t="shared" si="107"/>
        <v>88.259374999994179</v>
      </c>
      <c r="AN688" s="12">
        <f t="shared" si="108"/>
        <v>-21.208333333335759</v>
      </c>
      <c r="AO688">
        <f t="shared" si="109"/>
        <v>1</v>
      </c>
    </row>
    <row r="689" spans="1:41" x14ac:dyDescent="0.35">
      <c r="A689" t="s">
        <v>23</v>
      </c>
      <c r="B689" t="s">
        <v>1536</v>
      </c>
      <c r="C689" t="s">
        <v>135</v>
      </c>
      <c r="D689" t="s">
        <v>44</v>
      </c>
      <c r="E689" t="s">
        <v>45</v>
      </c>
      <c r="F689" t="s">
        <v>1441</v>
      </c>
      <c r="G689">
        <v>7</v>
      </c>
      <c r="H689" t="s">
        <v>1537</v>
      </c>
      <c r="I689" t="s">
        <v>30</v>
      </c>
      <c r="J689" t="s">
        <v>70</v>
      </c>
      <c r="K689" t="s">
        <v>32</v>
      </c>
      <c r="L689" t="s">
        <v>32</v>
      </c>
      <c r="N689" s="2">
        <v>44715.643310185187</v>
      </c>
      <c r="O689" s="2">
        <v>45106.166666666664</v>
      </c>
      <c r="P689" s="2">
        <v>45471.166666666664</v>
      </c>
      <c r="Q689" s="2">
        <v>45460</v>
      </c>
      <c r="R689" s="2">
        <v>45461.796475011572</v>
      </c>
      <c r="S689" t="s">
        <v>1538</v>
      </c>
      <c r="T689" s="2"/>
      <c r="U689" s="2"/>
      <c r="V689" s="2"/>
      <c r="W689" s="2"/>
      <c r="X689" s="3" t="str">
        <f t="shared" si="100"/>
        <v/>
      </c>
      <c r="Y689" t="str">
        <f t="shared" si="101"/>
        <v/>
      </c>
      <c r="Z689">
        <f t="shared" si="102"/>
        <v>0</v>
      </c>
      <c r="AA689">
        <f t="shared" si="103"/>
        <v>744.35668981481285</v>
      </c>
      <c r="AB689">
        <f t="shared" si="104"/>
        <v>744.35668981481285</v>
      </c>
      <c r="AC689">
        <f>IFERROR(_xlfn.XLOOKUP(B689, HoldSummary!$A:$A, HoldSummary!B:B), 0)</f>
        <v>0</v>
      </c>
      <c r="AD689">
        <f>IFERROR(_xlfn.XLOOKUP(B689, HoldSummary!$A:$A, HoldSummary!C:C), 0)</f>
        <v>0</v>
      </c>
      <c r="AE689">
        <f>IFERROR(_xlfn.XLOOKUP(B689, HoldSummary!$A:$A, HoldSummary!D:D), 0)</f>
        <v>0</v>
      </c>
      <c r="AF689">
        <f>IFERROR(_xlfn.XLOOKUP(B689, HoldSummary!$A:$A, HoldSummary!E:E), 0)</f>
        <v>0</v>
      </c>
      <c r="AG689">
        <f>IFERROR(_xlfn.XLOOKUP(B689, HoldSummary!$A:$A, HoldSummary!F:F), 0)</f>
        <v>0</v>
      </c>
      <c r="AH689">
        <f>IFERROR(_xlfn.XLOOKUP(B689, HoldSummary!$A:$A, HoldSummary!G:G), 0)</f>
        <v>0</v>
      </c>
      <c r="AI689">
        <f>IFERROR(_xlfn.XLOOKUP(B689, HoldSummary!$A:$A, HoldSummary!H:H), 0)</f>
        <v>0</v>
      </c>
      <c r="AJ689">
        <f>IFERROR(_xlfn.XLOOKUP(B689, HoldSummary!$A:$A, HoldSummary!I:I), 0)</f>
        <v>0</v>
      </c>
      <c r="AK689">
        <f t="shared" si="105"/>
        <v>0</v>
      </c>
      <c r="AL689">
        <f t="shared" si="106"/>
        <v>744.35668981481285</v>
      </c>
      <c r="AM689">
        <f t="shared" si="107"/>
        <v>744.35668981481285</v>
      </c>
      <c r="AN689" s="12">
        <f t="shared" si="108"/>
        <v>353.83333333333576</v>
      </c>
      <c r="AO689">
        <f t="shared" si="109"/>
        <v>0</v>
      </c>
    </row>
    <row r="690" spans="1:41" x14ac:dyDescent="0.35">
      <c r="A690" t="s">
        <v>23</v>
      </c>
      <c r="B690" t="s">
        <v>1539</v>
      </c>
      <c r="C690" t="s">
        <v>43</v>
      </c>
      <c r="D690" t="s">
        <v>44</v>
      </c>
      <c r="E690" t="s">
        <v>45</v>
      </c>
      <c r="F690" t="s">
        <v>1441</v>
      </c>
      <c r="G690">
        <v>7</v>
      </c>
      <c r="H690" t="s">
        <v>1540</v>
      </c>
      <c r="I690" t="s">
        <v>30</v>
      </c>
      <c r="J690" t="s">
        <v>70</v>
      </c>
      <c r="K690" t="s">
        <v>38</v>
      </c>
      <c r="L690" t="s">
        <v>39</v>
      </c>
      <c r="N690" s="2">
        <v>45345.729120370372</v>
      </c>
      <c r="O690" s="2">
        <v>45412.166666666664</v>
      </c>
      <c r="P690" s="2">
        <v>45394.166666666664</v>
      </c>
      <c r="Q690" s="2">
        <v>45394</v>
      </c>
      <c r="R690" s="2">
        <v>45394.803678460645</v>
      </c>
      <c r="S690" t="s">
        <v>198</v>
      </c>
      <c r="T690" s="2">
        <v>45356.208333333336</v>
      </c>
      <c r="U690" s="2">
        <v>45384.166666666664</v>
      </c>
      <c r="V690" s="2">
        <v>45384.166666666664</v>
      </c>
      <c r="W690" s="2">
        <v>45386.166666666664</v>
      </c>
      <c r="X690" s="3">
        <f t="shared" si="100"/>
        <v>27.958333333328483</v>
      </c>
      <c r="Y690">
        <f t="shared" si="101"/>
        <v>2</v>
      </c>
      <c r="Z690">
        <f t="shared" si="102"/>
        <v>29.958333333328483</v>
      </c>
      <c r="AA690">
        <f t="shared" si="103"/>
        <v>48.270879629628325</v>
      </c>
      <c r="AB690">
        <f t="shared" si="104"/>
        <v>18.312546296299843</v>
      </c>
      <c r="AC690">
        <f>IFERROR(_xlfn.XLOOKUP(B690, HoldSummary!$A:$A, HoldSummary!B:B), 0)</f>
        <v>0</v>
      </c>
      <c r="AD690">
        <f>IFERROR(_xlfn.XLOOKUP(B690, HoldSummary!$A:$A, HoldSummary!C:C), 0)</f>
        <v>0</v>
      </c>
      <c r="AE690">
        <f>IFERROR(_xlfn.XLOOKUP(B690, HoldSummary!$A:$A, HoldSummary!D:D), 0)</f>
        <v>0</v>
      </c>
      <c r="AF690">
        <f>IFERROR(_xlfn.XLOOKUP(B690, HoldSummary!$A:$A, HoldSummary!E:E), 0)</f>
        <v>0</v>
      </c>
      <c r="AG690">
        <f>IFERROR(_xlfn.XLOOKUP(B690, HoldSummary!$A:$A, HoldSummary!F:F), 0)</f>
        <v>0</v>
      </c>
      <c r="AH690">
        <f>IFERROR(_xlfn.XLOOKUP(B690, HoldSummary!$A:$A, HoldSummary!G:G), 0)</f>
        <v>0</v>
      </c>
      <c r="AI690">
        <f>IFERROR(_xlfn.XLOOKUP(B690, HoldSummary!$A:$A, HoldSummary!H:H), 0)</f>
        <v>0</v>
      </c>
      <c r="AJ690">
        <f>IFERROR(_xlfn.XLOOKUP(B690, HoldSummary!$A:$A, HoldSummary!I:I), 0)</f>
        <v>0</v>
      </c>
      <c r="AK690">
        <f t="shared" si="105"/>
        <v>0</v>
      </c>
      <c r="AL690">
        <f t="shared" si="106"/>
        <v>48.270879629628325</v>
      </c>
      <c r="AM690">
        <f t="shared" si="107"/>
        <v>18.312546296299843</v>
      </c>
      <c r="AN690" s="12">
        <f t="shared" si="108"/>
        <v>-18.166666666664241</v>
      </c>
      <c r="AO690">
        <f t="shared" si="109"/>
        <v>1</v>
      </c>
    </row>
    <row r="691" spans="1:41" x14ac:dyDescent="0.35">
      <c r="A691" t="s">
        <v>23</v>
      </c>
      <c r="B691" t="s">
        <v>1541</v>
      </c>
      <c r="C691" t="s">
        <v>76</v>
      </c>
      <c r="D691" t="s">
        <v>44</v>
      </c>
      <c r="E691" t="s">
        <v>45</v>
      </c>
      <c r="F691" t="s">
        <v>1441</v>
      </c>
      <c r="G691">
        <v>7</v>
      </c>
      <c r="H691" t="s">
        <v>1542</v>
      </c>
      <c r="I691" t="s">
        <v>30</v>
      </c>
      <c r="J691" t="s">
        <v>31</v>
      </c>
      <c r="K691" t="s">
        <v>38</v>
      </c>
      <c r="L691" t="s">
        <v>39</v>
      </c>
      <c r="M691" t="s">
        <v>81</v>
      </c>
      <c r="N691" s="2">
        <v>45485.852025462962</v>
      </c>
      <c r="O691" s="2">
        <v>45602.208333333336</v>
      </c>
      <c r="P691" s="2">
        <v>45602.208333333336</v>
      </c>
      <c r="Q691" s="2">
        <v>45581</v>
      </c>
      <c r="R691" s="2">
        <v>45583.509196631945</v>
      </c>
      <c r="S691" t="s">
        <v>834</v>
      </c>
      <c r="T691" s="2">
        <v>45551.166666666664</v>
      </c>
      <c r="U691" s="2">
        <v>45559.166666666664</v>
      </c>
      <c r="V691" s="2">
        <v>45559.166666666664</v>
      </c>
      <c r="W691" s="2">
        <v>45567.166666666664</v>
      </c>
      <c r="X691" s="3">
        <f t="shared" si="100"/>
        <v>8</v>
      </c>
      <c r="Y691">
        <f t="shared" si="101"/>
        <v>8</v>
      </c>
      <c r="Z691">
        <f t="shared" si="102"/>
        <v>16</v>
      </c>
      <c r="AA691">
        <f t="shared" si="103"/>
        <v>95.147974537037953</v>
      </c>
      <c r="AB691">
        <f t="shared" si="104"/>
        <v>79.147974537037953</v>
      </c>
      <c r="AC691">
        <f>IFERROR(_xlfn.XLOOKUP(B691, HoldSummary!$A:$A, HoldSummary!B:B), 0)</f>
        <v>0</v>
      </c>
      <c r="AD691">
        <f>IFERROR(_xlfn.XLOOKUP(B691, HoldSummary!$A:$A, HoldSummary!C:C), 0)</f>
        <v>0</v>
      </c>
      <c r="AE691">
        <f>IFERROR(_xlfn.XLOOKUP(B691, HoldSummary!$A:$A, HoldSummary!D:D), 0)</f>
        <v>1</v>
      </c>
      <c r="AF691">
        <f>IFERROR(_xlfn.XLOOKUP(B691, HoldSummary!$A:$A, HoldSummary!E:E), 0)</f>
        <v>0</v>
      </c>
      <c r="AG691">
        <f>IFERROR(_xlfn.XLOOKUP(B691, HoldSummary!$A:$A, HoldSummary!F:F), 0)</f>
        <v>0</v>
      </c>
      <c r="AH691">
        <f>IFERROR(_xlfn.XLOOKUP(B691, HoldSummary!$A:$A, HoldSummary!G:G), 0)</f>
        <v>0</v>
      </c>
      <c r="AI691">
        <f>IFERROR(_xlfn.XLOOKUP(B691, HoldSummary!$A:$A, HoldSummary!H:H), 0)</f>
        <v>0</v>
      </c>
      <c r="AJ691">
        <f>IFERROR(_xlfn.XLOOKUP(B691, HoldSummary!$A:$A, HoldSummary!I:I), 0)</f>
        <v>0</v>
      </c>
      <c r="AK691">
        <f t="shared" si="105"/>
        <v>1</v>
      </c>
      <c r="AL691">
        <f t="shared" si="106"/>
        <v>94.147974537037953</v>
      </c>
      <c r="AM691">
        <f t="shared" si="107"/>
        <v>78.147974537037953</v>
      </c>
      <c r="AN691" s="12">
        <f t="shared" si="108"/>
        <v>-21.208333333335759</v>
      </c>
      <c r="AO691">
        <f t="shared" si="109"/>
        <v>1</v>
      </c>
    </row>
    <row r="692" spans="1:41" x14ac:dyDescent="0.35">
      <c r="A692" t="s">
        <v>23</v>
      </c>
      <c r="B692" t="s">
        <v>1543</v>
      </c>
      <c r="C692" t="s">
        <v>461</v>
      </c>
      <c r="D692" t="s">
        <v>44</v>
      </c>
      <c r="E692" t="s">
        <v>45</v>
      </c>
      <c r="F692" t="s">
        <v>1441</v>
      </c>
      <c r="G692">
        <v>7</v>
      </c>
      <c r="H692" t="s">
        <v>1544</v>
      </c>
      <c r="I692" t="s">
        <v>30</v>
      </c>
      <c r="J692" t="s">
        <v>31</v>
      </c>
      <c r="K692" t="s">
        <v>48</v>
      </c>
      <c r="L692" t="s">
        <v>39</v>
      </c>
      <c r="N692" s="2">
        <v>45523.527581018519</v>
      </c>
      <c r="O692" s="2">
        <v>45595.166666666664</v>
      </c>
      <c r="P692" s="2">
        <v>45595.166666666664</v>
      </c>
      <c r="Q692" s="2">
        <v>45608</v>
      </c>
      <c r="R692" s="2">
        <v>45608.88524358796</v>
      </c>
      <c r="S692" t="s">
        <v>1545</v>
      </c>
      <c r="T692" s="2"/>
      <c r="U692" s="2"/>
      <c r="V692" s="2"/>
      <c r="W692" s="2"/>
      <c r="X692" s="3" t="str">
        <f t="shared" si="100"/>
        <v/>
      </c>
      <c r="Y692" t="str">
        <f t="shared" si="101"/>
        <v/>
      </c>
      <c r="Z692">
        <f t="shared" si="102"/>
        <v>0</v>
      </c>
      <c r="AA692">
        <f t="shared" si="103"/>
        <v>84.472418981480587</v>
      </c>
      <c r="AB692">
        <f t="shared" si="104"/>
        <v>84.472418981480587</v>
      </c>
      <c r="AC692">
        <f>IFERROR(_xlfn.XLOOKUP(B692, HoldSummary!$A:$A, HoldSummary!B:B), 0)</f>
        <v>0</v>
      </c>
      <c r="AD692">
        <f>IFERROR(_xlfn.XLOOKUP(B692, HoldSummary!$A:$A, HoldSummary!C:C), 0)</f>
        <v>0</v>
      </c>
      <c r="AE692">
        <f>IFERROR(_xlfn.XLOOKUP(B692, HoldSummary!$A:$A, HoldSummary!D:D), 0)</f>
        <v>0</v>
      </c>
      <c r="AF692">
        <f>IFERROR(_xlfn.XLOOKUP(B692, HoldSummary!$A:$A, HoldSummary!E:E), 0)</f>
        <v>0</v>
      </c>
      <c r="AG692">
        <f>IFERROR(_xlfn.XLOOKUP(B692, HoldSummary!$A:$A, HoldSummary!F:F), 0)</f>
        <v>0</v>
      </c>
      <c r="AH692">
        <f>IFERROR(_xlfn.XLOOKUP(B692, HoldSummary!$A:$A, HoldSummary!G:G), 0)</f>
        <v>0</v>
      </c>
      <c r="AI692">
        <f>IFERROR(_xlfn.XLOOKUP(B692, HoldSummary!$A:$A, HoldSummary!H:H), 0)</f>
        <v>0</v>
      </c>
      <c r="AJ692">
        <f>IFERROR(_xlfn.XLOOKUP(B692, HoldSummary!$A:$A, HoldSummary!I:I), 0)</f>
        <v>0</v>
      </c>
      <c r="AK692">
        <f t="shared" si="105"/>
        <v>0</v>
      </c>
      <c r="AL692">
        <f t="shared" si="106"/>
        <v>84.472418981480587</v>
      </c>
      <c r="AM692">
        <f t="shared" si="107"/>
        <v>84.472418981480587</v>
      </c>
      <c r="AN692" s="12">
        <f t="shared" si="108"/>
        <v>12.833333333335759</v>
      </c>
      <c r="AO692">
        <f t="shared" si="109"/>
        <v>0</v>
      </c>
    </row>
    <row r="693" spans="1:41" x14ac:dyDescent="0.35">
      <c r="A693" t="s">
        <v>23</v>
      </c>
      <c r="B693" t="s">
        <v>1546</v>
      </c>
      <c r="C693" t="s">
        <v>54</v>
      </c>
      <c r="D693" t="s">
        <v>44</v>
      </c>
      <c r="E693" t="s">
        <v>45</v>
      </c>
      <c r="F693" t="s">
        <v>1441</v>
      </c>
      <c r="G693">
        <v>8</v>
      </c>
      <c r="H693" t="s">
        <v>1547</v>
      </c>
      <c r="I693" t="s">
        <v>30</v>
      </c>
      <c r="J693" t="s">
        <v>70</v>
      </c>
      <c r="K693" t="s">
        <v>349</v>
      </c>
      <c r="L693" t="s">
        <v>414</v>
      </c>
      <c r="N693" s="2">
        <v>44692.856909722221</v>
      </c>
      <c r="O693" s="2">
        <v>45205.166666666664</v>
      </c>
      <c r="P693" s="2">
        <v>45404.166666666664</v>
      </c>
      <c r="Q693" s="2">
        <v>45401</v>
      </c>
      <c r="R693" s="2">
        <v>45401.558160949076</v>
      </c>
      <c r="S693" t="s">
        <v>1548</v>
      </c>
      <c r="T693" s="2"/>
      <c r="U693" s="2"/>
      <c r="V693" s="2"/>
      <c r="W693" s="2"/>
      <c r="X693" s="3" t="str">
        <f t="shared" si="100"/>
        <v/>
      </c>
      <c r="Y693" t="str">
        <f t="shared" si="101"/>
        <v/>
      </c>
      <c r="Z693">
        <f t="shared" si="102"/>
        <v>0</v>
      </c>
      <c r="AA693">
        <f t="shared" si="103"/>
        <v>708.14309027777927</v>
      </c>
      <c r="AB693">
        <f t="shared" si="104"/>
        <v>708.14309027777927</v>
      </c>
      <c r="AC693">
        <f>IFERROR(_xlfn.XLOOKUP(B693, HoldSummary!$A:$A, HoldSummary!B:B), 0)</f>
        <v>0</v>
      </c>
      <c r="AD693">
        <f>IFERROR(_xlfn.XLOOKUP(B693, HoldSummary!$A:$A, HoldSummary!C:C), 0)</f>
        <v>0</v>
      </c>
      <c r="AE693">
        <f>IFERROR(_xlfn.XLOOKUP(B693, HoldSummary!$A:$A, HoldSummary!D:D), 0)</f>
        <v>0</v>
      </c>
      <c r="AF693">
        <f>IFERROR(_xlfn.XLOOKUP(B693, HoldSummary!$A:$A, HoldSummary!E:E), 0)</f>
        <v>0</v>
      </c>
      <c r="AG693">
        <f>IFERROR(_xlfn.XLOOKUP(B693, HoldSummary!$A:$A, HoldSummary!F:F), 0)</f>
        <v>0</v>
      </c>
      <c r="AH693">
        <f>IFERROR(_xlfn.XLOOKUP(B693, HoldSummary!$A:$A, HoldSummary!G:G), 0)</f>
        <v>0</v>
      </c>
      <c r="AI693">
        <f>IFERROR(_xlfn.XLOOKUP(B693, HoldSummary!$A:$A, HoldSummary!H:H), 0)</f>
        <v>0</v>
      </c>
      <c r="AJ693">
        <f>IFERROR(_xlfn.XLOOKUP(B693, HoldSummary!$A:$A, HoldSummary!I:I), 0)</f>
        <v>13.984562395839021</v>
      </c>
      <c r="AK693">
        <f t="shared" si="105"/>
        <v>13.984562395839021</v>
      </c>
      <c r="AL693">
        <f t="shared" si="106"/>
        <v>694.15852788194024</v>
      </c>
      <c r="AM693">
        <f t="shared" si="107"/>
        <v>694.15852788194024</v>
      </c>
      <c r="AN693" s="12">
        <f t="shared" si="108"/>
        <v>195.83333333333576</v>
      </c>
      <c r="AO693">
        <f t="shared" si="109"/>
        <v>0</v>
      </c>
    </row>
    <row r="694" spans="1:41" x14ac:dyDescent="0.35">
      <c r="A694" t="s">
        <v>23</v>
      </c>
      <c r="B694" t="s">
        <v>1549</v>
      </c>
      <c r="C694" t="s">
        <v>113</v>
      </c>
      <c r="D694" t="s">
        <v>44</v>
      </c>
      <c r="E694" t="s">
        <v>45</v>
      </c>
      <c r="F694" t="s">
        <v>1441</v>
      </c>
      <c r="G694">
        <v>8</v>
      </c>
      <c r="H694" t="s">
        <v>1550</v>
      </c>
      <c r="I694" t="s">
        <v>30</v>
      </c>
      <c r="J694" t="s">
        <v>31</v>
      </c>
      <c r="K694" t="s">
        <v>38</v>
      </c>
      <c r="L694" t="s">
        <v>39</v>
      </c>
      <c r="N694" s="2">
        <v>45296.803182870368</v>
      </c>
      <c r="O694" s="2">
        <v>45398.166666666664</v>
      </c>
      <c r="P694" s="2">
        <v>45436.166666666664</v>
      </c>
      <c r="Q694" s="2">
        <v>45426</v>
      </c>
      <c r="R694" s="2">
        <v>45427.815180185185</v>
      </c>
      <c r="S694" t="s">
        <v>426</v>
      </c>
      <c r="T694" s="2">
        <v>45349.208333333336</v>
      </c>
      <c r="U694" s="2">
        <v>45351.208333333336</v>
      </c>
      <c r="V694" s="2">
        <v>45351.208333333336</v>
      </c>
      <c r="W694" s="2">
        <v>45351.208333333336</v>
      </c>
      <c r="X694" s="3">
        <f t="shared" si="100"/>
        <v>2</v>
      </c>
      <c r="Y694">
        <f t="shared" si="101"/>
        <v>0</v>
      </c>
      <c r="Z694">
        <f t="shared" si="102"/>
        <v>2</v>
      </c>
      <c r="AA694">
        <f t="shared" si="103"/>
        <v>129.19681712963211</v>
      </c>
      <c r="AB694">
        <f t="shared" si="104"/>
        <v>127.19681712963211</v>
      </c>
      <c r="AC694">
        <f>IFERROR(_xlfn.XLOOKUP(B694, HoldSummary!$A:$A, HoldSummary!B:B), 0)</f>
        <v>0</v>
      </c>
      <c r="AD694">
        <f>IFERROR(_xlfn.XLOOKUP(B694, HoldSummary!$A:$A, HoldSummary!C:C), 0)</f>
        <v>0</v>
      </c>
      <c r="AE694">
        <f>IFERROR(_xlfn.XLOOKUP(B694, HoldSummary!$A:$A, HoldSummary!D:D), 0)</f>
        <v>0</v>
      </c>
      <c r="AF694">
        <f>IFERROR(_xlfn.XLOOKUP(B694, HoldSummary!$A:$A, HoldSummary!E:E), 0)</f>
        <v>0</v>
      </c>
      <c r="AG694">
        <f>IFERROR(_xlfn.XLOOKUP(B694, HoldSummary!$A:$A, HoldSummary!F:F), 0)</f>
        <v>0</v>
      </c>
      <c r="AH694">
        <f>IFERROR(_xlfn.XLOOKUP(B694, HoldSummary!$A:$A, HoldSummary!G:G), 0)</f>
        <v>0</v>
      </c>
      <c r="AI694">
        <f>IFERROR(_xlfn.XLOOKUP(B694, HoldSummary!$A:$A, HoldSummary!H:H), 0)</f>
        <v>0</v>
      </c>
      <c r="AJ694">
        <f>IFERROR(_xlfn.XLOOKUP(B694, HoldSummary!$A:$A, HoldSummary!I:I), 0)</f>
        <v>0</v>
      </c>
      <c r="AK694">
        <f t="shared" si="105"/>
        <v>0</v>
      </c>
      <c r="AL694">
        <f t="shared" si="106"/>
        <v>129.19681712963211</v>
      </c>
      <c r="AM694">
        <f t="shared" si="107"/>
        <v>127.19681712963211</v>
      </c>
      <c r="AN694" s="12">
        <f t="shared" si="108"/>
        <v>27.833333333335759</v>
      </c>
      <c r="AO694">
        <f t="shared" si="109"/>
        <v>0</v>
      </c>
    </row>
    <row r="695" spans="1:41" x14ac:dyDescent="0.35">
      <c r="A695" t="s">
        <v>23</v>
      </c>
      <c r="B695">
        <v>104660</v>
      </c>
      <c r="C695" t="s">
        <v>113</v>
      </c>
      <c r="D695" t="s">
        <v>44</v>
      </c>
      <c r="E695" t="s">
        <v>55</v>
      </c>
      <c r="F695" t="s">
        <v>1441</v>
      </c>
      <c r="G695">
        <v>8</v>
      </c>
      <c r="H695" t="s">
        <v>1551</v>
      </c>
      <c r="I695" t="s">
        <v>30</v>
      </c>
      <c r="J695" t="s">
        <v>31</v>
      </c>
      <c r="K695" t="s">
        <v>57</v>
      </c>
      <c r="L695" t="s">
        <v>39</v>
      </c>
      <c r="N695" s="2">
        <v>45363.166666666664</v>
      </c>
      <c r="O695" s="2">
        <v>45503.166666666664</v>
      </c>
      <c r="P695" s="2">
        <v>45450.166666666664</v>
      </c>
      <c r="Q695" s="2">
        <v>45447</v>
      </c>
      <c r="R695" s="2">
        <v>45447.68092846065</v>
      </c>
      <c r="S695" t="s">
        <v>306</v>
      </c>
      <c r="T695" s="2">
        <v>45385.166666666664</v>
      </c>
      <c r="U695" s="2">
        <v>45397.166666666664</v>
      </c>
      <c r="V695" s="2">
        <v>45397.166666666664</v>
      </c>
      <c r="W695" s="2">
        <v>45406.166666666664</v>
      </c>
      <c r="X695" s="3">
        <f t="shared" si="100"/>
        <v>12</v>
      </c>
      <c r="Y695">
        <f t="shared" si="101"/>
        <v>9</v>
      </c>
      <c r="Z695">
        <f t="shared" si="102"/>
        <v>21</v>
      </c>
      <c r="AA695">
        <f t="shared" si="103"/>
        <v>83.833333333335759</v>
      </c>
      <c r="AB695">
        <f t="shared" si="104"/>
        <v>62.833333333335759</v>
      </c>
      <c r="AC695">
        <f>IFERROR(_xlfn.XLOOKUP(B695, HoldSummary!$A:$A, HoldSummary!B:B), 0)</f>
        <v>0</v>
      </c>
      <c r="AD695">
        <f>IFERROR(_xlfn.XLOOKUP(B695, HoldSummary!$A:$A, HoldSummary!C:C), 0)</f>
        <v>0</v>
      </c>
      <c r="AE695">
        <f>IFERROR(_xlfn.XLOOKUP(B695, HoldSummary!$A:$A, HoldSummary!D:D), 0)</f>
        <v>0</v>
      </c>
      <c r="AF695">
        <f>IFERROR(_xlfn.XLOOKUP(B695, HoldSummary!$A:$A, HoldSummary!E:E), 0)</f>
        <v>0</v>
      </c>
      <c r="AG695">
        <f>IFERROR(_xlfn.XLOOKUP(B695, HoldSummary!$A:$A, HoldSummary!F:F), 0)</f>
        <v>0</v>
      </c>
      <c r="AH695">
        <f>IFERROR(_xlfn.XLOOKUP(B695, HoldSummary!$A:$A, HoldSummary!G:G), 0)</f>
        <v>0</v>
      </c>
      <c r="AI695">
        <f>IFERROR(_xlfn.XLOOKUP(B695, HoldSummary!$A:$A, HoldSummary!H:H), 0)</f>
        <v>0</v>
      </c>
      <c r="AJ695">
        <f>IFERROR(_xlfn.XLOOKUP(B695, HoldSummary!$A:$A, HoldSummary!I:I), 0)</f>
        <v>0</v>
      </c>
      <c r="AK695">
        <f t="shared" si="105"/>
        <v>0</v>
      </c>
      <c r="AL695">
        <f t="shared" si="106"/>
        <v>83.833333333335759</v>
      </c>
      <c r="AM695">
        <f t="shared" si="107"/>
        <v>62.833333333335759</v>
      </c>
      <c r="AN695" s="12">
        <f t="shared" si="108"/>
        <v>-56.166666666664241</v>
      </c>
      <c r="AO695">
        <f t="shared" si="109"/>
        <v>1</v>
      </c>
    </row>
    <row r="696" spans="1:41" x14ac:dyDescent="0.35">
      <c r="A696" t="s">
        <v>23</v>
      </c>
      <c r="B696" t="s">
        <v>1552</v>
      </c>
      <c r="C696" t="s">
        <v>54</v>
      </c>
      <c r="D696" t="s">
        <v>44</v>
      </c>
      <c r="E696" t="s">
        <v>45</v>
      </c>
      <c r="F696" t="s">
        <v>1441</v>
      </c>
      <c r="G696">
        <v>8</v>
      </c>
      <c r="H696" t="s">
        <v>1553</v>
      </c>
      <c r="I696" t="s">
        <v>30</v>
      </c>
      <c r="J696" t="s">
        <v>31</v>
      </c>
      <c r="K696" t="s">
        <v>38</v>
      </c>
      <c r="L696" t="s">
        <v>39</v>
      </c>
      <c r="M696" t="s">
        <v>33</v>
      </c>
      <c r="N696" s="2">
        <v>45490.492731481485</v>
      </c>
      <c r="O696" s="2">
        <v>45664.208333333336</v>
      </c>
      <c r="P696" s="2">
        <v>45553.166666666664</v>
      </c>
      <c r="Q696" s="2">
        <v>45552</v>
      </c>
      <c r="R696" s="2">
        <v>45553.051434849534</v>
      </c>
      <c r="S696" t="s">
        <v>322</v>
      </c>
      <c r="T696" s="2">
        <v>45516.166666666664</v>
      </c>
      <c r="U696" s="2">
        <v>45516.166666666664</v>
      </c>
      <c r="V696" s="2">
        <v>45516.166666666664</v>
      </c>
      <c r="W696" s="2">
        <v>45533.166666666664</v>
      </c>
      <c r="X696" s="3">
        <f t="shared" si="100"/>
        <v>0</v>
      </c>
      <c r="Y696">
        <f t="shared" si="101"/>
        <v>17</v>
      </c>
      <c r="Z696">
        <f t="shared" si="102"/>
        <v>17</v>
      </c>
      <c r="AA696">
        <f t="shared" si="103"/>
        <v>61.507268518515048</v>
      </c>
      <c r="AB696">
        <f t="shared" si="104"/>
        <v>44.507268518515048</v>
      </c>
      <c r="AC696">
        <f>IFERROR(_xlfn.XLOOKUP(B696, HoldSummary!$A:$A, HoldSummary!B:B), 0)</f>
        <v>0</v>
      </c>
      <c r="AD696">
        <f>IFERROR(_xlfn.XLOOKUP(B696, HoldSummary!$A:$A, HoldSummary!C:C), 0)</f>
        <v>0</v>
      </c>
      <c r="AE696">
        <f>IFERROR(_xlfn.XLOOKUP(B696, HoldSummary!$A:$A, HoldSummary!D:D), 0)</f>
        <v>0</v>
      </c>
      <c r="AF696">
        <f>IFERROR(_xlfn.XLOOKUP(B696, HoldSummary!$A:$A, HoldSummary!E:E), 0)</f>
        <v>0</v>
      </c>
      <c r="AG696">
        <f>IFERROR(_xlfn.XLOOKUP(B696, HoldSummary!$A:$A, HoldSummary!F:F), 0)</f>
        <v>0</v>
      </c>
      <c r="AH696">
        <f>IFERROR(_xlfn.XLOOKUP(B696, HoldSummary!$A:$A, HoldSummary!G:G), 0)</f>
        <v>0</v>
      </c>
      <c r="AI696">
        <f>IFERROR(_xlfn.XLOOKUP(B696, HoldSummary!$A:$A, HoldSummary!H:H), 0)</f>
        <v>0</v>
      </c>
      <c r="AJ696">
        <f>IFERROR(_xlfn.XLOOKUP(B696, HoldSummary!$A:$A, HoldSummary!I:I), 0)</f>
        <v>0</v>
      </c>
      <c r="AK696">
        <f t="shared" si="105"/>
        <v>0</v>
      </c>
      <c r="AL696">
        <f t="shared" si="106"/>
        <v>61.507268518515048</v>
      </c>
      <c r="AM696">
        <f t="shared" si="107"/>
        <v>44.507268518515048</v>
      </c>
      <c r="AN696" s="12">
        <f t="shared" si="108"/>
        <v>-112.20833333333576</v>
      </c>
      <c r="AO696">
        <f t="shared" si="109"/>
        <v>1</v>
      </c>
    </row>
    <row r="697" spans="1:41" x14ac:dyDescent="0.35">
      <c r="A697" t="s">
        <v>23</v>
      </c>
      <c r="B697">
        <v>107185</v>
      </c>
      <c r="C697" t="s">
        <v>76</v>
      </c>
      <c r="D697" t="s">
        <v>44</v>
      </c>
      <c r="E697" t="s">
        <v>55</v>
      </c>
      <c r="F697" t="s">
        <v>1441</v>
      </c>
      <c r="G697">
        <v>8</v>
      </c>
      <c r="H697" t="s">
        <v>1554</v>
      </c>
      <c r="I697" t="s">
        <v>30</v>
      </c>
      <c r="J697" t="s">
        <v>31</v>
      </c>
      <c r="K697" t="s">
        <v>57</v>
      </c>
      <c r="L697" t="s">
        <v>39</v>
      </c>
      <c r="M697" t="s">
        <v>81</v>
      </c>
      <c r="N697" s="2">
        <v>45497.166666666664</v>
      </c>
      <c r="O697" s="2">
        <v>45601.208333333336</v>
      </c>
      <c r="P697" s="2">
        <v>45601.208333333336</v>
      </c>
      <c r="Q697" s="2">
        <v>45572</v>
      </c>
      <c r="R697" s="2">
        <v>45572.877535300926</v>
      </c>
      <c r="S697" t="s">
        <v>834</v>
      </c>
      <c r="T697" s="2">
        <v>45554.166666666664</v>
      </c>
      <c r="U697" s="2">
        <v>45560.166666666664</v>
      </c>
      <c r="V697" s="2">
        <v>45560.166666666664</v>
      </c>
      <c r="W697" s="2">
        <v>45562.166666666664</v>
      </c>
      <c r="X697" s="3">
        <f t="shared" si="100"/>
        <v>6</v>
      </c>
      <c r="Y697">
        <f t="shared" si="101"/>
        <v>2</v>
      </c>
      <c r="Z697">
        <f t="shared" si="102"/>
        <v>8</v>
      </c>
      <c r="AA697">
        <f t="shared" si="103"/>
        <v>74.833333333335759</v>
      </c>
      <c r="AB697">
        <f t="shared" si="104"/>
        <v>66.833333333335759</v>
      </c>
      <c r="AC697">
        <f>IFERROR(_xlfn.XLOOKUP(B697, HoldSummary!$A:$A, HoldSummary!B:B), 0)</f>
        <v>4</v>
      </c>
      <c r="AD697">
        <f>IFERROR(_xlfn.XLOOKUP(B697, HoldSummary!$A:$A, HoldSummary!C:C), 0)</f>
        <v>0</v>
      </c>
      <c r="AE697">
        <f>IFERROR(_xlfn.XLOOKUP(B697, HoldSummary!$A:$A, HoldSummary!D:D), 0)</f>
        <v>0</v>
      </c>
      <c r="AF697">
        <f>IFERROR(_xlfn.XLOOKUP(B697, HoldSummary!$A:$A, HoldSummary!E:E), 0)</f>
        <v>0</v>
      </c>
      <c r="AG697">
        <f>IFERROR(_xlfn.XLOOKUP(B697, HoldSummary!$A:$A, HoldSummary!F:F), 0)</f>
        <v>4</v>
      </c>
      <c r="AH697">
        <f>IFERROR(_xlfn.XLOOKUP(B697, HoldSummary!$A:$A, HoldSummary!G:G), 0)</f>
        <v>0</v>
      </c>
      <c r="AI697">
        <f>IFERROR(_xlfn.XLOOKUP(B697, HoldSummary!$A:$A, HoldSummary!H:H), 0)</f>
        <v>0</v>
      </c>
      <c r="AJ697">
        <f>IFERROR(_xlfn.XLOOKUP(B697, HoldSummary!$A:$A, HoldSummary!I:I), 0)</f>
        <v>0</v>
      </c>
      <c r="AK697">
        <f t="shared" si="105"/>
        <v>8</v>
      </c>
      <c r="AL697">
        <f t="shared" si="106"/>
        <v>66.833333333335759</v>
      </c>
      <c r="AM697">
        <f t="shared" si="107"/>
        <v>58.833333333335759</v>
      </c>
      <c r="AN697" s="12">
        <f t="shared" si="108"/>
        <v>-29.208333333335759</v>
      </c>
      <c r="AO697">
        <f t="shared" si="109"/>
        <v>1</v>
      </c>
    </row>
    <row r="698" spans="1:41" x14ac:dyDescent="0.35">
      <c r="A698" t="s">
        <v>23</v>
      </c>
      <c r="B698" t="s">
        <v>1555</v>
      </c>
      <c r="C698" t="s">
        <v>43</v>
      </c>
      <c r="D698" t="s">
        <v>44</v>
      </c>
      <c r="E698" t="s">
        <v>45</v>
      </c>
      <c r="F698" t="s">
        <v>1441</v>
      </c>
      <c r="G698">
        <v>9</v>
      </c>
      <c r="H698" t="s">
        <v>1556</v>
      </c>
      <c r="I698" t="s">
        <v>30</v>
      </c>
      <c r="J698" t="s">
        <v>70</v>
      </c>
      <c r="K698" t="s">
        <v>38</v>
      </c>
      <c r="L698" t="s">
        <v>39</v>
      </c>
      <c r="N698" s="2">
        <v>45148.723090277781</v>
      </c>
      <c r="O698" s="2">
        <v>45196.166666666664</v>
      </c>
      <c r="P698" s="2">
        <v>45282.208333333336</v>
      </c>
      <c r="Q698" s="2">
        <v>45294</v>
      </c>
      <c r="R698" s="2">
        <v>45294.900344861111</v>
      </c>
      <c r="T698" s="2"/>
      <c r="U698" s="2"/>
      <c r="V698" s="2"/>
      <c r="W698" s="2"/>
      <c r="X698" s="3" t="str">
        <f t="shared" si="100"/>
        <v/>
      </c>
      <c r="Y698" t="str">
        <f t="shared" si="101"/>
        <v/>
      </c>
      <c r="Z698">
        <f t="shared" si="102"/>
        <v>0</v>
      </c>
      <c r="AA698">
        <f t="shared" si="103"/>
        <v>145.27690972221899</v>
      </c>
      <c r="AB698">
        <f t="shared" si="104"/>
        <v>145.27690972221899</v>
      </c>
      <c r="AC698">
        <f>IFERROR(_xlfn.XLOOKUP(B698, HoldSummary!$A:$A, HoldSummary!B:B), 0)</f>
        <v>0</v>
      </c>
      <c r="AD698">
        <f>IFERROR(_xlfn.XLOOKUP(B698, HoldSummary!$A:$A, HoldSummary!C:C), 0)</f>
        <v>0</v>
      </c>
      <c r="AE698">
        <f>IFERROR(_xlfn.XLOOKUP(B698, HoldSummary!$A:$A, HoldSummary!D:D), 0)</f>
        <v>0</v>
      </c>
      <c r="AF698">
        <f>IFERROR(_xlfn.XLOOKUP(B698, HoldSummary!$A:$A, HoldSummary!E:E), 0)</f>
        <v>0</v>
      </c>
      <c r="AG698">
        <f>IFERROR(_xlfn.XLOOKUP(B698, HoldSummary!$A:$A, HoldSummary!F:F), 0)</f>
        <v>0</v>
      </c>
      <c r="AH698">
        <f>IFERROR(_xlfn.XLOOKUP(B698, HoldSummary!$A:$A, HoldSummary!G:G), 0)</f>
        <v>0</v>
      </c>
      <c r="AI698">
        <f>IFERROR(_xlfn.XLOOKUP(B698, HoldSummary!$A:$A, HoldSummary!H:H), 0)</f>
        <v>0</v>
      </c>
      <c r="AJ698">
        <f>IFERROR(_xlfn.XLOOKUP(B698, HoldSummary!$A:$A, HoldSummary!I:I), 0)</f>
        <v>0</v>
      </c>
      <c r="AK698">
        <f t="shared" si="105"/>
        <v>0</v>
      </c>
      <c r="AL698">
        <f t="shared" si="106"/>
        <v>145.27690972221899</v>
      </c>
      <c r="AM698">
        <f t="shared" si="107"/>
        <v>145.27690972221899</v>
      </c>
      <c r="AN698" s="12">
        <f t="shared" si="108"/>
        <v>97.833333333335759</v>
      </c>
      <c r="AO698">
        <f t="shared" si="109"/>
        <v>0</v>
      </c>
    </row>
    <row r="699" spans="1:41" x14ac:dyDescent="0.35">
      <c r="A699" t="s">
        <v>23</v>
      </c>
      <c r="B699">
        <v>102680</v>
      </c>
      <c r="C699" t="s">
        <v>113</v>
      </c>
      <c r="D699" t="s">
        <v>44</v>
      </c>
      <c r="E699" t="s">
        <v>55</v>
      </c>
      <c r="F699" t="s">
        <v>1441</v>
      </c>
      <c r="G699">
        <v>9</v>
      </c>
      <c r="H699" t="s">
        <v>1557</v>
      </c>
      <c r="I699" t="s">
        <v>30</v>
      </c>
      <c r="J699" t="s">
        <v>31</v>
      </c>
      <c r="K699" t="s">
        <v>57</v>
      </c>
      <c r="L699" t="s">
        <v>39</v>
      </c>
      <c r="N699" s="2">
        <v>45260.208333333336</v>
      </c>
      <c r="O699" s="2">
        <v>45426.166666666664</v>
      </c>
      <c r="P699" s="2">
        <v>45504.166666666664</v>
      </c>
      <c r="Q699" s="2">
        <v>45504</v>
      </c>
      <c r="R699" s="2">
        <v>45504.627005196759</v>
      </c>
      <c r="S699" t="s">
        <v>215</v>
      </c>
      <c r="T699" s="2">
        <v>45317.208333333336</v>
      </c>
      <c r="U699" s="2">
        <v>45329.208333333336</v>
      </c>
      <c r="V699" s="2">
        <v>45329.208333333336</v>
      </c>
      <c r="W699" s="2">
        <v>45436.166666666664</v>
      </c>
      <c r="X699" s="3">
        <f t="shared" si="100"/>
        <v>12</v>
      </c>
      <c r="Y699">
        <f t="shared" si="101"/>
        <v>106.95833333332848</v>
      </c>
      <c r="Z699">
        <f t="shared" si="102"/>
        <v>118.95833333332848</v>
      </c>
      <c r="AA699">
        <f t="shared" si="103"/>
        <v>243.79166666666424</v>
      </c>
      <c r="AB699">
        <f t="shared" si="104"/>
        <v>124.83333333333576</v>
      </c>
      <c r="AC699">
        <f>IFERROR(_xlfn.XLOOKUP(B699, HoldSummary!$A:$A, HoldSummary!B:B), 0)</f>
        <v>0</v>
      </c>
      <c r="AD699">
        <f>IFERROR(_xlfn.XLOOKUP(B699, HoldSummary!$A:$A, HoldSummary!C:C), 0)</f>
        <v>0</v>
      </c>
      <c r="AE699">
        <f>IFERROR(_xlfn.XLOOKUP(B699, HoldSummary!$A:$A, HoldSummary!D:D), 0)</f>
        <v>0</v>
      </c>
      <c r="AF699">
        <f>IFERROR(_xlfn.XLOOKUP(B699, HoldSummary!$A:$A, HoldSummary!E:E), 0)</f>
        <v>0</v>
      </c>
      <c r="AG699">
        <f>IFERROR(_xlfn.XLOOKUP(B699, HoldSummary!$A:$A, HoldSummary!F:F), 0)</f>
        <v>0</v>
      </c>
      <c r="AH699">
        <f>IFERROR(_xlfn.XLOOKUP(B699, HoldSummary!$A:$A, HoldSummary!G:G), 0)</f>
        <v>0</v>
      </c>
      <c r="AI699">
        <f>IFERROR(_xlfn.XLOOKUP(B699, HoldSummary!$A:$A, HoldSummary!H:H), 0)</f>
        <v>0</v>
      </c>
      <c r="AJ699">
        <f>IFERROR(_xlfn.XLOOKUP(B699, HoldSummary!$A:$A, HoldSummary!I:I), 0)</f>
        <v>0</v>
      </c>
      <c r="AK699">
        <f t="shared" si="105"/>
        <v>0</v>
      </c>
      <c r="AL699">
        <f t="shared" si="106"/>
        <v>243.79166666666424</v>
      </c>
      <c r="AM699">
        <f t="shared" si="107"/>
        <v>124.83333333333576</v>
      </c>
      <c r="AN699" s="12">
        <f t="shared" si="108"/>
        <v>77.833333333335759</v>
      </c>
      <c r="AO699">
        <f t="shared" si="109"/>
        <v>0</v>
      </c>
    </row>
    <row r="700" spans="1:41" x14ac:dyDescent="0.35">
      <c r="A700" t="s">
        <v>23</v>
      </c>
      <c r="B700" t="s">
        <v>1558</v>
      </c>
      <c r="C700" t="s">
        <v>54</v>
      </c>
      <c r="D700" t="s">
        <v>44</v>
      </c>
      <c r="E700" t="s">
        <v>45</v>
      </c>
      <c r="F700" t="s">
        <v>1441</v>
      </c>
      <c r="G700">
        <v>9</v>
      </c>
      <c r="H700" t="s">
        <v>1559</v>
      </c>
      <c r="I700" t="s">
        <v>30</v>
      </c>
      <c r="J700" t="s">
        <v>31</v>
      </c>
      <c r="K700" t="s">
        <v>38</v>
      </c>
      <c r="L700" t="s">
        <v>39</v>
      </c>
      <c r="N700" s="2">
        <v>45175.604166666664</v>
      </c>
      <c r="O700" s="2">
        <v>45475.166666666664</v>
      </c>
      <c r="P700" s="2">
        <v>45545.166666666664</v>
      </c>
      <c r="Q700" s="2">
        <v>45540</v>
      </c>
      <c r="R700" s="2">
        <v>45540.781029398146</v>
      </c>
      <c r="S700" t="s">
        <v>322</v>
      </c>
      <c r="T700" s="2">
        <v>45302.208333333336</v>
      </c>
      <c r="U700" s="2">
        <v>45415.166666666664</v>
      </c>
      <c r="V700" s="2">
        <v>45415.166666666664</v>
      </c>
      <c r="W700" s="2">
        <v>45467.166666666664</v>
      </c>
      <c r="X700" s="3">
        <f t="shared" si="100"/>
        <v>112.95833333332848</v>
      </c>
      <c r="Y700">
        <f t="shared" si="101"/>
        <v>52</v>
      </c>
      <c r="Z700">
        <f t="shared" si="102"/>
        <v>164.95833333332848</v>
      </c>
      <c r="AA700">
        <f t="shared" si="103"/>
        <v>364.39583333333576</v>
      </c>
      <c r="AB700">
        <f t="shared" si="104"/>
        <v>199.43750000000728</v>
      </c>
      <c r="AC700">
        <f>IFERROR(_xlfn.XLOOKUP(B700, HoldSummary!$A:$A, HoldSummary!B:B), 0)</f>
        <v>0</v>
      </c>
      <c r="AD700">
        <f>IFERROR(_xlfn.XLOOKUP(B700, HoldSummary!$A:$A, HoldSummary!C:C), 0)</f>
        <v>0</v>
      </c>
      <c r="AE700">
        <f>IFERROR(_xlfn.XLOOKUP(B700, HoldSummary!$A:$A, HoldSummary!D:D), 0)</f>
        <v>0</v>
      </c>
      <c r="AF700">
        <f>IFERROR(_xlfn.XLOOKUP(B700, HoldSummary!$A:$A, HoldSummary!E:E), 0)</f>
        <v>0</v>
      </c>
      <c r="AG700">
        <f>IFERROR(_xlfn.XLOOKUP(B700, HoldSummary!$A:$A, HoldSummary!F:F), 0)</f>
        <v>0</v>
      </c>
      <c r="AH700">
        <f>IFERROR(_xlfn.XLOOKUP(B700, HoldSummary!$A:$A, HoldSummary!G:G), 0)</f>
        <v>55</v>
      </c>
      <c r="AI700">
        <f>IFERROR(_xlfn.XLOOKUP(B700, HoldSummary!$A:$A, HoldSummary!H:H), 0)</f>
        <v>0</v>
      </c>
      <c r="AJ700">
        <f>IFERROR(_xlfn.XLOOKUP(B700, HoldSummary!$A:$A, HoldSummary!I:I), 0)</f>
        <v>0</v>
      </c>
      <c r="AK700">
        <f t="shared" si="105"/>
        <v>55</v>
      </c>
      <c r="AL700">
        <f t="shared" si="106"/>
        <v>309.39583333333576</v>
      </c>
      <c r="AM700">
        <f t="shared" si="107"/>
        <v>144.43750000000728</v>
      </c>
      <c r="AN700" s="12">
        <f t="shared" si="108"/>
        <v>64.833333333335759</v>
      </c>
      <c r="AO700">
        <f t="shared" si="109"/>
        <v>0</v>
      </c>
    </row>
    <row r="701" spans="1:41" x14ac:dyDescent="0.35">
      <c r="A701" t="s">
        <v>23</v>
      </c>
      <c r="B701" t="s">
        <v>1560</v>
      </c>
      <c r="C701" t="s">
        <v>54</v>
      </c>
      <c r="D701" t="s">
        <v>44</v>
      </c>
      <c r="E701" t="s">
        <v>45</v>
      </c>
      <c r="F701" t="s">
        <v>1441</v>
      </c>
      <c r="G701">
        <v>9</v>
      </c>
      <c r="H701" t="s">
        <v>1561</v>
      </c>
      <c r="I701" t="s">
        <v>30</v>
      </c>
      <c r="J701" t="s">
        <v>31</v>
      </c>
      <c r="K701" t="s">
        <v>38</v>
      </c>
      <c r="L701" t="s">
        <v>39</v>
      </c>
      <c r="N701" s="2">
        <v>45240.583148148151</v>
      </c>
      <c r="O701" s="2">
        <v>45393.166666666664</v>
      </c>
      <c r="P701" s="2">
        <v>45393.166666666664</v>
      </c>
      <c r="Q701" s="2">
        <v>45371</v>
      </c>
      <c r="R701" s="2">
        <v>45372.064474918981</v>
      </c>
      <c r="T701" s="2">
        <v>45302.208333333336</v>
      </c>
      <c r="U701" s="2">
        <v>45308.208333333336</v>
      </c>
      <c r="V701" s="2">
        <v>45308.208333333336</v>
      </c>
      <c r="W701" s="2">
        <v>45349.208333333336</v>
      </c>
      <c r="X701" s="3">
        <f t="shared" si="100"/>
        <v>6</v>
      </c>
      <c r="Y701">
        <f t="shared" si="101"/>
        <v>41</v>
      </c>
      <c r="Z701">
        <f t="shared" si="102"/>
        <v>47</v>
      </c>
      <c r="AA701">
        <f t="shared" si="103"/>
        <v>130.41685185184906</v>
      </c>
      <c r="AB701">
        <f t="shared" si="104"/>
        <v>83.41685185184906</v>
      </c>
      <c r="AC701">
        <f>IFERROR(_xlfn.XLOOKUP(B701, HoldSummary!$A:$A, HoldSummary!B:B), 0)</f>
        <v>0</v>
      </c>
      <c r="AD701">
        <f>IFERROR(_xlfn.XLOOKUP(B701, HoldSummary!$A:$A, HoldSummary!C:C), 0)</f>
        <v>0</v>
      </c>
      <c r="AE701">
        <f>IFERROR(_xlfn.XLOOKUP(B701, HoldSummary!$A:$A, HoldSummary!D:D), 0)</f>
        <v>0</v>
      </c>
      <c r="AF701">
        <f>IFERROR(_xlfn.XLOOKUP(B701, HoldSummary!$A:$A, HoldSummary!E:E), 0)</f>
        <v>0</v>
      </c>
      <c r="AG701">
        <f>IFERROR(_xlfn.XLOOKUP(B701, HoldSummary!$A:$A, HoldSummary!F:F), 0)</f>
        <v>0</v>
      </c>
      <c r="AH701">
        <f>IFERROR(_xlfn.XLOOKUP(B701, HoldSummary!$A:$A, HoldSummary!G:G), 0)</f>
        <v>0</v>
      </c>
      <c r="AI701">
        <f>IFERROR(_xlfn.XLOOKUP(B701, HoldSummary!$A:$A, HoldSummary!H:H), 0)</f>
        <v>0</v>
      </c>
      <c r="AJ701">
        <f>IFERROR(_xlfn.XLOOKUP(B701, HoldSummary!$A:$A, HoldSummary!I:I), 0)</f>
        <v>0</v>
      </c>
      <c r="AK701">
        <f t="shared" si="105"/>
        <v>0</v>
      </c>
      <c r="AL701">
        <f t="shared" si="106"/>
        <v>130.41685185184906</v>
      </c>
      <c r="AM701">
        <f t="shared" si="107"/>
        <v>83.41685185184906</v>
      </c>
      <c r="AN701" s="12">
        <f t="shared" si="108"/>
        <v>-22.166666666664241</v>
      </c>
      <c r="AO701">
        <f t="shared" si="109"/>
        <v>1</v>
      </c>
    </row>
    <row r="702" spans="1:41" x14ac:dyDescent="0.35">
      <c r="A702" t="s">
        <v>23</v>
      </c>
      <c r="B702" t="s">
        <v>1562</v>
      </c>
      <c r="C702" t="s">
        <v>461</v>
      </c>
      <c r="D702" t="s">
        <v>44</v>
      </c>
      <c r="E702" t="s">
        <v>45</v>
      </c>
      <c r="F702" t="s">
        <v>1441</v>
      </c>
      <c r="G702">
        <v>9</v>
      </c>
      <c r="H702" t="s">
        <v>1563</v>
      </c>
      <c r="I702" t="s">
        <v>30</v>
      </c>
      <c r="J702" t="s">
        <v>70</v>
      </c>
      <c r="K702" t="s">
        <v>38</v>
      </c>
      <c r="L702" t="s">
        <v>39</v>
      </c>
      <c r="M702" t="s">
        <v>33</v>
      </c>
      <c r="N702" s="2">
        <v>45586.639305555553</v>
      </c>
      <c r="O702" s="2">
        <v>45625.208333333336</v>
      </c>
      <c r="P702" s="2">
        <v>45625.208333333336</v>
      </c>
      <c r="Q702" s="2">
        <v>45628</v>
      </c>
      <c r="R702" s="2">
        <v>45629.527876458335</v>
      </c>
      <c r="T702" s="2"/>
      <c r="U702" s="2"/>
      <c r="V702" s="2"/>
      <c r="W702" s="2"/>
      <c r="X702" s="3" t="str">
        <f t="shared" si="100"/>
        <v/>
      </c>
      <c r="Y702" t="str">
        <f t="shared" si="101"/>
        <v/>
      </c>
      <c r="Z702">
        <f t="shared" si="102"/>
        <v>0</v>
      </c>
      <c r="AA702">
        <f t="shared" si="103"/>
        <v>41.36069444444729</v>
      </c>
      <c r="AB702">
        <f t="shared" si="104"/>
        <v>41.36069444444729</v>
      </c>
      <c r="AC702">
        <f>IFERROR(_xlfn.XLOOKUP(B702, HoldSummary!$A:$A, HoldSummary!B:B), 0)</f>
        <v>0</v>
      </c>
      <c r="AD702">
        <f>IFERROR(_xlfn.XLOOKUP(B702, HoldSummary!$A:$A, HoldSummary!C:C), 0)</f>
        <v>0</v>
      </c>
      <c r="AE702">
        <f>IFERROR(_xlfn.XLOOKUP(B702, HoldSummary!$A:$A, HoldSummary!D:D), 0)</f>
        <v>0</v>
      </c>
      <c r="AF702">
        <f>IFERROR(_xlfn.XLOOKUP(B702, HoldSummary!$A:$A, HoldSummary!E:E), 0)</f>
        <v>0</v>
      </c>
      <c r="AG702">
        <f>IFERROR(_xlfn.XLOOKUP(B702, HoldSummary!$A:$A, HoldSummary!F:F), 0)</f>
        <v>0</v>
      </c>
      <c r="AH702">
        <f>IFERROR(_xlfn.XLOOKUP(B702, HoldSummary!$A:$A, HoldSummary!G:G), 0)</f>
        <v>0</v>
      </c>
      <c r="AI702">
        <f>IFERROR(_xlfn.XLOOKUP(B702, HoldSummary!$A:$A, HoldSummary!H:H), 0)</f>
        <v>0</v>
      </c>
      <c r="AJ702">
        <f>IFERROR(_xlfn.XLOOKUP(B702, HoldSummary!$A:$A, HoldSummary!I:I), 0)</f>
        <v>0</v>
      </c>
      <c r="AK702">
        <f t="shared" si="105"/>
        <v>0</v>
      </c>
      <c r="AL702">
        <f t="shared" si="106"/>
        <v>41.36069444444729</v>
      </c>
      <c r="AM702">
        <f t="shared" si="107"/>
        <v>41.36069444444729</v>
      </c>
      <c r="AN702" s="12">
        <f t="shared" si="108"/>
        <v>2.7916666666642413</v>
      </c>
      <c r="AO702">
        <f t="shared" si="109"/>
        <v>0</v>
      </c>
    </row>
    <row r="703" spans="1:41" x14ac:dyDescent="0.35">
      <c r="A703" t="s">
        <v>23</v>
      </c>
      <c r="B703" t="s">
        <v>1564</v>
      </c>
      <c r="C703" t="s">
        <v>54</v>
      </c>
      <c r="D703" t="s">
        <v>44</v>
      </c>
      <c r="E703" t="s">
        <v>44</v>
      </c>
      <c r="F703" t="s">
        <v>1441</v>
      </c>
      <c r="G703">
        <v>10</v>
      </c>
      <c r="H703" t="s">
        <v>1565</v>
      </c>
      <c r="I703" t="s">
        <v>30</v>
      </c>
      <c r="J703" t="s">
        <v>70</v>
      </c>
      <c r="K703" t="s">
        <v>349</v>
      </c>
      <c r="L703" t="s">
        <v>414</v>
      </c>
      <c r="N703" s="2">
        <v>45224.166666666664</v>
      </c>
      <c r="O703" s="2">
        <v>45428.166666666664</v>
      </c>
      <c r="P703" s="2">
        <v>45481.166666666664</v>
      </c>
      <c r="Q703" s="2">
        <v>45530</v>
      </c>
      <c r="R703" s="2">
        <v>45530.800586678241</v>
      </c>
      <c r="S703" t="s">
        <v>1566</v>
      </c>
      <c r="T703" s="2"/>
      <c r="U703" s="2"/>
      <c r="V703" s="2"/>
      <c r="W703" s="2"/>
      <c r="X703" s="3" t="str">
        <f t="shared" si="100"/>
        <v/>
      </c>
      <c r="Y703" t="str">
        <f t="shared" si="101"/>
        <v/>
      </c>
      <c r="Z703">
        <f t="shared" si="102"/>
        <v>0</v>
      </c>
      <c r="AA703">
        <f t="shared" si="103"/>
        <v>305.83333333333576</v>
      </c>
      <c r="AB703">
        <f t="shared" si="104"/>
        <v>305.83333333333576</v>
      </c>
      <c r="AC703">
        <f>IFERROR(_xlfn.XLOOKUP(B703, HoldSummary!$A:$A, HoldSummary!B:B), 0)</f>
        <v>0</v>
      </c>
      <c r="AD703">
        <f>IFERROR(_xlfn.XLOOKUP(B703, HoldSummary!$A:$A, HoldSummary!C:C), 0)</f>
        <v>0</v>
      </c>
      <c r="AE703">
        <f>IFERROR(_xlfn.XLOOKUP(B703, HoldSummary!$A:$A, HoldSummary!D:D), 0)</f>
        <v>0</v>
      </c>
      <c r="AF703">
        <f>IFERROR(_xlfn.XLOOKUP(B703, HoldSummary!$A:$A, HoldSummary!E:E), 0)</f>
        <v>0</v>
      </c>
      <c r="AG703">
        <f>IFERROR(_xlfn.XLOOKUP(B703, HoldSummary!$A:$A, HoldSummary!F:F), 0)</f>
        <v>0</v>
      </c>
      <c r="AH703">
        <f>IFERROR(_xlfn.XLOOKUP(B703, HoldSummary!$A:$A, HoldSummary!G:G), 0)</f>
        <v>0</v>
      </c>
      <c r="AI703">
        <f>IFERROR(_xlfn.XLOOKUP(B703, HoldSummary!$A:$A, HoldSummary!H:H), 0)</f>
        <v>0</v>
      </c>
      <c r="AJ703">
        <f>IFERROR(_xlfn.XLOOKUP(B703, HoldSummary!$A:$A, HoldSummary!I:I), 0)</f>
        <v>0</v>
      </c>
      <c r="AK703">
        <f t="shared" si="105"/>
        <v>0</v>
      </c>
      <c r="AL703">
        <f t="shared" si="106"/>
        <v>305.83333333333576</v>
      </c>
      <c r="AM703">
        <f t="shared" si="107"/>
        <v>305.83333333333576</v>
      </c>
      <c r="AN703" s="12">
        <f t="shared" si="108"/>
        <v>101.83333333333576</v>
      </c>
      <c r="AO703">
        <f t="shared" si="109"/>
        <v>0</v>
      </c>
    </row>
    <row r="704" spans="1:41" x14ac:dyDescent="0.35">
      <c r="A704" t="s">
        <v>23</v>
      </c>
      <c r="B704" t="s">
        <v>1567</v>
      </c>
      <c r="C704" t="s">
        <v>43</v>
      </c>
      <c r="D704" t="s">
        <v>44</v>
      </c>
      <c r="E704" t="s">
        <v>45</v>
      </c>
      <c r="F704" t="s">
        <v>1441</v>
      </c>
      <c r="G704">
        <v>10</v>
      </c>
      <c r="H704" t="s">
        <v>1568</v>
      </c>
      <c r="I704" t="s">
        <v>30</v>
      </c>
      <c r="J704" t="s">
        <v>300</v>
      </c>
      <c r="K704" t="s">
        <v>38</v>
      </c>
      <c r="L704" t="s">
        <v>39</v>
      </c>
      <c r="M704" t="s">
        <v>33</v>
      </c>
      <c r="N704" s="2">
        <v>45400.534525462965</v>
      </c>
      <c r="O704" s="2">
        <v>45441.166666666664</v>
      </c>
      <c r="P704" s="2">
        <v>45518.166666666664</v>
      </c>
      <c r="Q704" s="2">
        <v>45512</v>
      </c>
      <c r="R704" s="2">
        <v>45516.602048668981</v>
      </c>
      <c r="S704" t="s">
        <v>63</v>
      </c>
      <c r="T704" s="2">
        <v>45419.166666666664</v>
      </c>
      <c r="U704" s="2">
        <v>45419.166666666664</v>
      </c>
      <c r="V704" s="2">
        <v>45419.166666666664</v>
      </c>
      <c r="W704" s="2">
        <v>45462.166666666664</v>
      </c>
      <c r="X704" s="3">
        <f t="shared" si="100"/>
        <v>0</v>
      </c>
      <c r="Y704">
        <f t="shared" si="101"/>
        <v>43</v>
      </c>
      <c r="Z704">
        <f t="shared" si="102"/>
        <v>43</v>
      </c>
      <c r="AA704">
        <f t="shared" si="103"/>
        <v>111.46547453703533</v>
      </c>
      <c r="AB704">
        <f t="shared" si="104"/>
        <v>68.465474537035334</v>
      </c>
      <c r="AC704">
        <f>IFERROR(_xlfn.XLOOKUP(B704, HoldSummary!$A:$A, HoldSummary!B:B), 0)</f>
        <v>0</v>
      </c>
      <c r="AD704">
        <f>IFERROR(_xlfn.XLOOKUP(B704, HoldSummary!$A:$A, HoldSummary!C:C), 0)</f>
        <v>0</v>
      </c>
      <c r="AE704">
        <f>IFERROR(_xlfn.XLOOKUP(B704, HoldSummary!$A:$A, HoldSummary!D:D), 0)</f>
        <v>0</v>
      </c>
      <c r="AF704">
        <f>IFERROR(_xlfn.XLOOKUP(B704, HoldSummary!$A:$A, HoldSummary!E:E), 0)</f>
        <v>0</v>
      </c>
      <c r="AG704">
        <f>IFERROR(_xlfn.XLOOKUP(B704, HoldSummary!$A:$A, HoldSummary!F:F), 0)</f>
        <v>0</v>
      </c>
      <c r="AH704">
        <f>IFERROR(_xlfn.XLOOKUP(B704, HoldSummary!$A:$A, HoldSummary!G:G), 0)</f>
        <v>23</v>
      </c>
      <c r="AI704">
        <f>IFERROR(_xlfn.XLOOKUP(B704, HoldSummary!$A:$A, HoldSummary!H:H), 0)</f>
        <v>0</v>
      </c>
      <c r="AJ704">
        <f>IFERROR(_xlfn.XLOOKUP(B704, HoldSummary!$A:$A, HoldSummary!I:I), 0)</f>
        <v>0</v>
      </c>
      <c r="AK704">
        <f t="shared" si="105"/>
        <v>23</v>
      </c>
      <c r="AL704">
        <f t="shared" si="106"/>
        <v>88.465474537035334</v>
      </c>
      <c r="AM704">
        <f t="shared" si="107"/>
        <v>45.465474537035334</v>
      </c>
      <c r="AN704" s="12">
        <f t="shared" si="108"/>
        <v>70.833333333335759</v>
      </c>
      <c r="AO704">
        <f t="shared" si="109"/>
        <v>0</v>
      </c>
    </row>
    <row r="705" spans="1:41" x14ac:dyDescent="0.35">
      <c r="A705" t="s">
        <v>23</v>
      </c>
      <c r="B705" t="s">
        <v>1569</v>
      </c>
      <c r="C705" t="s">
        <v>76</v>
      </c>
      <c r="D705" t="s">
        <v>44</v>
      </c>
      <c r="E705" t="s">
        <v>45</v>
      </c>
      <c r="F705" t="s">
        <v>1441</v>
      </c>
      <c r="G705">
        <v>11</v>
      </c>
      <c r="H705" t="s">
        <v>1570</v>
      </c>
      <c r="I705" t="s">
        <v>30</v>
      </c>
      <c r="J705" t="s">
        <v>31</v>
      </c>
      <c r="K705" t="s">
        <v>38</v>
      </c>
      <c r="L705" t="s">
        <v>39</v>
      </c>
      <c r="N705" s="2">
        <v>45301.868969907409</v>
      </c>
      <c r="O705" s="2">
        <v>45337.208333333336</v>
      </c>
      <c r="P705" s="2">
        <v>45322.208333333336</v>
      </c>
      <c r="Q705" s="2">
        <v>45314</v>
      </c>
      <c r="R705" s="2">
        <v>45314.869517928244</v>
      </c>
      <c r="S705" t="s">
        <v>1571</v>
      </c>
      <c r="T705" s="2"/>
      <c r="U705" s="2"/>
      <c r="V705" s="2"/>
      <c r="W705" s="2"/>
      <c r="X705" s="3" t="str">
        <f t="shared" si="100"/>
        <v/>
      </c>
      <c r="Y705" t="str">
        <f t="shared" si="101"/>
        <v/>
      </c>
      <c r="Z705">
        <f t="shared" si="102"/>
        <v>0</v>
      </c>
      <c r="AA705">
        <f t="shared" si="103"/>
        <v>12.131030092590663</v>
      </c>
      <c r="AB705">
        <f t="shared" si="104"/>
        <v>12.131030092590663</v>
      </c>
      <c r="AC705">
        <f>IFERROR(_xlfn.XLOOKUP(B705, HoldSummary!$A:$A, HoldSummary!B:B), 0)</f>
        <v>0</v>
      </c>
      <c r="AD705">
        <f>IFERROR(_xlfn.XLOOKUP(B705, HoldSummary!$A:$A, HoldSummary!C:C), 0)</f>
        <v>0</v>
      </c>
      <c r="AE705">
        <f>IFERROR(_xlfn.XLOOKUP(B705, HoldSummary!$A:$A, HoldSummary!D:D), 0)</f>
        <v>0</v>
      </c>
      <c r="AF705">
        <f>IFERROR(_xlfn.XLOOKUP(B705, HoldSummary!$A:$A, HoldSummary!E:E), 0)</f>
        <v>0</v>
      </c>
      <c r="AG705">
        <f>IFERROR(_xlfn.XLOOKUP(B705, HoldSummary!$A:$A, HoldSummary!F:F), 0)</f>
        <v>0</v>
      </c>
      <c r="AH705">
        <f>IFERROR(_xlfn.XLOOKUP(B705, HoldSummary!$A:$A, HoldSummary!G:G), 0)</f>
        <v>0</v>
      </c>
      <c r="AI705">
        <f>IFERROR(_xlfn.XLOOKUP(B705, HoldSummary!$A:$A, HoldSummary!H:H), 0)</f>
        <v>0</v>
      </c>
      <c r="AJ705">
        <f>IFERROR(_xlfn.XLOOKUP(B705, HoldSummary!$A:$A, HoldSummary!I:I), 0)</f>
        <v>0</v>
      </c>
      <c r="AK705">
        <f t="shared" si="105"/>
        <v>0</v>
      </c>
      <c r="AL705">
        <f t="shared" si="106"/>
        <v>12.131030092590663</v>
      </c>
      <c r="AM705">
        <f t="shared" si="107"/>
        <v>12.131030092590663</v>
      </c>
      <c r="AN705" s="12">
        <f t="shared" si="108"/>
        <v>-23.208333333335759</v>
      </c>
      <c r="AO705">
        <f t="shared" si="109"/>
        <v>1</v>
      </c>
    </row>
    <row r="706" spans="1:41" x14ac:dyDescent="0.35">
      <c r="A706" t="s">
        <v>23</v>
      </c>
      <c r="B706" t="s">
        <v>1572</v>
      </c>
      <c r="C706" t="s">
        <v>43</v>
      </c>
      <c r="D706" t="s">
        <v>44</v>
      </c>
      <c r="E706" t="s">
        <v>44</v>
      </c>
      <c r="F706" t="s">
        <v>1441</v>
      </c>
      <c r="G706">
        <v>11</v>
      </c>
      <c r="H706" t="s">
        <v>1573</v>
      </c>
      <c r="I706" t="s">
        <v>30</v>
      </c>
      <c r="J706" t="s">
        <v>70</v>
      </c>
      <c r="K706" t="s">
        <v>48</v>
      </c>
      <c r="L706" t="s">
        <v>49</v>
      </c>
      <c r="M706" t="s">
        <v>33</v>
      </c>
      <c r="N706" s="2">
        <v>45407.166666666664</v>
      </c>
      <c r="O706" s="2">
        <v>45492.166666666664</v>
      </c>
      <c r="P706" s="2">
        <v>45525.166666666664</v>
      </c>
      <c r="Q706" s="2">
        <v>45524</v>
      </c>
      <c r="R706" s="2">
        <v>45524.839160833333</v>
      </c>
      <c r="S706" t="s">
        <v>1574</v>
      </c>
      <c r="T706" s="2"/>
      <c r="U706" s="2"/>
      <c r="V706" s="2"/>
      <c r="W706" s="2"/>
      <c r="X706" s="3" t="str">
        <f t="shared" si="100"/>
        <v/>
      </c>
      <c r="Y706" t="str">
        <f t="shared" si="101"/>
        <v/>
      </c>
      <c r="Z706">
        <f t="shared" si="102"/>
        <v>0</v>
      </c>
      <c r="AA706">
        <f t="shared" si="103"/>
        <v>116.83333333333576</v>
      </c>
      <c r="AB706">
        <f t="shared" si="104"/>
        <v>116.83333333333576</v>
      </c>
      <c r="AC706">
        <f>IFERROR(_xlfn.XLOOKUP(B706, HoldSummary!$A:$A, HoldSummary!B:B), 0)</f>
        <v>0</v>
      </c>
      <c r="AD706">
        <f>IFERROR(_xlfn.XLOOKUP(B706, HoldSummary!$A:$A, HoldSummary!C:C), 0)</f>
        <v>0</v>
      </c>
      <c r="AE706">
        <f>IFERROR(_xlfn.XLOOKUP(B706, HoldSummary!$A:$A, HoldSummary!D:D), 0)</f>
        <v>0</v>
      </c>
      <c r="AF706">
        <f>IFERROR(_xlfn.XLOOKUP(B706, HoldSummary!$A:$A, HoldSummary!E:E), 0)</f>
        <v>0</v>
      </c>
      <c r="AG706">
        <f>IFERROR(_xlfn.XLOOKUP(B706, HoldSummary!$A:$A, HoldSummary!F:F), 0)</f>
        <v>0</v>
      </c>
      <c r="AH706">
        <f>IFERROR(_xlfn.XLOOKUP(B706, HoldSummary!$A:$A, HoldSummary!G:G), 0)</f>
        <v>0</v>
      </c>
      <c r="AI706">
        <f>IFERROR(_xlfn.XLOOKUP(B706, HoldSummary!$A:$A, HoldSummary!H:H), 0)</f>
        <v>0</v>
      </c>
      <c r="AJ706">
        <f>IFERROR(_xlfn.XLOOKUP(B706, HoldSummary!$A:$A, HoldSummary!I:I), 0)</f>
        <v>0</v>
      </c>
      <c r="AK706">
        <f t="shared" si="105"/>
        <v>0</v>
      </c>
      <c r="AL706">
        <f t="shared" si="106"/>
        <v>116.83333333333576</v>
      </c>
      <c r="AM706">
        <f t="shared" si="107"/>
        <v>116.83333333333576</v>
      </c>
      <c r="AN706" s="12">
        <f t="shared" si="108"/>
        <v>31.833333333335759</v>
      </c>
      <c r="AO706">
        <f t="shared" si="109"/>
        <v>0</v>
      </c>
    </row>
    <row r="707" spans="1:41" x14ac:dyDescent="0.35">
      <c r="A707" t="s">
        <v>23</v>
      </c>
      <c r="B707" t="s">
        <v>1575</v>
      </c>
      <c r="C707" t="s">
        <v>43</v>
      </c>
      <c r="D707" t="s">
        <v>44</v>
      </c>
      <c r="E707" t="s">
        <v>44</v>
      </c>
      <c r="F707" t="s">
        <v>1441</v>
      </c>
      <c r="G707">
        <v>12</v>
      </c>
      <c r="H707" t="s">
        <v>1576</v>
      </c>
      <c r="I707" t="s">
        <v>30</v>
      </c>
      <c r="J707" t="s">
        <v>70</v>
      </c>
      <c r="K707" t="s">
        <v>48</v>
      </c>
      <c r="L707" t="s">
        <v>49</v>
      </c>
      <c r="N707" s="2">
        <v>45217.166666666664</v>
      </c>
      <c r="O707" s="2">
        <v>45338.208333333336</v>
      </c>
      <c r="P707" s="2">
        <v>45351.208333333336</v>
      </c>
      <c r="Q707" s="2">
        <v>45352</v>
      </c>
      <c r="R707" s="2">
        <v>45355.646101377315</v>
      </c>
      <c r="S707" t="s">
        <v>1577</v>
      </c>
      <c r="T707" s="2">
        <v>45243.208333333336</v>
      </c>
      <c r="U707" s="2">
        <v>45243.208333333336</v>
      </c>
      <c r="V707" s="2">
        <v>45243.208333333336</v>
      </c>
      <c r="W707" s="2">
        <v>45245.208333333336</v>
      </c>
      <c r="X707" s="3">
        <f t="shared" ref="X707:X770" si="110">IF(OR(ISBLANK(T707), ISBLANK(U707)), "", U707 - T707)</f>
        <v>0</v>
      </c>
      <c r="Y707">
        <f t="shared" ref="Y707:Y770" si="111">IF(OR(ISBLANK(V707), ISBLANK(W707)), "", W707 - V707)</f>
        <v>2</v>
      </c>
      <c r="Z707">
        <f t="shared" ref="Z707:Z770" si="112">N(X707) + N(Y707)</f>
        <v>2</v>
      </c>
      <c r="AA707">
        <f t="shared" ref="AA707:AA770" si="113">IF(OR(ISBLANK(N707), ISBLANK(Q707)), "", Q707 - N707)</f>
        <v>134.83333333333576</v>
      </c>
      <c r="AB707">
        <f t="shared" ref="AB707:AB770" si="114">IF(AA707="", "", AA707 - Z707)</f>
        <v>132.83333333333576</v>
      </c>
      <c r="AC707">
        <f>IFERROR(_xlfn.XLOOKUP(B707, HoldSummary!$A:$A, HoldSummary!B:B), 0)</f>
        <v>0</v>
      </c>
      <c r="AD707">
        <f>IFERROR(_xlfn.XLOOKUP(B707, HoldSummary!$A:$A, HoldSummary!C:C), 0)</f>
        <v>0</v>
      </c>
      <c r="AE707">
        <f>IFERROR(_xlfn.XLOOKUP(B707, HoldSummary!$A:$A, HoldSummary!D:D), 0)</f>
        <v>0</v>
      </c>
      <c r="AF707">
        <f>IFERROR(_xlfn.XLOOKUP(B707, HoldSummary!$A:$A, HoldSummary!E:E), 0)</f>
        <v>0</v>
      </c>
      <c r="AG707">
        <f>IFERROR(_xlfn.XLOOKUP(B707, HoldSummary!$A:$A, HoldSummary!F:F), 0)</f>
        <v>0</v>
      </c>
      <c r="AH707">
        <f>IFERROR(_xlfn.XLOOKUP(B707, HoldSummary!$A:$A, HoldSummary!G:G), 0)</f>
        <v>0</v>
      </c>
      <c r="AI707">
        <f>IFERROR(_xlfn.XLOOKUP(B707, HoldSummary!$A:$A, HoldSummary!H:H), 0)</f>
        <v>0</v>
      </c>
      <c r="AJ707">
        <f>IFERROR(_xlfn.XLOOKUP(B707, HoldSummary!$A:$A, HoldSummary!I:I), 0)</f>
        <v>0</v>
      </c>
      <c r="AK707">
        <f t="shared" ref="AK707:AK770" si="115">SUM(AC707:AJ707)</f>
        <v>0</v>
      </c>
      <c r="AL707">
        <f t="shared" ref="AL707:AL770" si="116">IF(AA707="", "", AA707 - AK707)</f>
        <v>134.83333333333576</v>
      </c>
      <c r="AM707">
        <f t="shared" ref="AM707:AM770" si="117">IF(OR(AK707="", AB707=""), "", AB707 - AK707)</f>
        <v>132.83333333333576</v>
      </c>
      <c r="AN707" s="12">
        <f t="shared" ref="AN707:AN770" si="118">Q707-O707</f>
        <v>13.791666666664241</v>
      </c>
      <c r="AO707">
        <f t="shared" ref="AO707:AO770" si="119">IF(OR(ISBLANK(O707), ISBLANK(Q707)), 1, IF(AN707&lt;=0,1,0))</f>
        <v>0</v>
      </c>
    </row>
    <row r="708" spans="1:41" x14ac:dyDescent="0.35">
      <c r="A708" t="s">
        <v>23</v>
      </c>
      <c r="B708" t="s">
        <v>1578</v>
      </c>
      <c r="C708" t="s">
        <v>113</v>
      </c>
      <c r="D708" t="s">
        <v>44</v>
      </c>
      <c r="E708" t="s">
        <v>45</v>
      </c>
      <c r="F708" t="s">
        <v>1441</v>
      </c>
      <c r="G708">
        <v>13</v>
      </c>
      <c r="H708" t="s">
        <v>1579</v>
      </c>
      <c r="I708" t="s">
        <v>30</v>
      </c>
      <c r="J708" t="s">
        <v>31</v>
      </c>
      <c r="K708" t="s">
        <v>38</v>
      </c>
      <c r="L708" t="s">
        <v>39</v>
      </c>
      <c r="N708" s="2">
        <v>45203.662743055553</v>
      </c>
      <c r="O708" s="2">
        <v>45282.208333333336</v>
      </c>
      <c r="P708" s="2">
        <v>45315.208333333336</v>
      </c>
      <c r="Q708" s="2">
        <v>45310</v>
      </c>
      <c r="R708" s="2">
        <v>45310.709411215277</v>
      </c>
      <c r="S708" t="s">
        <v>115</v>
      </c>
      <c r="T708" s="2">
        <v>45238.208333333336</v>
      </c>
      <c r="U708" s="2">
        <v>45261.208333333336</v>
      </c>
      <c r="V708" s="2">
        <v>45261.208333333336</v>
      </c>
      <c r="W708" s="2">
        <v>45272.208333333336</v>
      </c>
      <c r="X708" s="3">
        <f t="shared" si="110"/>
        <v>23</v>
      </c>
      <c r="Y708">
        <f t="shared" si="111"/>
        <v>11</v>
      </c>
      <c r="Z708">
        <f t="shared" si="112"/>
        <v>34</v>
      </c>
      <c r="AA708">
        <f t="shared" si="113"/>
        <v>106.33725694444729</v>
      </c>
      <c r="AB708">
        <f t="shared" si="114"/>
        <v>72.33725694444729</v>
      </c>
      <c r="AC708">
        <f>IFERROR(_xlfn.XLOOKUP(B708, HoldSummary!$A:$A, HoldSummary!B:B), 0)</f>
        <v>0</v>
      </c>
      <c r="AD708">
        <f>IFERROR(_xlfn.XLOOKUP(B708, HoldSummary!$A:$A, HoldSummary!C:C), 0)</f>
        <v>0</v>
      </c>
      <c r="AE708">
        <f>IFERROR(_xlfn.XLOOKUP(B708, HoldSummary!$A:$A, HoldSummary!D:D), 0)</f>
        <v>0</v>
      </c>
      <c r="AF708">
        <f>IFERROR(_xlfn.XLOOKUP(B708, HoldSummary!$A:$A, HoldSummary!E:E), 0)</f>
        <v>0</v>
      </c>
      <c r="AG708">
        <f>IFERROR(_xlfn.XLOOKUP(B708, HoldSummary!$A:$A, HoldSummary!F:F), 0)</f>
        <v>0</v>
      </c>
      <c r="AH708">
        <f>IFERROR(_xlfn.XLOOKUP(B708, HoldSummary!$A:$A, HoldSummary!G:G), 0)</f>
        <v>0</v>
      </c>
      <c r="AI708">
        <f>IFERROR(_xlfn.XLOOKUP(B708, HoldSummary!$A:$A, HoldSummary!H:H), 0)</f>
        <v>0</v>
      </c>
      <c r="AJ708">
        <f>IFERROR(_xlfn.XLOOKUP(B708, HoldSummary!$A:$A, HoldSummary!I:I), 0)</f>
        <v>0</v>
      </c>
      <c r="AK708">
        <f t="shared" si="115"/>
        <v>0</v>
      </c>
      <c r="AL708">
        <f t="shared" si="116"/>
        <v>106.33725694444729</v>
      </c>
      <c r="AM708">
        <f t="shared" si="117"/>
        <v>72.33725694444729</v>
      </c>
      <c r="AN708" s="12">
        <f t="shared" si="118"/>
        <v>27.791666666664241</v>
      </c>
      <c r="AO708">
        <f t="shared" si="119"/>
        <v>0</v>
      </c>
    </row>
    <row r="709" spans="1:41" x14ac:dyDescent="0.35">
      <c r="A709" t="s">
        <v>23</v>
      </c>
      <c r="B709" t="s">
        <v>1580</v>
      </c>
      <c r="C709" t="s">
        <v>43</v>
      </c>
      <c r="D709" t="s">
        <v>44</v>
      </c>
      <c r="E709" t="s">
        <v>45</v>
      </c>
      <c r="F709" t="s">
        <v>1441</v>
      </c>
      <c r="G709">
        <v>13</v>
      </c>
      <c r="H709" t="s">
        <v>1581</v>
      </c>
      <c r="I709" t="s">
        <v>30</v>
      </c>
      <c r="J709" t="s">
        <v>70</v>
      </c>
      <c r="K709" t="s">
        <v>48</v>
      </c>
      <c r="L709" t="s">
        <v>49</v>
      </c>
      <c r="N709" s="2">
        <v>45355.618738425925</v>
      </c>
      <c r="O709" s="2">
        <v>45380.166666666664</v>
      </c>
      <c r="P709" s="2">
        <v>45393.166666666664</v>
      </c>
      <c r="Q709" s="2">
        <v>45394</v>
      </c>
      <c r="R709" s="2">
        <v>45397.525550196762</v>
      </c>
      <c r="S709" t="s">
        <v>198</v>
      </c>
      <c r="T709" s="2"/>
      <c r="U709" s="2"/>
      <c r="V709" s="2"/>
      <c r="W709" s="2"/>
      <c r="X709" s="3" t="str">
        <f t="shared" si="110"/>
        <v/>
      </c>
      <c r="Y709" t="str">
        <f t="shared" si="111"/>
        <v/>
      </c>
      <c r="Z709">
        <f t="shared" si="112"/>
        <v>0</v>
      </c>
      <c r="AA709">
        <f t="shared" si="113"/>
        <v>38.381261574075324</v>
      </c>
      <c r="AB709">
        <f t="shared" si="114"/>
        <v>38.381261574075324</v>
      </c>
      <c r="AC709">
        <f>IFERROR(_xlfn.XLOOKUP(B709, HoldSummary!$A:$A, HoldSummary!B:B), 0)</f>
        <v>0</v>
      </c>
      <c r="AD709">
        <f>IFERROR(_xlfn.XLOOKUP(B709, HoldSummary!$A:$A, HoldSummary!C:C), 0)</f>
        <v>0</v>
      </c>
      <c r="AE709">
        <f>IFERROR(_xlfn.XLOOKUP(B709, HoldSummary!$A:$A, HoldSummary!D:D), 0)</f>
        <v>0</v>
      </c>
      <c r="AF709">
        <f>IFERROR(_xlfn.XLOOKUP(B709, HoldSummary!$A:$A, HoldSummary!E:E), 0)</f>
        <v>0</v>
      </c>
      <c r="AG709">
        <f>IFERROR(_xlfn.XLOOKUP(B709, HoldSummary!$A:$A, HoldSummary!F:F), 0)</f>
        <v>0</v>
      </c>
      <c r="AH709">
        <f>IFERROR(_xlfn.XLOOKUP(B709, HoldSummary!$A:$A, HoldSummary!G:G), 0)</f>
        <v>0</v>
      </c>
      <c r="AI709">
        <f>IFERROR(_xlfn.XLOOKUP(B709, HoldSummary!$A:$A, HoldSummary!H:H), 0)</f>
        <v>0</v>
      </c>
      <c r="AJ709">
        <f>IFERROR(_xlfn.XLOOKUP(B709, HoldSummary!$A:$A, HoldSummary!I:I), 0)</f>
        <v>0</v>
      </c>
      <c r="AK709">
        <f t="shared" si="115"/>
        <v>0</v>
      </c>
      <c r="AL709">
        <f t="shared" si="116"/>
        <v>38.381261574075324</v>
      </c>
      <c r="AM709">
        <f t="shared" si="117"/>
        <v>38.381261574075324</v>
      </c>
      <c r="AN709" s="12">
        <f t="shared" si="118"/>
        <v>13.833333333335759</v>
      </c>
      <c r="AO709">
        <f t="shared" si="119"/>
        <v>0</v>
      </c>
    </row>
    <row r="710" spans="1:41" x14ac:dyDescent="0.35">
      <c r="A710" t="s">
        <v>23</v>
      </c>
      <c r="B710">
        <v>95804</v>
      </c>
      <c r="C710" t="s">
        <v>76</v>
      </c>
      <c r="D710" t="s">
        <v>44</v>
      </c>
      <c r="E710" t="s">
        <v>88</v>
      </c>
      <c r="F710" t="s">
        <v>1441</v>
      </c>
      <c r="G710">
        <v>14</v>
      </c>
      <c r="H710" t="s">
        <v>1582</v>
      </c>
      <c r="I710" t="s">
        <v>30</v>
      </c>
      <c r="J710" t="s">
        <v>31</v>
      </c>
      <c r="K710" t="s">
        <v>57</v>
      </c>
      <c r="L710" t="s">
        <v>39</v>
      </c>
      <c r="N710" s="2">
        <v>44914.208333333336</v>
      </c>
      <c r="O710" s="2">
        <v>45306.208333333336</v>
      </c>
      <c r="P710" s="2">
        <v>45316.208333333336</v>
      </c>
      <c r="Q710" s="2">
        <v>45314</v>
      </c>
      <c r="R710" s="2">
        <v>45314.789394513886</v>
      </c>
      <c r="S710" t="s">
        <v>1583</v>
      </c>
      <c r="T710" s="2"/>
      <c r="U710" s="2"/>
      <c r="V710" s="2"/>
      <c r="W710" s="2"/>
      <c r="X710" s="3" t="str">
        <f t="shared" si="110"/>
        <v/>
      </c>
      <c r="Y710" t="str">
        <f t="shared" si="111"/>
        <v/>
      </c>
      <c r="Z710">
        <f t="shared" si="112"/>
        <v>0</v>
      </c>
      <c r="AA710">
        <f t="shared" si="113"/>
        <v>399.79166666666424</v>
      </c>
      <c r="AB710">
        <f t="shared" si="114"/>
        <v>399.79166666666424</v>
      </c>
      <c r="AC710">
        <f>IFERROR(_xlfn.XLOOKUP(B710, HoldSummary!$A:$A, HoldSummary!B:B), 0)</f>
        <v>0</v>
      </c>
      <c r="AD710">
        <f>IFERROR(_xlfn.XLOOKUP(B710, HoldSummary!$A:$A, HoldSummary!C:C), 0)</f>
        <v>0</v>
      </c>
      <c r="AE710">
        <f>IFERROR(_xlfn.XLOOKUP(B710, HoldSummary!$A:$A, HoldSummary!D:D), 0)</f>
        <v>0</v>
      </c>
      <c r="AF710">
        <f>IFERROR(_xlfn.XLOOKUP(B710, HoldSummary!$A:$A, HoldSummary!E:E), 0)</f>
        <v>0</v>
      </c>
      <c r="AG710">
        <f>IFERROR(_xlfn.XLOOKUP(B710, HoldSummary!$A:$A, HoldSummary!F:F), 0)</f>
        <v>0</v>
      </c>
      <c r="AH710">
        <f>IFERROR(_xlfn.XLOOKUP(B710, HoldSummary!$A:$A, HoldSummary!G:G), 0)</f>
        <v>0</v>
      </c>
      <c r="AI710">
        <f>IFERROR(_xlfn.XLOOKUP(B710, HoldSummary!$A:$A, HoldSummary!H:H), 0)</f>
        <v>0</v>
      </c>
      <c r="AJ710">
        <f>IFERROR(_xlfn.XLOOKUP(B710, HoldSummary!$A:$A, HoldSummary!I:I), 0)</f>
        <v>0</v>
      </c>
      <c r="AK710">
        <f t="shared" si="115"/>
        <v>0</v>
      </c>
      <c r="AL710">
        <f t="shared" si="116"/>
        <v>399.79166666666424</v>
      </c>
      <c r="AM710">
        <f t="shared" si="117"/>
        <v>399.79166666666424</v>
      </c>
      <c r="AN710" s="12">
        <f t="shared" si="118"/>
        <v>7.7916666666642413</v>
      </c>
      <c r="AO710">
        <f t="shared" si="119"/>
        <v>0</v>
      </c>
    </row>
    <row r="711" spans="1:41" x14ac:dyDescent="0.35">
      <c r="A711" t="s">
        <v>23</v>
      </c>
      <c r="B711" t="s">
        <v>1584</v>
      </c>
      <c r="C711" t="s">
        <v>54</v>
      </c>
      <c r="D711" t="s">
        <v>44</v>
      </c>
      <c r="E711" t="s">
        <v>45</v>
      </c>
      <c r="F711" t="s">
        <v>1441</v>
      </c>
      <c r="H711" t="s">
        <v>1585</v>
      </c>
      <c r="I711" t="s">
        <v>30</v>
      </c>
      <c r="J711" t="s">
        <v>70</v>
      </c>
      <c r="K711" t="s">
        <v>57</v>
      </c>
      <c r="L711" t="s">
        <v>53</v>
      </c>
      <c r="N711" s="2">
        <v>44685.592499999999</v>
      </c>
      <c r="O711" s="2">
        <v>45483.166666666664</v>
      </c>
      <c r="P711" s="2">
        <v>45483.166666666664</v>
      </c>
      <c r="Q711" s="2">
        <v>45470</v>
      </c>
      <c r="R711" s="2">
        <v>45471.76955902778</v>
      </c>
      <c r="S711" t="s">
        <v>306</v>
      </c>
      <c r="T711" s="2">
        <v>44690.166666666664</v>
      </c>
      <c r="U711" s="2">
        <v>44721.166666666664</v>
      </c>
      <c r="V711" s="2">
        <v>44721.166666666664</v>
      </c>
      <c r="W711" s="2">
        <v>44895.208333333336</v>
      </c>
      <c r="X711" s="3">
        <f t="shared" si="110"/>
        <v>31</v>
      </c>
      <c r="Y711">
        <f t="shared" si="111"/>
        <v>174.04166666667152</v>
      </c>
      <c r="Z711">
        <f t="shared" si="112"/>
        <v>205.04166666667152</v>
      </c>
      <c r="AA711">
        <f t="shared" si="113"/>
        <v>784.40750000000116</v>
      </c>
      <c r="AB711">
        <f t="shared" si="114"/>
        <v>579.36583333332965</v>
      </c>
      <c r="AC711">
        <f>IFERROR(_xlfn.XLOOKUP(B711, HoldSummary!$A:$A, HoldSummary!B:B), 0)</f>
        <v>0</v>
      </c>
      <c r="AD711">
        <f>IFERROR(_xlfn.XLOOKUP(B711, HoldSummary!$A:$A, HoldSummary!C:C), 0)</f>
        <v>0</v>
      </c>
      <c r="AE711">
        <f>IFERROR(_xlfn.XLOOKUP(B711, HoldSummary!$A:$A, HoldSummary!D:D), 0)</f>
        <v>0</v>
      </c>
      <c r="AF711">
        <f>IFERROR(_xlfn.XLOOKUP(B711, HoldSummary!$A:$A, HoldSummary!E:E), 0)</f>
        <v>0</v>
      </c>
      <c r="AG711">
        <f>IFERROR(_xlfn.XLOOKUP(B711, HoldSummary!$A:$A, HoldSummary!F:F), 0)</f>
        <v>0</v>
      </c>
      <c r="AH711">
        <f>IFERROR(_xlfn.XLOOKUP(B711, HoldSummary!$A:$A, HoldSummary!G:G), 0)</f>
        <v>0</v>
      </c>
      <c r="AI711">
        <f>IFERROR(_xlfn.XLOOKUP(B711, HoldSummary!$A:$A, HoldSummary!H:H), 0)</f>
        <v>0</v>
      </c>
      <c r="AJ711">
        <f>IFERROR(_xlfn.XLOOKUP(B711, HoldSummary!$A:$A, HoldSummary!I:I), 0)</f>
        <v>0</v>
      </c>
      <c r="AK711">
        <f t="shared" si="115"/>
        <v>0</v>
      </c>
      <c r="AL711">
        <f t="shared" si="116"/>
        <v>784.40750000000116</v>
      </c>
      <c r="AM711">
        <f t="shared" si="117"/>
        <v>579.36583333332965</v>
      </c>
      <c r="AN711" s="12">
        <f t="shared" si="118"/>
        <v>-13.166666666664241</v>
      </c>
      <c r="AO711">
        <f t="shared" si="119"/>
        <v>1</v>
      </c>
    </row>
    <row r="712" spans="1:41" x14ac:dyDescent="0.35">
      <c r="A712" t="s">
        <v>23</v>
      </c>
      <c r="B712" t="s">
        <v>1586</v>
      </c>
      <c r="C712" t="s">
        <v>43</v>
      </c>
      <c r="D712" t="s">
        <v>44</v>
      </c>
      <c r="E712" t="s">
        <v>45</v>
      </c>
      <c r="F712" t="s">
        <v>1441</v>
      </c>
      <c r="H712" t="s">
        <v>1587</v>
      </c>
      <c r="I712" t="s">
        <v>30</v>
      </c>
      <c r="J712" t="s">
        <v>70</v>
      </c>
      <c r="K712" t="s">
        <v>48</v>
      </c>
      <c r="L712" t="s">
        <v>49</v>
      </c>
      <c r="N712" s="2">
        <v>44970.085925925923</v>
      </c>
      <c r="O712" s="2">
        <v>45534.166666666664</v>
      </c>
      <c r="P712" s="2">
        <v>45596.166666666664</v>
      </c>
      <c r="Q712" s="2">
        <v>45610</v>
      </c>
      <c r="R712" s="2">
        <v>45617.612499097224</v>
      </c>
      <c r="T712" s="2"/>
      <c r="U712" s="2"/>
      <c r="V712" s="2"/>
      <c r="W712" s="2"/>
      <c r="X712" s="3" t="str">
        <f t="shared" si="110"/>
        <v/>
      </c>
      <c r="Y712" t="str">
        <f t="shared" si="111"/>
        <v/>
      </c>
      <c r="Z712">
        <f t="shared" si="112"/>
        <v>0</v>
      </c>
      <c r="AA712">
        <f t="shared" si="113"/>
        <v>639.91407407407678</v>
      </c>
      <c r="AB712">
        <f t="shared" si="114"/>
        <v>639.91407407407678</v>
      </c>
      <c r="AC712">
        <f>IFERROR(_xlfn.XLOOKUP(B712, HoldSummary!$A:$A, HoldSummary!B:B), 0)</f>
        <v>0</v>
      </c>
      <c r="AD712">
        <f>IFERROR(_xlfn.XLOOKUP(B712, HoldSummary!$A:$A, HoldSummary!C:C), 0)</f>
        <v>0</v>
      </c>
      <c r="AE712">
        <f>IFERROR(_xlfn.XLOOKUP(B712, HoldSummary!$A:$A, HoldSummary!D:D), 0)</f>
        <v>0</v>
      </c>
      <c r="AF712">
        <f>IFERROR(_xlfn.XLOOKUP(B712, HoldSummary!$A:$A, HoldSummary!E:E), 0)</f>
        <v>0</v>
      </c>
      <c r="AG712">
        <f>IFERROR(_xlfn.XLOOKUP(B712, HoldSummary!$A:$A, HoldSummary!F:F), 0)</f>
        <v>0</v>
      </c>
      <c r="AH712">
        <f>IFERROR(_xlfn.XLOOKUP(B712, HoldSummary!$A:$A, HoldSummary!G:G), 0)</f>
        <v>0</v>
      </c>
      <c r="AI712">
        <f>IFERROR(_xlfn.XLOOKUP(B712, HoldSummary!$A:$A, HoldSummary!H:H), 0)</f>
        <v>0</v>
      </c>
      <c r="AJ712">
        <f>IFERROR(_xlfn.XLOOKUP(B712, HoldSummary!$A:$A, HoldSummary!I:I), 0)</f>
        <v>0</v>
      </c>
      <c r="AK712">
        <f t="shared" si="115"/>
        <v>0</v>
      </c>
      <c r="AL712">
        <f t="shared" si="116"/>
        <v>639.91407407407678</v>
      </c>
      <c r="AM712">
        <f t="shared" si="117"/>
        <v>639.91407407407678</v>
      </c>
      <c r="AN712" s="12">
        <f t="shared" si="118"/>
        <v>75.833333333335759</v>
      </c>
      <c r="AO712">
        <f t="shared" si="119"/>
        <v>0</v>
      </c>
    </row>
    <row r="713" spans="1:41" x14ac:dyDescent="0.35">
      <c r="A713" t="s">
        <v>23</v>
      </c>
      <c r="B713" t="s">
        <v>1588</v>
      </c>
      <c r="C713" t="s">
        <v>54</v>
      </c>
      <c r="D713" t="s">
        <v>44</v>
      </c>
      <c r="E713" t="s">
        <v>44</v>
      </c>
      <c r="F713" t="s">
        <v>1441</v>
      </c>
      <c r="H713" t="s">
        <v>1589</v>
      </c>
      <c r="I713" t="s">
        <v>30</v>
      </c>
      <c r="J713" t="s">
        <v>70</v>
      </c>
      <c r="K713" t="s">
        <v>48</v>
      </c>
      <c r="L713" t="s">
        <v>185</v>
      </c>
      <c r="N713" s="2">
        <v>45202.166666666664</v>
      </c>
      <c r="O713" s="2">
        <v>45440.166666666664</v>
      </c>
      <c r="P713" s="2">
        <v>45588.166666666664</v>
      </c>
      <c r="Q713" s="2">
        <v>45586</v>
      </c>
      <c r="R713" s="2">
        <v>45586.845288900462</v>
      </c>
      <c r="S713" t="s">
        <v>1590</v>
      </c>
      <c r="T713" s="2"/>
      <c r="U713" s="2"/>
      <c r="V713" s="2"/>
      <c r="W713" s="2"/>
      <c r="X713" s="3" t="str">
        <f t="shared" si="110"/>
        <v/>
      </c>
      <c r="Y713" t="str">
        <f t="shared" si="111"/>
        <v/>
      </c>
      <c r="Z713">
        <f t="shared" si="112"/>
        <v>0</v>
      </c>
      <c r="AA713">
        <f t="shared" si="113"/>
        <v>383.83333333333576</v>
      </c>
      <c r="AB713">
        <f t="shared" si="114"/>
        <v>383.83333333333576</v>
      </c>
      <c r="AC713">
        <f>IFERROR(_xlfn.XLOOKUP(B713, HoldSummary!$A:$A, HoldSummary!B:B), 0)</f>
        <v>0</v>
      </c>
      <c r="AD713">
        <f>IFERROR(_xlfn.XLOOKUP(B713, HoldSummary!$A:$A, HoldSummary!C:C), 0)</f>
        <v>0</v>
      </c>
      <c r="AE713">
        <f>IFERROR(_xlfn.XLOOKUP(B713, HoldSummary!$A:$A, HoldSummary!D:D), 0)</f>
        <v>0</v>
      </c>
      <c r="AF713">
        <f>IFERROR(_xlfn.XLOOKUP(B713, HoldSummary!$A:$A, HoldSummary!E:E), 0)</f>
        <v>0</v>
      </c>
      <c r="AG713">
        <f>IFERROR(_xlfn.XLOOKUP(B713, HoldSummary!$A:$A, HoldSummary!F:F), 0)</f>
        <v>0</v>
      </c>
      <c r="AH713">
        <f>IFERROR(_xlfn.XLOOKUP(B713, HoldSummary!$A:$A, HoldSummary!G:G), 0)</f>
        <v>0</v>
      </c>
      <c r="AI713">
        <f>IFERROR(_xlfn.XLOOKUP(B713, HoldSummary!$A:$A, HoldSummary!H:H), 0)</f>
        <v>0</v>
      </c>
      <c r="AJ713">
        <f>IFERROR(_xlfn.XLOOKUP(B713, HoldSummary!$A:$A, HoldSummary!I:I), 0)</f>
        <v>0</v>
      </c>
      <c r="AK713">
        <f t="shared" si="115"/>
        <v>0</v>
      </c>
      <c r="AL713">
        <f t="shared" si="116"/>
        <v>383.83333333333576</v>
      </c>
      <c r="AM713">
        <f t="shared" si="117"/>
        <v>383.83333333333576</v>
      </c>
      <c r="AN713" s="12">
        <f t="shared" si="118"/>
        <v>145.83333333333576</v>
      </c>
      <c r="AO713">
        <f t="shared" si="119"/>
        <v>0</v>
      </c>
    </row>
    <row r="714" spans="1:41" x14ac:dyDescent="0.35">
      <c r="A714" t="s">
        <v>23</v>
      </c>
      <c r="B714" t="s">
        <v>1591</v>
      </c>
      <c r="C714" t="s">
        <v>135</v>
      </c>
      <c r="D714" t="s">
        <v>44</v>
      </c>
      <c r="E714" t="s">
        <v>45</v>
      </c>
      <c r="F714" t="s">
        <v>1441</v>
      </c>
      <c r="H714" t="s">
        <v>1592</v>
      </c>
      <c r="I714" t="s">
        <v>30</v>
      </c>
      <c r="J714" t="s">
        <v>31</v>
      </c>
      <c r="K714" t="s">
        <v>32</v>
      </c>
      <c r="L714" t="s">
        <v>32</v>
      </c>
      <c r="N714" s="2">
        <v>45145.561331018522</v>
      </c>
      <c r="O714" s="2">
        <v>45310.208333333336</v>
      </c>
      <c r="P714" s="2">
        <v>45408.166666666664</v>
      </c>
      <c r="Q714" s="2">
        <v>45406</v>
      </c>
      <c r="R714" s="2">
        <v>45407.12986990741</v>
      </c>
      <c r="S714" t="s">
        <v>1593</v>
      </c>
      <c r="T714" s="2">
        <v>45273.208333333336</v>
      </c>
      <c r="U714" s="2">
        <v>45308.208333333336</v>
      </c>
      <c r="V714" s="2">
        <v>45308.208333333336</v>
      </c>
      <c r="W714" s="2">
        <v>45308.208333333336</v>
      </c>
      <c r="X714" s="3">
        <f t="shared" si="110"/>
        <v>35</v>
      </c>
      <c r="Y714">
        <f t="shared" si="111"/>
        <v>0</v>
      </c>
      <c r="Z714">
        <f t="shared" si="112"/>
        <v>35</v>
      </c>
      <c r="AA714">
        <f t="shared" si="113"/>
        <v>260.43866898147826</v>
      </c>
      <c r="AB714">
        <f t="shared" si="114"/>
        <v>225.43866898147826</v>
      </c>
      <c r="AC714">
        <f>IFERROR(_xlfn.XLOOKUP(B714, HoldSummary!$A:$A, HoldSummary!B:B), 0)</f>
        <v>0</v>
      </c>
      <c r="AD714">
        <f>IFERROR(_xlfn.XLOOKUP(B714, HoldSummary!$A:$A, HoldSummary!C:C), 0)</f>
        <v>0</v>
      </c>
      <c r="AE714">
        <f>IFERROR(_xlfn.XLOOKUP(B714, HoldSummary!$A:$A, HoldSummary!D:D), 0)</f>
        <v>0</v>
      </c>
      <c r="AF714">
        <f>IFERROR(_xlfn.XLOOKUP(B714, HoldSummary!$A:$A, HoldSummary!E:E), 0)</f>
        <v>0</v>
      </c>
      <c r="AG714">
        <f>IFERROR(_xlfn.XLOOKUP(B714, HoldSummary!$A:$A, HoldSummary!F:F), 0)</f>
        <v>0</v>
      </c>
      <c r="AH714">
        <f>IFERROR(_xlfn.XLOOKUP(B714, HoldSummary!$A:$A, HoldSummary!G:G), 0)</f>
        <v>26</v>
      </c>
      <c r="AI714">
        <f>IFERROR(_xlfn.XLOOKUP(B714, HoldSummary!$A:$A, HoldSummary!H:H), 0)</f>
        <v>0</v>
      </c>
      <c r="AJ714">
        <f>IFERROR(_xlfn.XLOOKUP(B714, HoldSummary!$A:$A, HoldSummary!I:I), 0)</f>
        <v>0</v>
      </c>
      <c r="AK714">
        <f t="shared" si="115"/>
        <v>26</v>
      </c>
      <c r="AL714">
        <f t="shared" si="116"/>
        <v>234.43866898147826</v>
      </c>
      <c r="AM714">
        <f t="shared" si="117"/>
        <v>199.43866898147826</v>
      </c>
      <c r="AN714" s="12">
        <f t="shared" si="118"/>
        <v>95.791666666664241</v>
      </c>
      <c r="AO714">
        <f t="shared" si="119"/>
        <v>0</v>
      </c>
    </row>
    <row r="715" spans="1:41" x14ac:dyDescent="0.35">
      <c r="A715" t="s">
        <v>23</v>
      </c>
      <c r="B715" t="s">
        <v>1594</v>
      </c>
      <c r="C715" t="s">
        <v>135</v>
      </c>
      <c r="D715" t="s">
        <v>44</v>
      </c>
      <c r="E715" t="s">
        <v>44</v>
      </c>
      <c r="F715" t="s">
        <v>1441</v>
      </c>
      <c r="H715" t="s">
        <v>1595</v>
      </c>
      <c r="I715" t="s">
        <v>30</v>
      </c>
      <c r="J715" t="s">
        <v>70</v>
      </c>
      <c r="K715" t="s">
        <v>32</v>
      </c>
      <c r="L715" t="s">
        <v>32</v>
      </c>
      <c r="N715" s="2">
        <v>45204.166666666664</v>
      </c>
      <c r="O715" s="2">
        <v>45310.208333333336</v>
      </c>
      <c r="P715" s="2">
        <v>45415.166666666664</v>
      </c>
      <c r="Q715" s="2">
        <v>45412</v>
      </c>
      <c r="R715" s="2">
        <v>45415.640579988423</v>
      </c>
      <c r="T715" s="2"/>
      <c r="U715" s="2"/>
      <c r="V715" s="2"/>
      <c r="W715" s="2"/>
      <c r="X715" s="3" t="str">
        <f t="shared" si="110"/>
        <v/>
      </c>
      <c r="Y715" t="str">
        <f t="shared" si="111"/>
        <v/>
      </c>
      <c r="Z715">
        <f t="shared" si="112"/>
        <v>0</v>
      </c>
      <c r="AA715">
        <f t="shared" si="113"/>
        <v>207.83333333333576</v>
      </c>
      <c r="AB715">
        <f t="shared" si="114"/>
        <v>207.83333333333576</v>
      </c>
      <c r="AC715">
        <f>IFERROR(_xlfn.XLOOKUP(B715, HoldSummary!$A:$A, HoldSummary!B:B), 0)</f>
        <v>0</v>
      </c>
      <c r="AD715">
        <f>IFERROR(_xlfn.XLOOKUP(B715, HoldSummary!$A:$A, HoldSummary!C:C), 0)</f>
        <v>0</v>
      </c>
      <c r="AE715">
        <f>IFERROR(_xlfn.XLOOKUP(B715, HoldSummary!$A:$A, HoldSummary!D:D), 0)</f>
        <v>0</v>
      </c>
      <c r="AF715">
        <f>IFERROR(_xlfn.XLOOKUP(B715, HoldSummary!$A:$A, HoldSummary!E:E), 0)</f>
        <v>0</v>
      </c>
      <c r="AG715">
        <f>IFERROR(_xlfn.XLOOKUP(B715, HoldSummary!$A:$A, HoldSummary!F:F), 0)</f>
        <v>0</v>
      </c>
      <c r="AH715">
        <f>IFERROR(_xlfn.XLOOKUP(B715, HoldSummary!$A:$A, HoldSummary!G:G), 0)</f>
        <v>0</v>
      </c>
      <c r="AI715">
        <f>IFERROR(_xlfn.XLOOKUP(B715, HoldSummary!$A:$A, HoldSummary!H:H), 0)</f>
        <v>0</v>
      </c>
      <c r="AJ715">
        <f>IFERROR(_xlfn.XLOOKUP(B715, HoldSummary!$A:$A, HoldSummary!I:I), 0)</f>
        <v>0</v>
      </c>
      <c r="AK715">
        <f t="shared" si="115"/>
        <v>0</v>
      </c>
      <c r="AL715">
        <f t="shared" si="116"/>
        <v>207.83333333333576</v>
      </c>
      <c r="AM715">
        <f t="shared" si="117"/>
        <v>207.83333333333576</v>
      </c>
      <c r="AN715" s="12">
        <f t="shared" si="118"/>
        <v>101.79166666666424</v>
      </c>
      <c r="AO715">
        <f t="shared" si="119"/>
        <v>0</v>
      </c>
    </row>
    <row r="716" spans="1:41" x14ac:dyDescent="0.35">
      <c r="A716" t="s">
        <v>23</v>
      </c>
      <c r="B716" t="s">
        <v>1596</v>
      </c>
      <c r="C716" t="s">
        <v>43</v>
      </c>
      <c r="D716" t="s">
        <v>44</v>
      </c>
      <c r="E716" t="s">
        <v>45</v>
      </c>
      <c r="F716" t="s">
        <v>1441</v>
      </c>
      <c r="H716" t="s">
        <v>1597</v>
      </c>
      <c r="I716" t="s">
        <v>30</v>
      </c>
      <c r="J716" t="s">
        <v>70</v>
      </c>
      <c r="K716" t="s">
        <v>48</v>
      </c>
      <c r="L716" t="s">
        <v>192</v>
      </c>
      <c r="N716" s="2">
        <v>45226.825150462966</v>
      </c>
      <c r="O716" s="2">
        <v>45366.166666666664</v>
      </c>
      <c r="P716" s="2">
        <v>45379.166666666664</v>
      </c>
      <c r="Q716" s="2">
        <v>45376</v>
      </c>
      <c r="R716" s="2">
        <v>45376.789473275465</v>
      </c>
      <c r="S716" t="s">
        <v>1598</v>
      </c>
      <c r="T716" s="2"/>
      <c r="U716" s="2"/>
      <c r="V716" s="2"/>
      <c r="W716" s="2"/>
      <c r="X716" s="3" t="str">
        <f t="shared" si="110"/>
        <v/>
      </c>
      <c r="Y716" t="str">
        <f t="shared" si="111"/>
        <v/>
      </c>
      <c r="Z716">
        <f t="shared" si="112"/>
        <v>0</v>
      </c>
      <c r="AA716">
        <f t="shared" si="113"/>
        <v>149.17484953703388</v>
      </c>
      <c r="AB716">
        <f t="shared" si="114"/>
        <v>149.17484953703388</v>
      </c>
      <c r="AC716">
        <f>IFERROR(_xlfn.XLOOKUP(B716, HoldSummary!$A:$A, HoldSummary!B:B), 0)</f>
        <v>0</v>
      </c>
      <c r="AD716">
        <f>IFERROR(_xlfn.XLOOKUP(B716, HoldSummary!$A:$A, HoldSummary!C:C), 0)</f>
        <v>0</v>
      </c>
      <c r="AE716">
        <f>IFERROR(_xlfn.XLOOKUP(B716, HoldSummary!$A:$A, HoldSummary!D:D), 0)</f>
        <v>0</v>
      </c>
      <c r="AF716">
        <f>IFERROR(_xlfn.XLOOKUP(B716, HoldSummary!$A:$A, HoldSummary!E:E), 0)</f>
        <v>0</v>
      </c>
      <c r="AG716">
        <f>IFERROR(_xlfn.XLOOKUP(B716, HoldSummary!$A:$A, HoldSummary!F:F), 0)</f>
        <v>0</v>
      </c>
      <c r="AH716">
        <f>IFERROR(_xlfn.XLOOKUP(B716, HoldSummary!$A:$A, HoldSummary!G:G), 0)</f>
        <v>0</v>
      </c>
      <c r="AI716">
        <f>IFERROR(_xlfn.XLOOKUP(B716, HoldSummary!$A:$A, HoldSummary!H:H), 0)</f>
        <v>0</v>
      </c>
      <c r="AJ716">
        <f>IFERROR(_xlfn.XLOOKUP(B716, HoldSummary!$A:$A, HoldSummary!I:I), 0)</f>
        <v>0</v>
      </c>
      <c r="AK716">
        <f t="shared" si="115"/>
        <v>0</v>
      </c>
      <c r="AL716">
        <f t="shared" si="116"/>
        <v>149.17484953703388</v>
      </c>
      <c r="AM716">
        <f t="shared" si="117"/>
        <v>149.17484953703388</v>
      </c>
      <c r="AN716" s="12">
        <f t="shared" si="118"/>
        <v>9.8333333333357587</v>
      </c>
      <c r="AO716">
        <f t="shared" si="119"/>
        <v>0</v>
      </c>
    </row>
    <row r="717" spans="1:41" x14ac:dyDescent="0.35">
      <c r="A717" t="s">
        <v>23</v>
      </c>
      <c r="B717" t="s">
        <v>1599</v>
      </c>
      <c r="C717" t="s">
        <v>43</v>
      </c>
      <c r="D717" t="s">
        <v>44</v>
      </c>
      <c r="E717" t="s">
        <v>45</v>
      </c>
      <c r="F717" t="s">
        <v>1441</v>
      </c>
      <c r="H717" t="s">
        <v>1600</v>
      </c>
      <c r="I717" t="s">
        <v>30</v>
      </c>
      <c r="J717" t="s">
        <v>70</v>
      </c>
      <c r="K717" t="s">
        <v>48</v>
      </c>
      <c r="L717" t="s">
        <v>192</v>
      </c>
      <c r="N717" s="2">
        <v>45279.335821759261</v>
      </c>
      <c r="O717" s="2">
        <v>45440.166666666664</v>
      </c>
      <c r="P717" s="2">
        <v>45443.166666666664</v>
      </c>
      <c r="Q717" s="2">
        <v>45443</v>
      </c>
      <c r="R717" s="2">
        <v>45443.782763194446</v>
      </c>
      <c r="S717" t="s">
        <v>1601</v>
      </c>
      <c r="T717" s="2">
        <v>45334.208333333336</v>
      </c>
      <c r="U717" s="2">
        <v>45334.208333333336</v>
      </c>
      <c r="V717" s="2">
        <v>45334.208333333336</v>
      </c>
      <c r="W717" s="2">
        <v>45335.208333333336</v>
      </c>
      <c r="X717" s="3">
        <f t="shared" si="110"/>
        <v>0</v>
      </c>
      <c r="Y717">
        <f t="shared" si="111"/>
        <v>1</v>
      </c>
      <c r="Z717">
        <f t="shared" si="112"/>
        <v>1</v>
      </c>
      <c r="AA717">
        <f t="shared" si="113"/>
        <v>163.66417824073869</v>
      </c>
      <c r="AB717">
        <f t="shared" si="114"/>
        <v>162.66417824073869</v>
      </c>
      <c r="AC717">
        <f>IFERROR(_xlfn.XLOOKUP(B717, HoldSummary!$A:$A, HoldSummary!B:B), 0)</f>
        <v>0</v>
      </c>
      <c r="AD717">
        <f>IFERROR(_xlfn.XLOOKUP(B717, HoldSummary!$A:$A, HoldSummary!C:C), 0)</f>
        <v>0</v>
      </c>
      <c r="AE717">
        <f>IFERROR(_xlfn.XLOOKUP(B717, HoldSummary!$A:$A, HoldSummary!D:D), 0)</f>
        <v>0</v>
      </c>
      <c r="AF717">
        <f>IFERROR(_xlfn.XLOOKUP(B717, HoldSummary!$A:$A, HoldSummary!E:E), 0)</f>
        <v>0</v>
      </c>
      <c r="AG717">
        <f>IFERROR(_xlfn.XLOOKUP(B717, HoldSummary!$A:$A, HoldSummary!F:F), 0)</f>
        <v>0</v>
      </c>
      <c r="AH717">
        <f>IFERROR(_xlfn.XLOOKUP(B717, HoldSummary!$A:$A, HoldSummary!G:G), 0)</f>
        <v>0</v>
      </c>
      <c r="AI717">
        <f>IFERROR(_xlfn.XLOOKUP(B717, HoldSummary!$A:$A, HoldSummary!H:H), 0)</f>
        <v>0</v>
      </c>
      <c r="AJ717">
        <f>IFERROR(_xlfn.XLOOKUP(B717, HoldSummary!$A:$A, HoldSummary!I:I), 0)</f>
        <v>0</v>
      </c>
      <c r="AK717">
        <f t="shared" si="115"/>
        <v>0</v>
      </c>
      <c r="AL717">
        <f t="shared" si="116"/>
        <v>163.66417824073869</v>
      </c>
      <c r="AM717">
        <f t="shared" si="117"/>
        <v>162.66417824073869</v>
      </c>
      <c r="AN717" s="12">
        <f t="shared" si="118"/>
        <v>2.8333333333357587</v>
      </c>
      <c r="AO717">
        <f t="shared" si="119"/>
        <v>0</v>
      </c>
    </row>
    <row r="718" spans="1:41" x14ac:dyDescent="0.35">
      <c r="A718" t="s">
        <v>23</v>
      </c>
      <c r="B718" t="s">
        <v>1602</v>
      </c>
      <c r="C718" t="s">
        <v>43</v>
      </c>
      <c r="D718" t="s">
        <v>44</v>
      </c>
      <c r="E718" t="s">
        <v>44</v>
      </c>
      <c r="F718" t="s">
        <v>1441</v>
      </c>
      <c r="H718" t="s">
        <v>1603</v>
      </c>
      <c r="I718" t="s">
        <v>30</v>
      </c>
      <c r="J718" t="s">
        <v>70</v>
      </c>
      <c r="K718" t="s">
        <v>48</v>
      </c>
      <c r="L718" t="s">
        <v>192</v>
      </c>
      <c r="N718" s="2">
        <v>45280.208333333336</v>
      </c>
      <c r="O718" s="2">
        <v>45440.166666666664</v>
      </c>
      <c r="P718" s="2">
        <v>45455.166666666664</v>
      </c>
      <c r="Q718" s="2">
        <v>45453</v>
      </c>
      <c r="R718" s="2">
        <v>45454.753274629627</v>
      </c>
      <c r="S718" t="s">
        <v>1604</v>
      </c>
      <c r="T718" s="2">
        <v>45334.208333333336</v>
      </c>
      <c r="U718" s="2">
        <v>45334.208333333336</v>
      </c>
      <c r="V718" s="2">
        <v>45334.208333333336</v>
      </c>
      <c r="W718" s="2">
        <v>45335.208333333336</v>
      </c>
      <c r="X718" s="3">
        <f t="shared" si="110"/>
        <v>0</v>
      </c>
      <c r="Y718">
        <f t="shared" si="111"/>
        <v>1</v>
      </c>
      <c r="Z718">
        <f t="shared" si="112"/>
        <v>1</v>
      </c>
      <c r="AA718">
        <f t="shared" si="113"/>
        <v>172.79166666666424</v>
      </c>
      <c r="AB718">
        <f t="shared" si="114"/>
        <v>171.79166666666424</v>
      </c>
      <c r="AC718">
        <f>IFERROR(_xlfn.XLOOKUP(B718, HoldSummary!$A:$A, HoldSummary!B:B), 0)</f>
        <v>0</v>
      </c>
      <c r="AD718">
        <f>IFERROR(_xlfn.XLOOKUP(B718, HoldSummary!$A:$A, HoldSummary!C:C), 0)</f>
        <v>0</v>
      </c>
      <c r="AE718">
        <f>IFERROR(_xlfn.XLOOKUP(B718, HoldSummary!$A:$A, HoldSummary!D:D), 0)</f>
        <v>0</v>
      </c>
      <c r="AF718">
        <f>IFERROR(_xlfn.XLOOKUP(B718, HoldSummary!$A:$A, HoldSummary!E:E), 0)</f>
        <v>0</v>
      </c>
      <c r="AG718">
        <f>IFERROR(_xlfn.XLOOKUP(B718, HoldSummary!$A:$A, HoldSummary!F:F), 0)</f>
        <v>0</v>
      </c>
      <c r="AH718">
        <f>IFERROR(_xlfn.XLOOKUP(B718, HoldSummary!$A:$A, HoldSummary!G:G), 0)</f>
        <v>0</v>
      </c>
      <c r="AI718">
        <f>IFERROR(_xlfn.XLOOKUP(B718, HoldSummary!$A:$A, HoldSummary!H:H), 0)</f>
        <v>0</v>
      </c>
      <c r="AJ718">
        <f>IFERROR(_xlfn.XLOOKUP(B718, HoldSummary!$A:$A, HoldSummary!I:I), 0)</f>
        <v>0</v>
      </c>
      <c r="AK718">
        <f t="shared" si="115"/>
        <v>0</v>
      </c>
      <c r="AL718">
        <f t="shared" si="116"/>
        <v>172.79166666666424</v>
      </c>
      <c r="AM718">
        <f t="shared" si="117"/>
        <v>171.79166666666424</v>
      </c>
      <c r="AN718" s="12">
        <f t="shared" si="118"/>
        <v>12.833333333335759</v>
      </c>
      <c r="AO718">
        <f t="shared" si="119"/>
        <v>0</v>
      </c>
    </row>
    <row r="719" spans="1:41" x14ac:dyDescent="0.35">
      <c r="A719" t="s">
        <v>23</v>
      </c>
      <c r="B719" t="s">
        <v>1605</v>
      </c>
      <c r="C719" t="s">
        <v>130</v>
      </c>
      <c r="D719" t="s">
        <v>44</v>
      </c>
      <c r="E719" t="s">
        <v>45</v>
      </c>
      <c r="F719" t="s">
        <v>1441</v>
      </c>
      <c r="H719" t="s">
        <v>1606</v>
      </c>
      <c r="I719" t="s">
        <v>30</v>
      </c>
      <c r="J719" t="s">
        <v>31</v>
      </c>
      <c r="K719" t="s">
        <v>48</v>
      </c>
      <c r="L719" t="s">
        <v>192</v>
      </c>
      <c r="N719" s="2">
        <v>45300.73364583333</v>
      </c>
      <c r="O719" s="2">
        <v>45358.208333333336</v>
      </c>
      <c r="P719" s="2">
        <v>45547.166666666664</v>
      </c>
      <c r="Q719" s="2">
        <v>45534</v>
      </c>
      <c r="R719" s="2">
        <v>45534.740499074076</v>
      </c>
      <c r="S719" t="s">
        <v>1607</v>
      </c>
      <c r="T719" s="2">
        <v>45302.208333333336</v>
      </c>
      <c r="U719" s="2">
        <v>45419.166666666664</v>
      </c>
      <c r="V719" s="2">
        <v>45419.166666666664</v>
      </c>
      <c r="W719" s="2">
        <v>45429.166666666664</v>
      </c>
      <c r="X719" s="3">
        <f t="shared" si="110"/>
        <v>116.95833333332848</v>
      </c>
      <c r="Y719">
        <f t="shared" si="111"/>
        <v>10</v>
      </c>
      <c r="Z719">
        <f t="shared" si="112"/>
        <v>126.95833333332848</v>
      </c>
      <c r="AA719">
        <f t="shared" si="113"/>
        <v>233.26635416666977</v>
      </c>
      <c r="AB719">
        <f t="shared" si="114"/>
        <v>106.30802083334129</v>
      </c>
      <c r="AC719">
        <f>IFERROR(_xlfn.XLOOKUP(B719, HoldSummary!$A:$A, HoldSummary!B:B), 0)</f>
        <v>0</v>
      </c>
      <c r="AD719">
        <f>IFERROR(_xlfn.XLOOKUP(B719, HoldSummary!$A:$A, HoldSummary!C:C), 0)</f>
        <v>0</v>
      </c>
      <c r="AE719">
        <f>IFERROR(_xlfn.XLOOKUP(B719, HoldSummary!$A:$A, HoldSummary!D:D), 0)</f>
        <v>0</v>
      </c>
      <c r="AF719">
        <f>IFERROR(_xlfn.XLOOKUP(B719, HoldSummary!$A:$A, HoldSummary!E:E), 0)</f>
        <v>0</v>
      </c>
      <c r="AG719">
        <f>IFERROR(_xlfn.XLOOKUP(B719, HoldSummary!$A:$A, HoldSummary!F:F), 0)</f>
        <v>0</v>
      </c>
      <c r="AH719">
        <f>IFERROR(_xlfn.XLOOKUP(B719, HoldSummary!$A:$A, HoldSummary!G:G), 0)</f>
        <v>0</v>
      </c>
      <c r="AI719">
        <f>IFERROR(_xlfn.XLOOKUP(B719, HoldSummary!$A:$A, HoldSummary!H:H), 0)</f>
        <v>0</v>
      </c>
      <c r="AJ719">
        <f>IFERROR(_xlfn.XLOOKUP(B719, HoldSummary!$A:$A, HoldSummary!I:I), 0)</f>
        <v>0</v>
      </c>
      <c r="AK719">
        <f t="shared" si="115"/>
        <v>0</v>
      </c>
      <c r="AL719">
        <f t="shared" si="116"/>
        <v>233.26635416666977</v>
      </c>
      <c r="AM719">
        <f t="shared" si="117"/>
        <v>106.30802083334129</v>
      </c>
      <c r="AN719" s="12">
        <f t="shared" si="118"/>
        <v>175.79166666666424</v>
      </c>
      <c r="AO719">
        <f t="shared" si="119"/>
        <v>0</v>
      </c>
    </row>
    <row r="720" spans="1:41" x14ac:dyDescent="0.35">
      <c r="A720" t="s">
        <v>23</v>
      </c>
      <c r="B720" t="s">
        <v>1608</v>
      </c>
      <c r="C720" t="s">
        <v>43</v>
      </c>
      <c r="D720" t="s">
        <v>44</v>
      </c>
      <c r="E720" t="s">
        <v>44</v>
      </c>
      <c r="F720" t="s">
        <v>1441</v>
      </c>
      <c r="H720" t="s">
        <v>1609</v>
      </c>
      <c r="I720" t="s">
        <v>30</v>
      </c>
      <c r="J720" t="s">
        <v>70</v>
      </c>
      <c r="K720" t="s">
        <v>48</v>
      </c>
      <c r="L720" t="s">
        <v>185</v>
      </c>
      <c r="N720" s="2">
        <v>45344.208333333336</v>
      </c>
      <c r="O720" s="2">
        <v>45471.166666666664</v>
      </c>
      <c r="P720" s="2">
        <v>45435.166666666664</v>
      </c>
      <c r="Q720" s="2">
        <v>45440</v>
      </c>
      <c r="R720" s="2">
        <v>45440.582082071756</v>
      </c>
      <c r="S720" t="s">
        <v>1610</v>
      </c>
      <c r="T720" s="2">
        <v>45362.166666666664</v>
      </c>
      <c r="U720" s="2">
        <v>45377.166666666664</v>
      </c>
      <c r="V720" s="2">
        <v>45377.166666666664</v>
      </c>
      <c r="W720" s="2">
        <v>45404.166666666664</v>
      </c>
      <c r="X720" s="3">
        <f t="shared" si="110"/>
        <v>15</v>
      </c>
      <c r="Y720">
        <f t="shared" si="111"/>
        <v>27</v>
      </c>
      <c r="Z720">
        <f t="shared" si="112"/>
        <v>42</v>
      </c>
      <c r="AA720">
        <f t="shared" si="113"/>
        <v>95.791666666664241</v>
      </c>
      <c r="AB720">
        <f t="shared" si="114"/>
        <v>53.791666666664241</v>
      </c>
      <c r="AC720">
        <f>IFERROR(_xlfn.XLOOKUP(B720, HoldSummary!$A:$A, HoldSummary!B:B), 0)</f>
        <v>0</v>
      </c>
      <c r="AD720">
        <f>IFERROR(_xlfn.XLOOKUP(B720, HoldSummary!$A:$A, HoldSummary!C:C), 0)</f>
        <v>0</v>
      </c>
      <c r="AE720">
        <f>IFERROR(_xlfn.XLOOKUP(B720, HoldSummary!$A:$A, HoldSummary!D:D), 0)</f>
        <v>0</v>
      </c>
      <c r="AF720">
        <f>IFERROR(_xlfn.XLOOKUP(B720, HoldSummary!$A:$A, HoldSummary!E:E), 0)</f>
        <v>0</v>
      </c>
      <c r="AG720">
        <f>IFERROR(_xlfn.XLOOKUP(B720, HoldSummary!$A:$A, HoldSummary!F:F), 0)</f>
        <v>0</v>
      </c>
      <c r="AH720">
        <f>IFERROR(_xlfn.XLOOKUP(B720, HoldSummary!$A:$A, HoldSummary!G:G), 0)</f>
        <v>0</v>
      </c>
      <c r="AI720">
        <f>IFERROR(_xlfn.XLOOKUP(B720, HoldSummary!$A:$A, HoldSummary!H:H), 0)</f>
        <v>0</v>
      </c>
      <c r="AJ720">
        <f>IFERROR(_xlfn.XLOOKUP(B720, HoldSummary!$A:$A, HoldSummary!I:I), 0)</f>
        <v>0</v>
      </c>
      <c r="AK720">
        <f t="shared" si="115"/>
        <v>0</v>
      </c>
      <c r="AL720">
        <f t="shared" si="116"/>
        <v>95.791666666664241</v>
      </c>
      <c r="AM720">
        <f t="shared" si="117"/>
        <v>53.791666666664241</v>
      </c>
      <c r="AN720" s="12">
        <f t="shared" si="118"/>
        <v>-31.166666666664241</v>
      </c>
      <c r="AO720">
        <f t="shared" si="119"/>
        <v>1</v>
      </c>
    </row>
    <row r="721" spans="1:41" x14ac:dyDescent="0.35">
      <c r="A721" t="s">
        <v>23</v>
      </c>
      <c r="B721" t="s">
        <v>1611</v>
      </c>
      <c r="C721" t="s">
        <v>43</v>
      </c>
      <c r="D721" t="s">
        <v>44</v>
      </c>
      <c r="E721" t="s">
        <v>44</v>
      </c>
      <c r="F721" t="s">
        <v>1441</v>
      </c>
      <c r="H721" t="s">
        <v>1612</v>
      </c>
      <c r="I721" t="s">
        <v>30</v>
      </c>
      <c r="J721" t="s">
        <v>70</v>
      </c>
      <c r="K721" t="s">
        <v>48</v>
      </c>
      <c r="L721" t="s">
        <v>185</v>
      </c>
      <c r="N721" s="2">
        <v>45344.208333333336</v>
      </c>
      <c r="O721" s="2">
        <v>45485.166666666664</v>
      </c>
      <c r="P721" s="2">
        <v>45443.166666666664</v>
      </c>
      <c r="Q721" s="2">
        <v>45441</v>
      </c>
      <c r="R721" s="2">
        <v>45441.576932708333</v>
      </c>
      <c r="S721" t="s">
        <v>1613</v>
      </c>
      <c r="T721" s="2">
        <v>45370.166666666664</v>
      </c>
      <c r="U721" s="2">
        <v>45377.166666666664</v>
      </c>
      <c r="V721" s="2">
        <v>45377.166666666664</v>
      </c>
      <c r="W721" s="2">
        <v>45404.166666666664</v>
      </c>
      <c r="X721" s="3">
        <f t="shared" si="110"/>
        <v>7</v>
      </c>
      <c r="Y721">
        <f t="shared" si="111"/>
        <v>27</v>
      </c>
      <c r="Z721">
        <f t="shared" si="112"/>
        <v>34</v>
      </c>
      <c r="AA721">
        <f t="shared" si="113"/>
        <v>96.791666666664241</v>
      </c>
      <c r="AB721">
        <f t="shared" si="114"/>
        <v>62.791666666664241</v>
      </c>
      <c r="AC721">
        <f>IFERROR(_xlfn.XLOOKUP(B721, HoldSummary!$A:$A, HoldSummary!B:B), 0)</f>
        <v>0</v>
      </c>
      <c r="AD721">
        <f>IFERROR(_xlfn.XLOOKUP(B721, HoldSummary!$A:$A, HoldSummary!C:C), 0)</f>
        <v>0</v>
      </c>
      <c r="AE721">
        <f>IFERROR(_xlfn.XLOOKUP(B721, HoldSummary!$A:$A, HoldSummary!D:D), 0)</f>
        <v>0</v>
      </c>
      <c r="AF721">
        <f>IFERROR(_xlfn.XLOOKUP(B721, HoldSummary!$A:$A, HoldSummary!E:E), 0)</f>
        <v>0</v>
      </c>
      <c r="AG721">
        <f>IFERROR(_xlfn.XLOOKUP(B721, HoldSummary!$A:$A, HoldSummary!F:F), 0)</f>
        <v>0</v>
      </c>
      <c r="AH721">
        <f>IFERROR(_xlfn.XLOOKUP(B721, HoldSummary!$A:$A, HoldSummary!G:G), 0)</f>
        <v>0</v>
      </c>
      <c r="AI721">
        <f>IFERROR(_xlfn.XLOOKUP(B721, HoldSummary!$A:$A, HoldSummary!H:H), 0)</f>
        <v>0</v>
      </c>
      <c r="AJ721">
        <f>IFERROR(_xlfn.XLOOKUP(B721, HoldSummary!$A:$A, HoldSummary!I:I), 0)</f>
        <v>0</v>
      </c>
      <c r="AK721">
        <f t="shared" si="115"/>
        <v>0</v>
      </c>
      <c r="AL721">
        <f t="shared" si="116"/>
        <v>96.791666666664241</v>
      </c>
      <c r="AM721">
        <f t="shared" si="117"/>
        <v>62.791666666664241</v>
      </c>
      <c r="AN721" s="12">
        <f t="shared" si="118"/>
        <v>-44.166666666664241</v>
      </c>
      <c r="AO721">
        <f t="shared" si="119"/>
        <v>1</v>
      </c>
    </row>
    <row r="722" spans="1:41" x14ac:dyDescent="0.35">
      <c r="A722" t="s">
        <v>23</v>
      </c>
      <c r="B722" t="s">
        <v>1614</v>
      </c>
      <c r="C722" t="s">
        <v>130</v>
      </c>
      <c r="D722" t="s">
        <v>44</v>
      </c>
      <c r="E722" t="s">
        <v>45</v>
      </c>
      <c r="F722" t="s">
        <v>1441</v>
      </c>
      <c r="H722" t="s">
        <v>1615</v>
      </c>
      <c r="I722" t="s">
        <v>30</v>
      </c>
      <c r="J722" t="s">
        <v>31</v>
      </c>
      <c r="K722" t="s">
        <v>38</v>
      </c>
      <c r="L722" t="s">
        <v>39</v>
      </c>
      <c r="N722" s="2">
        <v>45267.136886574073</v>
      </c>
      <c r="O722" s="2">
        <v>45519.166666666664</v>
      </c>
      <c r="P722" s="2">
        <v>45565.166666666664</v>
      </c>
      <c r="Q722" s="2">
        <v>45565</v>
      </c>
      <c r="R722" s="2">
        <v>45566.061434386575</v>
      </c>
      <c r="S722" t="s">
        <v>231</v>
      </c>
      <c r="T722" s="2">
        <v>45446.166666666664</v>
      </c>
      <c r="U722" s="2">
        <v>45453.166666666664</v>
      </c>
      <c r="V722" s="2">
        <v>45453.166666666664</v>
      </c>
      <c r="W722" s="2">
        <v>45484.166666666664</v>
      </c>
      <c r="X722" s="3">
        <f t="shared" si="110"/>
        <v>7</v>
      </c>
      <c r="Y722">
        <f t="shared" si="111"/>
        <v>31</v>
      </c>
      <c r="Z722">
        <f t="shared" si="112"/>
        <v>38</v>
      </c>
      <c r="AA722">
        <f t="shared" si="113"/>
        <v>297.86311342592671</v>
      </c>
      <c r="AB722">
        <f t="shared" si="114"/>
        <v>259.86311342592671</v>
      </c>
      <c r="AC722">
        <f>IFERROR(_xlfn.XLOOKUP(B722, HoldSummary!$A:$A, HoldSummary!B:B), 0)</f>
        <v>0</v>
      </c>
      <c r="AD722">
        <f>IFERROR(_xlfn.XLOOKUP(B722, HoldSummary!$A:$A, HoldSummary!C:C), 0)</f>
        <v>0</v>
      </c>
      <c r="AE722">
        <f>IFERROR(_xlfn.XLOOKUP(B722, HoldSummary!$A:$A, HoldSummary!D:D), 0)</f>
        <v>0</v>
      </c>
      <c r="AF722">
        <f>IFERROR(_xlfn.XLOOKUP(B722, HoldSummary!$A:$A, HoldSummary!E:E), 0)</f>
        <v>114</v>
      </c>
      <c r="AG722">
        <f>IFERROR(_xlfn.XLOOKUP(B722, HoldSummary!$A:$A, HoldSummary!F:F), 0)</f>
        <v>0</v>
      </c>
      <c r="AH722">
        <f>IFERROR(_xlfn.XLOOKUP(B722, HoldSummary!$A:$A, HoldSummary!G:G), 0)</f>
        <v>0</v>
      </c>
      <c r="AI722">
        <f>IFERROR(_xlfn.XLOOKUP(B722, HoldSummary!$A:$A, HoldSummary!H:H), 0)</f>
        <v>0</v>
      </c>
      <c r="AJ722">
        <f>IFERROR(_xlfn.XLOOKUP(B722, HoldSummary!$A:$A, HoldSummary!I:I), 0)</f>
        <v>0</v>
      </c>
      <c r="AK722">
        <f t="shared" si="115"/>
        <v>114</v>
      </c>
      <c r="AL722">
        <f t="shared" si="116"/>
        <v>183.86311342592671</v>
      </c>
      <c r="AM722">
        <f t="shared" si="117"/>
        <v>145.86311342592671</v>
      </c>
      <c r="AN722" s="12">
        <f t="shared" si="118"/>
        <v>45.833333333335759</v>
      </c>
      <c r="AO722">
        <f t="shared" si="119"/>
        <v>0</v>
      </c>
    </row>
    <row r="723" spans="1:41" x14ac:dyDescent="0.35">
      <c r="A723" t="s">
        <v>23</v>
      </c>
      <c r="B723" t="s">
        <v>1616</v>
      </c>
      <c r="C723" t="s">
        <v>43</v>
      </c>
      <c r="D723" t="s">
        <v>44</v>
      </c>
      <c r="E723" t="s">
        <v>45</v>
      </c>
      <c r="F723" t="s">
        <v>1441</v>
      </c>
      <c r="H723" t="s">
        <v>1617</v>
      </c>
      <c r="I723" t="s">
        <v>30</v>
      </c>
      <c r="J723" t="s">
        <v>70</v>
      </c>
      <c r="K723" t="s">
        <v>48</v>
      </c>
      <c r="L723" t="s">
        <v>192</v>
      </c>
      <c r="M723" t="s">
        <v>33</v>
      </c>
      <c r="N723" s="2">
        <v>45425.683923611112</v>
      </c>
      <c r="O723" s="2">
        <v>45436.166666666664</v>
      </c>
      <c r="P723" s="2">
        <v>45436.166666666664</v>
      </c>
      <c r="Q723" s="2">
        <v>45432</v>
      </c>
      <c r="R723" s="2">
        <v>45432.841467164355</v>
      </c>
      <c r="S723" t="s">
        <v>1545</v>
      </c>
      <c r="T723" s="2"/>
      <c r="U723" s="2"/>
      <c r="V723" s="2"/>
      <c r="W723" s="2"/>
      <c r="X723" s="3" t="str">
        <f t="shared" si="110"/>
        <v/>
      </c>
      <c r="Y723" t="str">
        <f t="shared" si="111"/>
        <v/>
      </c>
      <c r="Z723">
        <f t="shared" si="112"/>
        <v>0</v>
      </c>
      <c r="AA723">
        <f t="shared" si="113"/>
        <v>6.3160763888881775</v>
      </c>
      <c r="AB723">
        <f t="shared" si="114"/>
        <v>6.3160763888881775</v>
      </c>
      <c r="AC723">
        <f>IFERROR(_xlfn.XLOOKUP(B723, HoldSummary!$A:$A, HoldSummary!B:B), 0)</f>
        <v>0</v>
      </c>
      <c r="AD723">
        <f>IFERROR(_xlfn.XLOOKUP(B723, HoldSummary!$A:$A, HoldSummary!C:C), 0)</f>
        <v>0</v>
      </c>
      <c r="AE723">
        <f>IFERROR(_xlfn.XLOOKUP(B723, HoldSummary!$A:$A, HoldSummary!D:D), 0)</f>
        <v>0</v>
      </c>
      <c r="AF723">
        <f>IFERROR(_xlfn.XLOOKUP(B723, HoldSummary!$A:$A, HoldSummary!E:E), 0)</f>
        <v>0</v>
      </c>
      <c r="AG723">
        <f>IFERROR(_xlfn.XLOOKUP(B723, HoldSummary!$A:$A, HoldSummary!F:F), 0)</f>
        <v>0</v>
      </c>
      <c r="AH723">
        <f>IFERROR(_xlfn.XLOOKUP(B723, HoldSummary!$A:$A, HoldSummary!G:G), 0)</f>
        <v>0</v>
      </c>
      <c r="AI723">
        <f>IFERROR(_xlfn.XLOOKUP(B723, HoldSummary!$A:$A, HoldSummary!H:H), 0)</f>
        <v>0</v>
      </c>
      <c r="AJ723">
        <f>IFERROR(_xlfn.XLOOKUP(B723, HoldSummary!$A:$A, HoldSummary!I:I), 0)</f>
        <v>0</v>
      </c>
      <c r="AK723">
        <f t="shared" si="115"/>
        <v>0</v>
      </c>
      <c r="AL723">
        <f t="shared" si="116"/>
        <v>6.3160763888881775</v>
      </c>
      <c r="AM723">
        <f t="shared" si="117"/>
        <v>6.3160763888881775</v>
      </c>
      <c r="AN723" s="12">
        <f t="shared" si="118"/>
        <v>-4.1666666666642413</v>
      </c>
      <c r="AO723">
        <f t="shared" si="119"/>
        <v>1</v>
      </c>
    </row>
    <row r="724" spans="1:41" x14ac:dyDescent="0.35">
      <c r="A724" t="s">
        <v>23</v>
      </c>
      <c r="B724" t="s">
        <v>1618</v>
      </c>
      <c r="C724" t="s">
        <v>43</v>
      </c>
      <c r="D724" t="s">
        <v>44</v>
      </c>
      <c r="E724" t="s">
        <v>45</v>
      </c>
      <c r="F724" t="s">
        <v>1441</v>
      </c>
      <c r="H724" t="s">
        <v>1619</v>
      </c>
      <c r="I724" t="s">
        <v>30</v>
      </c>
      <c r="J724" t="s">
        <v>31</v>
      </c>
      <c r="K724" t="s">
        <v>174</v>
      </c>
      <c r="L724" t="s">
        <v>174</v>
      </c>
      <c r="M724" t="s">
        <v>33</v>
      </c>
      <c r="N724" s="2">
        <v>45443.770497685182</v>
      </c>
      <c r="O724" s="2">
        <v>45534.166666666664</v>
      </c>
      <c r="P724" s="2">
        <v>45471.166666666664</v>
      </c>
      <c r="Q724" s="2">
        <v>45469</v>
      </c>
      <c r="R724" s="2">
        <v>45470.61044783565</v>
      </c>
      <c r="T724" s="2">
        <v>45455.166666666664</v>
      </c>
      <c r="U724" s="2">
        <v>45456.166666666664</v>
      </c>
      <c r="V724" s="2">
        <v>45456.166666666664</v>
      </c>
      <c r="W724" s="2">
        <v>45462.166666666664</v>
      </c>
      <c r="X724" s="3">
        <f t="shared" si="110"/>
        <v>1</v>
      </c>
      <c r="Y724">
        <f t="shared" si="111"/>
        <v>6</v>
      </c>
      <c r="Z724">
        <f t="shared" si="112"/>
        <v>7</v>
      </c>
      <c r="AA724">
        <f t="shared" si="113"/>
        <v>25.229502314818092</v>
      </c>
      <c r="AB724">
        <f t="shared" si="114"/>
        <v>18.229502314818092</v>
      </c>
      <c r="AC724">
        <f>IFERROR(_xlfn.XLOOKUP(B724, HoldSummary!$A:$A, HoldSummary!B:B), 0)</f>
        <v>0</v>
      </c>
      <c r="AD724">
        <f>IFERROR(_xlfn.XLOOKUP(B724, HoldSummary!$A:$A, HoldSummary!C:C), 0)</f>
        <v>0</v>
      </c>
      <c r="AE724">
        <f>IFERROR(_xlfn.XLOOKUP(B724, HoldSummary!$A:$A, HoldSummary!D:D), 0)</f>
        <v>0</v>
      </c>
      <c r="AF724">
        <f>IFERROR(_xlfn.XLOOKUP(B724, HoldSummary!$A:$A, HoldSummary!E:E), 0)</f>
        <v>0</v>
      </c>
      <c r="AG724">
        <f>IFERROR(_xlfn.XLOOKUP(B724, HoldSummary!$A:$A, HoldSummary!F:F), 0)</f>
        <v>0</v>
      </c>
      <c r="AH724">
        <f>IFERROR(_xlfn.XLOOKUP(B724, HoldSummary!$A:$A, HoldSummary!G:G), 0)</f>
        <v>0</v>
      </c>
      <c r="AI724">
        <f>IFERROR(_xlfn.XLOOKUP(B724, HoldSummary!$A:$A, HoldSummary!H:H), 0)</f>
        <v>0</v>
      </c>
      <c r="AJ724">
        <f>IFERROR(_xlfn.XLOOKUP(B724, HoldSummary!$A:$A, HoldSummary!I:I), 0)</f>
        <v>0</v>
      </c>
      <c r="AK724">
        <f t="shared" si="115"/>
        <v>0</v>
      </c>
      <c r="AL724">
        <f t="shared" si="116"/>
        <v>25.229502314818092</v>
      </c>
      <c r="AM724">
        <f t="shared" si="117"/>
        <v>18.229502314818092</v>
      </c>
      <c r="AN724" s="12">
        <f t="shared" si="118"/>
        <v>-65.166666666664241</v>
      </c>
      <c r="AO724">
        <f t="shared" si="119"/>
        <v>1</v>
      </c>
    </row>
    <row r="725" spans="1:41" x14ac:dyDescent="0.35">
      <c r="A725" t="s">
        <v>23</v>
      </c>
      <c r="B725">
        <v>104970</v>
      </c>
      <c r="C725" t="s">
        <v>43</v>
      </c>
      <c r="D725" t="s">
        <v>44</v>
      </c>
      <c r="E725" t="s">
        <v>55</v>
      </c>
      <c r="F725" t="s">
        <v>1441</v>
      </c>
      <c r="H725" t="s">
        <v>1620</v>
      </c>
      <c r="I725" t="s">
        <v>30</v>
      </c>
      <c r="J725" t="s">
        <v>70</v>
      </c>
      <c r="K725" t="s">
        <v>57</v>
      </c>
      <c r="L725" t="s">
        <v>39</v>
      </c>
      <c r="M725" t="s">
        <v>33</v>
      </c>
      <c r="N725" s="2">
        <v>45378.166666666664</v>
      </c>
      <c r="O725" s="2">
        <v>45530.166666666664</v>
      </c>
      <c r="P725" s="2">
        <v>45530.166666666664</v>
      </c>
      <c r="Q725" s="2">
        <v>45525</v>
      </c>
      <c r="R725" s="2">
        <v>45525.626815682874</v>
      </c>
      <c r="T725" s="2">
        <v>45498.166666666664</v>
      </c>
      <c r="U725" s="2">
        <v>45519.166666666664</v>
      </c>
      <c r="V725" s="2">
        <v>45519.166666666664</v>
      </c>
      <c r="W725" s="2">
        <v>45519.166666666664</v>
      </c>
      <c r="X725" s="3">
        <f t="shared" si="110"/>
        <v>21</v>
      </c>
      <c r="Y725">
        <f t="shared" si="111"/>
        <v>0</v>
      </c>
      <c r="Z725">
        <f t="shared" si="112"/>
        <v>21</v>
      </c>
      <c r="AA725">
        <f t="shared" si="113"/>
        <v>146.83333333333576</v>
      </c>
      <c r="AB725">
        <f t="shared" si="114"/>
        <v>125.83333333333576</v>
      </c>
      <c r="AC725">
        <f>IFERROR(_xlfn.XLOOKUP(B725, HoldSummary!$A:$A, HoldSummary!B:B), 0)</f>
        <v>0</v>
      </c>
      <c r="AD725">
        <f>IFERROR(_xlfn.XLOOKUP(B725, HoldSummary!$A:$A, HoldSummary!C:C), 0)</f>
        <v>0</v>
      </c>
      <c r="AE725">
        <f>IFERROR(_xlfn.XLOOKUP(B725, HoldSummary!$A:$A, HoldSummary!D:D), 0)</f>
        <v>0</v>
      </c>
      <c r="AF725">
        <f>IFERROR(_xlfn.XLOOKUP(B725, HoldSummary!$A:$A, HoldSummary!E:E), 0)</f>
        <v>0</v>
      </c>
      <c r="AG725">
        <f>IFERROR(_xlfn.XLOOKUP(B725, HoldSummary!$A:$A, HoldSummary!F:F), 0)</f>
        <v>0</v>
      </c>
      <c r="AH725">
        <f>IFERROR(_xlfn.XLOOKUP(B725, HoldSummary!$A:$A, HoldSummary!G:G), 0)</f>
        <v>0</v>
      </c>
      <c r="AI725">
        <f>IFERROR(_xlfn.XLOOKUP(B725, HoldSummary!$A:$A, HoldSummary!H:H), 0)</f>
        <v>0</v>
      </c>
      <c r="AJ725">
        <f>IFERROR(_xlfn.XLOOKUP(B725, HoldSummary!$A:$A, HoldSummary!I:I), 0)</f>
        <v>0</v>
      </c>
      <c r="AK725">
        <f t="shared" si="115"/>
        <v>0</v>
      </c>
      <c r="AL725">
        <f t="shared" si="116"/>
        <v>146.83333333333576</v>
      </c>
      <c r="AM725">
        <f t="shared" si="117"/>
        <v>125.83333333333576</v>
      </c>
      <c r="AN725" s="12">
        <f t="shared" si="118"/>
        <v>-5.1666666666642413</v>
      </c>
      <c r="AO725">
        <f t="shared" si="119"/>
        <v>1</v>
      </c>
    </row>
    <row r="726" spans="1:41" x14ac:dyDescent="0.35">
      <c r="A726" t="s">
        <v>23</v>
      </c>
      <c r="B726" t="s">
        <v>1621</v>
      </c>
      <c r="C726" t="s">
        <v>43</v>
      </c>
      <c r="D726" t="s">
        <v>44</v>
      </c>
      <c r="E726" t="s">
        <v>45</v>
      </c>
      <c r="F726" t="s">
        <v>1441</v>
      </c>
      <c r="H726" t="s">
        <v>1622</v>
      </c>
      <c r="I726" t="s">
        <v>30</v>
      </c>
      <c r="J726" t="s">
        <v>70</v>
      </c>
      <c r="K726" t="s">
        <v>48</v>
      </c>
      <c r="L726" t="s">
        <v>192</v>
      </c>
      <c r="N726" s="2">
        <v>45495.199155092596</v>
      </c>
      <c r="O726" s="2">
        <v>45527.166666666664</v>
      </c>
      <c r="P726" s="2">
        <v>45527.166666666664</v>
      </c>
      <c r="Q726" s="2">
        <v>45525</v>
      </c>
      <c r="R726" s="2">
        <v>45525.545868032408</v>
      </c>
      <c r="T726" s="2"/>
      <c r="U726" s="2"/>
      <c r="V726" s="2"/>
      <c r="W726" s="2"/>
      <c r="X726" s="3" t="str">
        <f t="shared" si="110"/>
        <v/>
      </c>
      <c r="Y726" t="str">
        <f t="shared" si="111"/>
        <v/>
      </c>
      <c r="Z726">
        <f t="shared" si="112"/>
        <v>0</v>
      </c>
      <c r="AA726">
        <f t="shared" si="113"/>
        <v>29.800844907404098</v>
      </c>
      <c r="AB726">
        <f t="shared" si="114"/>
        <v>29.800844907404098</v>
      </c>
      <c r="AC726">
        <f>IFERROR(_xlfn.XLOOKUP(B726, HoldSummary!$A:$A, HoldSummary!B:B), 0)</f>
        <v>0</v>
      </c>
      <c r="AD726">
        <f>IFERROR(_xlfn.XLOOKUP(B726, HoldSummary!$A:$A, HoldSummary!C:C), 0)</f>
        <v>0</v>
      </c>
      <c r="AE726">
        <f>IFERROR(_xlfn.XLOOKUP(B726, HoldSummary!$A:$A, HoldSummary!D:D), 0)</f>
        <v>0</v>
      </c>
      <c r="AF726">
        <f>IFERROR(_xlfn.XLOOKUP(B726, HoldSummary!$A:$A, HoldSummary!E:E), 0)</f>
        <v>0</v>
      </c>
      <c r="AG726">
        <f>IFERROR(_xlfn.XLOOKUP(B726, HoldSummary!$A:$A, HoldSummary!F:F), 0)</f>
        <v>0</v>
      </c>
      <c r="AH726">
        <f>IFERROR(_xlfn.XLOOKUP(B726, HoldSummary!$A:$A, HoldSummary!G:G), 0)</f>
        <v>0</v>
      </c>
      <c r="AI726">
        <f>IFERROR(_xlfn.XLOOKUP(B726, HoldSummary!$A:$A, HoldSummary!H:H), 0)</f>
        <v>0</v>
      </c>
      <c r="AJ726">
        <f>IFERROR(_xlfn.XLOOKUP(B726, HoldSummary!$A:$A, HoldSummary!I:I), 0)</f>
        <v>0</v>
      </c>
      <c r="AK726">
        <f t="shared" si="115"/>
        <v>0</v>
      </c>
      <c r="AL726">
        <f t="shared" si="116"/>
        <v>29.800844907404098</v>
      </c>
      <c r="AM726">
        <f t="shared" si="117"/>
        <v>29.800844907404098</v>
      </c>
      <c r="AN726" s="12">
        <f t="shared" si="118"/>
        <v>-2.1666666666642413</v>
      </c>
      <c r="AO726">
        <f t="shared" si="119"/>
        <v>1</v>
      </c>
    </row>
    <row r="727" spans="1:41" x14ac:dyDescent="0.35">
      <c r="A727" t="s">
        <v>23</v>
      </c>
      <c r="B727" t="s">
        <v>1623</v>
      </c>
      <c r="C727" t="s">
        <v>43</v>
      </c>
      <c r="D727" t="s">
        <v>44</v>
      </c>
      <c r="E727" t="s">
        <v>45</v>
      </c>
      <c r="F727" t="s">
        <v>1441</v>
      </c>
      <c r="H727" t="s">
        <v>1624</v>
      </c>
      <c r="I727" t="s">
        <v>30</v>
      </c>
      <c r="J727" t="s">
        <v>70</v>
      </c>
      <c r="K727" t="s">
        <v>174</v>
      </c>
      <c r="L727" t="s">
        <v>174</v>
      </c>
      <c r="N727" s="2">
        <v>45496.5624537037</v>
      </c>
      <c r="O727" s="2">
        <v>45533.166666666664</v>
      </c>
      <c r="P727" s="2">
        <v>45533.166666666664</v>
      </c>
      <c r="Q727" s="2">
        <v>45530</v>
      </c>
      <c r="R727" s="2">
        <v>45530.839820752313</v>
      </c>
      <c r="T727" s="2"/>
      <c r="U727" s="2"/>
      <c r="V727" s="2"/>
      <c r="W727" s="2"/>
      <c r="X727" s="3" t="str">
        <f t="shared" si="110"/>
        <v/>
      </c>
      <c r="Y727" t="str">
        <f t="shared" si="111"/>
        <v/>
      </c>
      <c r="Z727">
        <f t="shared" si="112"/>
        <v>0</v>
      </c>
      <c r="AA727">
        <f t="shared" si="113"/>
        <v>33.437546296299843</v>
      </c>
      <c r="AB727">
        <f t="shared" si="114"/>
        <v>33.437546296299843</v>
      </c>
      <c r="AC727">
        <f>IFERROR(_xlfn.XLOOKUP(B727, HoldSummary!$A:$A, HoldSummary!B:B), 0)</f>
        <v>0</v>
      </c>
      <c r="AD727">
        <f>IFERROR(_xlfn.XLOOKUP(B727, HoldSummary!$A:$A, HoldSummary!C:C), 0)</f>
        <v>0</v>
      </c>
      <c r="AE727">
        <f>IFERROR(_xlfn.XLOOKUP(B727, HoldSummary!$A:$A, HoldSummary!D:D), 0)</f>
        <v>0</v>
      </c>
      <c r="AF727">
        <f>IFERROR(_xlfn.XLOOKUP(B727, HoldSummary!$A:$A, HoldSummary!E:E), 0)</f>
        <v>0</v>
      </c>
      <c r="AG727">
        <f>IFERROR(_xlfn.XLOOKUP(B727, HoldSummary!$A:$A, HoldSummary!F:F), 0)</f>
        <v>0</v>
      </c>
      <c r="AH727">
        <f>IFERROR(_xlfn.XLOOKUP(B727, HoldSummary!$A:$A, HoldSummary!G:G), 0)</f>
        <v>0</v>
      </c>
      <c r="AI727">
        <f>IFERROR(_xlfn.XLOOKUP(B727, HoldSummary!$A:$A, HoldSummary!H:H), 0)</f>
        <v>0</v>
      </c>
      <c r="AJ727">
        <f>IFERROR(_xlfn.XLOOKUP(B727, HoldSummary!$A:$A, HoldSummary!I:I), 0)</f>
        <v>0</v>
      </c>
      <c r="AK727">
        <f t="shared" si="115"/>
        <v>0</v>
      </c>
      <c r="AL727">
        <f t="shared" si="116"/>
        <v>33.437546296299843</v>
      </c>
      <c r="AM727">
        <f t="shared" si="117"/>
        <v>33.437546296299843</v>
      </c>
      <c r="AN727" s="12">
        <f t="shared" si="118"/>
        <v>-3.1666666666642413</v>
      </c>
      <c r="AO727">
        <f t="shared" si="119"/>
        <v>1</v>
      </c>
    </row>
    <row r="728" spans="1:41" x14ac:dyDescent="0.35">
      <c r="A728" t="s">
        <v>23</v>
      </c>
      <c r="B728" t="s">
        <v>1625</v>
      </c>
      <c r="C728" t="s">
        <v>43</v>
      </c>
      <c r="D728" t="s">
        <v>44</v>
      </c>
      <c r="E728" t="s">
        <v>45</v>
      </c>
      <c r="F728" t="s">
        <v>1441</v>
      </c>
      <c r="H728" t="s">
        <v>1626</v>
      </c>
      <c r="I728" t="s">
        <v>30</v>
      </c>
      <c r="J728" t="s">
        <v>31</v>
      </c>
      <c r="K728" t="s">
        <v>174</v>
      </c>
      <c r="L728" t="s">
        <v>174</v>
      </c>
      <c r="N728" s="2">
        <v>45512.587939814817</v>
      </c>
      <c r="O728" s="2">
        <v>45657.208333333336</v>
      </c>
      <c r="P728" s="2">
        <v>45590.166666666664</v>
      </c>
      <c r="Q728" s="2">
        <v>45594</v>
      </c>
      <c r="R728" s="2">
        <v>45594.666151620368</v>
      </c>
      <c r="T728" s="2">
        <v>45539.166666666664</v>
      </c>
      <c r="U728" s="2">
        <v>45560.166666666664</v>
      </c>
      <c r="V728" s="2">
        <v>45560.166666666664</v>
      </c>
      <c r="W728" s="2">
        <v>45579.166666666664</v>
      </c>
      <c r="X728" s="3">
        <f t="shared" si="110"/>
        <v>21</v>
      </c>
      <c r="Y728">
        <f t="shared" si="111"/>
        <v>19</v>
      </c>
      <c r="Z728">
        <f t="shared" si="112"/>
        <v>40</v>
      </c>
      <c r="AA728">
        <f t="shared" si="113"/>
        <v>81.412060185182781</v>
      </c>
      <c r="AB728">
        <f t="shared" si="114"/>
        <v>41.412060185182781</v>
      </c>
      <c r="AC728">
        <f>IFERROR(_xlfn.XLOOKUP(B728, HoldSummary!$A:$A, HoldSummary!B:B), 0)</f>
        <v>0</v>
      </c>
      <c r="AD728">
        <f>IFERROR(_xlfn.XLOOKUP(B728, HoldSummary!$A:$A, HoldSummary!C:C), 0)</f>
        <v>0</v>
      </c>
      <c r="AE728">
        <f>IFERROR(_xlfn.XLOOKUP(B728, HoldSummary!$A:$A, HoldSummary!D:D), 0)</f>
        <v>0</v>
      </c>
      <c r="AF728">
        <f>IFERROR(_xlfn.XLOOKUP(B728, HoldSummary!$A:$A, HoldSummary!E:E), 0)</f>
        <v>0</v>
      </c>
      <c r="AG728">
        <f>IFERROR(_xlfn.XLOOKUP(B728, HoldSummary!$A:$A, HoldSummary!F:F), 0)</f>
        <v>2</v>
      </c>
      <c r="AH728">
        <f>IFERROR(_xlfn.XLOOKUP(B728, HoldSummary!$A:$A, HoldSummary!G:G), 0)</f>
        <v>6</v>
      </c>
      <c r="AI728">
        <f>IFERROR(_xlfn.XLOOKUP(B728, HoldSummary!$A:$A, HoldSummary!H:H), 0)</f>
        <v>0</v>
      </c>
      <c r="AJ728">
        <f>IFERROR(_xlfn.XLOOKUP(B728, HoldSummary!$A:$A, HoldSummary!I:I), 0)</f>
        <v>0</v>
      </c>
      <c r="AK728">
        <f t="shared" si="115"/>
        <v>8</v>
      </c>
      <c r="AL728">
        <f t="shared" si="116"/>
        <v>73.412060185182781</v>
      </c>
      <c r="AM728">
        <f t="shared" si="117"/>
        <v>33.412060185182781</v>
      </c>
      <c r="AN728" s="12">
        <f t="shared" si="118"/>
        <v>-63.208333333335759</v>
      </c>
      <c r="AO728">
        <f t="shared" si="119"/>
        <v>1</v>
      </c>
    </row>
    <row r="729" spans="1:41" x14ac:dyDescent="0.35">
      <c r="A729" t="s">
        <v>23</v>
      </c>
      <c r="B729" t="s">
        <v>1627</v>
      </c>
      <c r="C729" t="s">
        <v>461</v>
      </c>
      <c r="D729" t="s">
        <v>44</v>
      </c>
      <c r="E729" t="s">
        <v>44</v>
      </c>
      <c r="F729" t="s">
        <v>1441</v>
      </c>
      <c r="H729" t="s">
        <v>1628</v>
      </c>
      <c r="I729" t="s">
        <v>30</v>
      </c>
      <c r="J729" t="s">
        <v>70</v>
      </c>
      <c r="K729" t="s">
        <v>57</v>
      </c>
      <c r="L729" t="s">
        <v>58</v>
      </c>
      <c r="N729" s="2">
        <v>45568.166666666664</v>
      </c>
      <c r="O729" s="2">
        <v>45646.208333333336</v>
      </c>
      <c r="P729" s="2">
        <v>45646.208333333336</v>
      </c>
      <c r="Q729" s="2">
        <v>45617</v>
      </c>
      <c r="R729" s="2">
        <v>45617.671832488428</v>
      </c>
      <c r="S729" t="s">
        <v>1629</v>
      </c>
      <c r="T729" s="2"/>
      <c r="U729" s="2"/>
      <c r="V729" s="2"/>
      <c r="W729" s="2"/>
      <c r="X729" s="3" t="str">
        <f t="shared" si="110"/>
        <v/>
      </c>
      <c r="Y729" t="str">
        <f t="shared" si="111"/>
        <v/>
      </c>
      <c r="Z729">
        <f t="shared" si="112"/>
        <v>0</v>
      </c>
      <c r="AA729">
        <f t="shared" si="113"/>
        <v>48.833333333335759</v>
      </c>
      <c r="AB729">
        <f t="shared" si="114"/>
        <v>48.833333333335759</v>
      </c>
      <c r="AC729">
        <f>IFERROR(_xlfn.XLOOKUP(B729, HoldSummary!$A:$A, HoldSummary!B:B), 0)</f>
        <v>0</v>
      </c>
      <c r="AD729">
        <f>IFERROR(_xlfn.XLOOKUP(B729, HoldSummary!$A:$A, HoldSummary!C:C), 0)</f>
        <v>0</v>
      </c>
      <c r="AE729">
        <f>IFERROR(_xlfn.XLOOKUP(B729, HoldSummary!$A:$A, HoldSummary!D:D), 0)</f>
        <v>0</v>
      </c>
      <c r="AF729">
        <f>IFERROR(_xlfn.XLOOKUP(B729, HoldSummary!$A:$A, HoldSummary!E:E), 0)</f>
        <v>0</v>
      </c>
      <c r="AG729">
        <f>IFERROR(_xlfn.XLOOKUP(B729, HoldSummary!$A:$A, HoldSummary!F:F), 0)</f>
        <v>0</v>
      </c>
      <c r="AH729">
        <f>IFERROR(_xlfn.XLOOKUP(B729, HoldSummary!$A:$A, HoldSummary!G:G), 0)</f>
        <v>0</v>
      </c>
      <c r="AI729">
        <f>IFERROR(_xlfn.XLOOKUP(B729, HoldSummary!$A:$A, HoldSummary!H:H), 0)</f>
        <v>0</v>
      </c>
      <c r="AJ729">
        <f>IFERROR(_xlfn.XLOOKUP(B729, HoldSummary!$A:$A, HoldSummary!I:I), 0)</f>
        <v>0</v>
      </c>
      <c r="AK729">
        <f t="shared" si="115"/>
        <v>0</v>
      </c>
      <c r="AL729">
        <f t="shared" si="116"/>
        <v>48.833333333335759</v>
      </c>
      <c r="AM729">
        <f t="shared" si="117"/>
        <v>48.833333333335759</v>
      </c>
      <c r="AN729" s="12">
        <f t="shared" si="118"/>
        <v>-29.208333333335759</v>
      </c>
      <c r="AO729">
        <f t="shared" si="119"/>
        <v>1</v>
      </c>
    </row>
    <row r="730" spans="1:41" x14ac:dyDescent="0.35">
      <c r="A730" t="s">
        <v>23</v>
      </c>
      <c r="B730" t="s">
        <v>1630</v>
      </c>
      <c r="C730" t="s">
        <v>461</v>
      </c>
      <c r="D730" t="s">
        <v>44</v>
      </c>
      <c r="E730" t="s">
        <v>45</v>
      </c>
      <c r="F730" t="s">
        <v>1441</v>
      </c>
      <c r="H730" t="s">
        <v>1631</v>
      </c>
      <c r="I730" t="s">
        <v>30</v>
      </c>
      <c r="J730" t="s">
        <v>31</v>
      </c>
      <c r="K730" t="s">
        <v>57</v>
      </c>
      <c r="L730" t="s">
        <v>39</v>
      </c>
      <c r="N730" s="2">
        <v>45523.534155092595</v>
      </c>
      <c r="O730" s="2">
        <v>45615.208333333336</v>
      </c>
      <c r="P730" s="2">
        <v>45615.208333333336</v>
      </c>
      <c r="Q730" s="2">
        <v>45614</v>
      </c>
      <c r="R730" s="2">
        <v>45614.645788981485</v>
      </c>
      <c r="T730" s="2"/>
      <c r="U730" s="2"/>
      <c r="V730" s="2"/>
      <c r="W730" s="2"/>
      <c r="X730" s="3" t="str">
        <f t="shared" si="110"/>
        <v/>
      </c>
      <c r="Y730" t="str">
        <f t="shared" si="111"/>
        <v/>
      </c>
      <c r="Z730">
        <f t="shared" si="112"/>
        <v>0</v>
      </c>
      <c r="AA730">
        <f t="shared" si="113"/>
        <v>90.465844907404971</v>
      </c>
      <c r="AB730">
        <f t="shared" si="114"/>
        <v>90.465844907404971</v>
      </c>
      <c r="AC730">
        <f>IFERROR(_xlfn.XLOOKUP(B730, HoldSummary!$A:$A, HoldSummary!B:B), 0)</f>
        <v>0</v>
      </c>
      <c r="AD730">
        <f>IFERROR(_xlfn.XLOOKUP(B730, HoldSummary!$A:$A, HoldSummary!C:C), 0)</f>
        <v>0</v>
      </c>
      <c r="AE730">
        <f>IFERROR(_xlfn.XLOOKUP(B730, HoldSummary!$A:$A, HoldSummary!D:D), 0)</f>
        <v>0</v>
      </c>
      <c r="AF730">
        <f>IFERROR(_xlfn.XLOOKUP(B730, HoldSummary!$A:$A, HoldSummary!E:E), 0)</f>
        <v>0</v>
      </c>
      <c r="AG730">
        <f>IFERROR(_xlfn.XLOOKUP(B730, HoldSummary!$A:$A, HoldSummary!F:F), 0)</f>
        <v>0</v>
      </c>
      <c r="AH730">
        <f>IFERROR(_xlfn.XLOOKUP(B730, HoldSummary!$A:$A, HoldSummary!G:G), 0)</f>
        <v>0</v>
      </c>
      <c r="AI730">
        <f>IFERROR(_xlfn.XLOOKUP(B730, HoldSummary!$A:$A, HoldSummary!H:H), 0)</f>
        <v>0</v>
      </c>
      <c r="AJ730">
        <f>IFERROR(_xlfn.XLOOKUP(B730, HoldSummary!$A:$A, HoldSummary!I:I), 0)</f>
        <v>0</v>
      </c>
      <c r="AK730">
        <f t="shared" si="115"/>
        <v>0</v>
      </c>
      <c r="AL730">
        <f t="shared" si="116"/>
        <v>90.465844907404971</v>
      </c>
      <c r="AM730">
        <f t="shared" si="117"/>
        <v>90.465844907404971</v>
      </c>
      <c r="AN730" s="12">
        <f t="shared" si="118"/>
        <v>-1.2083333333357587</v>
      </c>
      <c r="AO730">
        <f t="shared" si="119"/>
        <v>1</v>
      </c>
    </row>
    <row r="731" spans="1:41" x14ac:dyDescent="0.35">
      <c r="A731" t="s">
        <v>23</v>
      </c>
      <c r="B731" t="s">
        <v>1632</v>
      </c>
      <c r="C731" t="s">
        <v>54</v>
      </c>
      <c r="D731" t="s">
        <v>44</v>
      </c>
      <c r="E731" t="s">
        <v>27</v>
      </c>
      <c r="F731" t="s">
        <v>1633</v>
      </c>
      <c r="G731">
        <v>2</v>
      </c>
      <c r="H731" t="s">
        <v>1634</v>
      </c>
      <c r="I731" t="s">
        <v>30</v>
      </c>
      <c r="J731" t="s">
        <v>70</v>
      </c>
      <c r="K731" t="s">
        <v>38</v>
      </c>
      <c r="L731" t="s">
        <v>53</v>
      </c>
      <c r="N731" s="2">
        <v>44672.886030092595</v>
      </c>
      <c r="O731" s="2">
        <v>45240.208333333336</v>
      </c>
      <c r="P731" s="2">
        <v>45405.166666666664</v>
      </c>
      <c r="Q731" s="2">
        <v>45407</v>
      </c>
      <c r="R731" s="2">
        <v>45407.557159259261</v>
      </c>
      <c r="S731" t="s">
        <v>198</v>
      </c>
      <c r="T731" s="2"/>
      <c r="U731" s="2"/>
      <c r="V731" s="2"/>
      <c r="W731" s="2"/>
      <c r="X731" s="3" t="str">
        <f t="shared" si="110"/>
        <v/>
      </c>
      <c r="Y731" t="str">
        <f t="shared" si="111"/>
        <v/>
      </c>
      <c r="Z731">
        <f t="shared" si="112"/>
        <v>0</v>
      </c>
      <c r="AA731">
        <f t="shared" si="113"/>
        <v>734.11396990740468</v>
      </c>
      <c r="AB731">
        <f t="shared" si="114"/>
        <v>734.11396990740468</v>
      </c>
      <c r="AC731">
        <f>IFERROR(_xlfn.XLOOKUP(B731, HoldSummary!$A:$A, HoldSummary!B:B), 0)</f>
        <v>0</v>
      </c>
      <c r="AD731">
        <f>IFERROR(_xlfn.XLOOKUP(B731, HoldSummary!$A:$A, HoldSummary!C:C), 0)</f>
        <v>0</v>
      </c>
      <c r="AE731">
        <f>IFERROR(_xlfn.XLOOKUP(B731, HoldSummary!$A:$A, HoldSummary!D:D), 0)</f>
        <v>0</v>
      </c>
      <c r="AF731">
        <f>IFERROR(_xlfn.XLOOKUP(B731, HoldSummary!$A:$A, HoldSummary!E:E), 0)</f>
        <v>0</v>
      </c>
      <c r="AG731">
        <f>IFERROR(_xlfn.XLOOKUP(B731, HoldSummary!$A:$A, HoldSummary!F:F), 0)</f>
        <v>0</v>
      </c>
      <c r="AH731">
        <f>IFERROR(_xlfn.XLOOKUP(B731, HoldSummary!$A:$A, HoldSummary!G:G), 0)</f>
        <v>0</v>
      </c>
      <c r="AI731">
        <f>IFERROR(_xlfn.XLOOKUP(B731, HoldSummary!$A:$A, HoldSummary!H:H), 0)</f>
        <v>0</v>
      </c>
      <c r="AJ731">
        <f>IFERROR(_xlfn.XLOOKUP(B731, HoldSummary!$A:$A, HoldSummary!I:I), 0)</f>
        <v>0</v>
      </c>
      <c r="AK731">
        <f t="shared" si="115"/>
        <v>0</v>
      </c>
      <c r="AL731">
        <f t="shared" si="116"/>
        <v>734.11396990740468</v>
      </c>
      <c r="AM731">
        <f t="shared" si="117"/>
        <v>734.11396990740468</v>
      </c>
      <c r="AN731" s="12">
        <f t="shared" si="118"/>
        <v>166.79166666666424</v>
      </c>
      <c r="AO731">
        <f t="shared" si="119"/>
        <v>0</v>
      </c>
    </row>
    <row r="732" spans="1:41" x14ac:dyDescent="0.35">
      <c r="A732" t="s">
        <v>23</v>
      </c>
      <c r="B732" t="s">
        <v>1635</v>
      </c>
      <c r="C732" t="s">
        <v>43</v>
      </c>
      <c r="D732" t="s">
        <v>44</v>
      </c>
      <c r="E732" t="s">
        <v>45</v>
      </c>
      <c r="F732" t="s">
        <v>1633</v>
      </c>
      <c r="G732">
        <v>2</v>
      </c>
      <c r="H732" t="s">
        <v>1636</v>
      </c>
      <c r="I732" t="s">
        <v>30</v>
      </c>
      <c r="J732" t="s">
        <v>70</v>
      </c>
      <c r="K732" t="s">
        <v>38</v>
      </c>
      <c r="L732" t="s">
        <v>39</v>
      </c>
      <c r="N732" s="2">
        <v>45335.595972222225</v>
      </c>
      <c r="O732" s="2">
        <v>45386.166666666664</v>
      </c>
      <c r="P732" s="2">
        <v>45408.166666666664</v>
      </c>
      <c r="Q732" s="2">
        <v>45401</v>
      </c>
      <c r="R732" s="2">
        <v>45404.525024317132</v>
      </c>
      <c r="T732" s="2"/>
      <c r="U732" s="2"/>
      <c r="V732" s="2"/>
      <c r="W732" s="2"/>
      <c r="X732" s="3" t="str">
        <f t="shared" si="110"/>
        <v/>
      </c>
      <c r="Y732" t="str">
        <f t="shared" si="111"/>
        <v/>
      </c>
      <c r="Z732">
        <f t="shared" si="112"/>
        <v>0</v>
      </c>
      <c r="AA732">
        <f t="shared" si="113"/>
        <v>65.4040277777749</v>
      </c>
      <c r="AB732">
        <f t="shared" si="114"/>
        <v>65.4040277777749</v>
      </c>
      <c r="AC732">
        <f>IFERROR(_xlfn.XLOOKUP(B732, HoldSummary!$A:$A, HoldSummary!B:B), 0)</f>
        <v>0</v>
      </c>
      <c r="AD732">
        <f>IFERROR(_xlfn.XLOOKUP(B732, HoldSummary!$A:$A, HoldSummary!C:C), 0)</f>
        <v>0</v>
      </c>
      <c r="AE732">
        <f>IFERROR(_xlfn.XLOOKUP(B732, HoldSummary!$A:$A, HoldSummary!D:D), 0)</f>
        <v>0</v>
      </c>
      <c r="AF732">
        <f>IFERROR(_xlfn.XLOOKUP(B732, HoldSummary!$A:$A, HoldSummary!E:E), 0)</f>
        <v>0</v>
      </c>
      <c r="AG732">
        <f>IFERROR(_xlfn.XLOOKUP(B732, HoldSummary!$A:$A, HoldSummary!F:F), 0)</f>
        <v>0</v>
      </c>
      <c r="AH732">
        <f>IFERROR(_xlfn.XLOOKUP(B732, HoldSummary!$A:$A, HoldSummary!G:G), 0)</f>
        <v>0</v>
      </c>
      <c r="AI732">
        <f>IFERROR(_xlfn.XLOOKUP(B732, HoldSummary!$A:$A, HoldSummary!H:H), 0)</f>
        <v>0</v>
      </c>
      <c r="AJ732">
        <f>IFERROR(_xlfn.XLOOKUP(B732, HoldSummary!$A:$A, HoldSummary!I:I), 0)</f>
        <v>0</v>
      </c>
      <c r="AK732">
        <f t="shared" si="115"/>
        <v>0</v>
      </c>
      <c r="AL732">
        <f t="shared" si="116"/>
        <v>65.4040277777749</v>
      </c>
      <c r="AM732">
        <f t="shared" si="117"/>
        <v>65.4040277777749</v>
      </c>
      <c r="AN732" s="12">
        <f t="shared" si="118"/>
        <v>14.833333333335759</v>
      </c>
      <c r="AO732">
        <f t="shared" si="119"/>
        <v>0</v>
      </c>
    </row>
    <row r="733" spans="1:41" x14ac:dyDescent="0.35">
      <c r="A733" t="s">
        <v>23</v>
      </c>
      <c r="B733" t="s">
        <v>1637</v>
      </c>
      <c r="C733" t="s">
        <v>76</v>
      </c>
      <c r="D733" t="s">
        <v>44</v>
      </c>
      <c r="E733" t="s">
        <v>45</v>
      </c>
      <c r="F733" t="s">
        <v>1633</v>
      </c>
      <c r="G733">
        <v>2</v>
      </c>
      <c r="H733" t="s">
        <v>1638</v>
      </c>
      <c r="I733" t="s">
        <v>30</v>
      </c>
      <c r="J733" t="s">
        <v>300</v>
      </c>
      <c r="K733" t="s">
        <v>57</v>
      </c>
      <c r="L733" t="s">
        <v>39</v>
      </c>
      <c r="N733" s="2">
        <v>45377.664270833331</v>
      </c>
      <c r="O733" s="2">
        <v>45454.166666666664</v>
      </c>
      <c r="P733" s="2">
        <v>45454.166666666664</v>
      </c>
      <c r="Q733" s="2">
        <v>45442</v>
      </c>
      <c r="R733" s="2">
        <v>45442.775541539355</v>
      </c>
      <c r="S733" t="s">
        <v>226</v>
      </c>
      <c r="T733" s="2">
        <v>45399.166666666664</v>
      </c>
      <c r="U733" s="2">
        <v>45422.166666666664</v>
      </c>
      <c r="V733" s="2">
        <v>45422.166666666664</v>
      </c>
      <c r="W733" s="2">
        <v>45422.166666666664</v>
      </c>
      <c r="X733" s="3">
        <f t="shared" si="110"/>
        <v>23</v>
      </c>
      <c r="Y733">
        <f t="shared" si="111"/>
        <v>0</v>
      </c>
      <c r="Z733">
        <f t="shared" si="112"/>
        <v>23</v>
      </c>
      <c r="AA733">
        <f t="shared" si="113"/>
        <v>64.335729166668898</v>
      </c>
      <c r="AB733">
        <f t="shared" si="114"/>
        <v>41.335729166668898</v>
      </c>
      <c r="AC733">
        <f>IFERROR(_xlfn.XLOOKUP(B733, HoldSummary!$A:$A, HoldSummary!B:B), 0)</f>
        <v>0</v>
      </c>
      <c r="AD733">
        <f>IFERROR(_xlfn.XLOOKUP(B733, HoldSummary!$A:$A, HoldSummary!C:C), 0)</f>
        <v>0</v>
      </c>
      <c r="AE733">
        <f>IFERROR(_xlfn.XLOOKUP(B733, HoldSummary!$A:$A, HoldSummary!D:D), 0)</f>
        <v>0</v>
      </c>
      <c r="AF733">
        <f>IFERROR(_xlfn.XLOOKUP(B733, HoldSummary!$A:$A, HoldSummary!E:E), 0)</f>
        <v>0</v>
      </c>
      <c r="AG733">
        <f>IFERROR(_xlfn.XLOOKUP(B733, HoldSummary!$A:$A, HoldSummary!F:F), 0)</f>
        <v>0</v>
      </c>
      <c r="AH733">
        <f>IFERROR(_xlfn.XLOOKUP(B733, HoldSummary!$A:$A, HoldSummary!G:G), 0)</f>
        <v>0</v>
      </c>
      <c r="AI733">
        <f>IFERROR(_xlfn.XLOOKUP(B733, HoldSummary!$A:$A, HoldSummary!H:H), 0)</f>
        <v>0</v>
      </c>
      <c r="AJ733">
        <f>IFERROR(_xlfn.XLOOKUP(B733, HoldSummary!$A:$A, HoldSummary!I:I), 0)</f>
        <v>0</v>
      </c>
      <c r="AK733">
        <f t="shared" si="115"/>
        <v>0</v>
      </c>
      <c r="AL733">
        <f t="shared" si="116"/>
        <v>64.335729166668898</v>
      </c>
      <c r="AM733">
        <f t="shared" si="117"/>
        <v>41.335729166668898</v>
      </c>
      <c r="AN733" s="12">
        <f t="shared" si="118"/>
        <v>-12.166666666664241</v>
      </c>
      <c r="AO733">
        <f t="shared" si="119"/>
        <v>1</v>
      </c>
    </row>
    <row r="734" spans="1:41" x14ac:dyDescent="0.35">
      <c r="A734" t="s">
        <v>23</v>
      </c>
      <c r="B734" t="s">
        <v>1639</v>
      </c>
      <c r="C734" t="s">
        <v>76</v>
      </c>
      <c r="D734" t="s">
        <v>44</v>
      </c>
      <c r="E734" t="s">
        <v>45</v>
      </c>
      <c r="F734" t="s">
        <v>1633</v>
      </c>
      <c r="G734">
        <v>2</v>
      </c>
      <c r="H734" t="s">
        <v>1640</v>
      </c>
      <c r="I734" t="s">
        <v>30</v>
      </c>
      <c r="J734" t="s">
        <v>70</v>
      </c>
      <c r="K734" t="s">
        <v>38</v>
      </c>
      <c r="L734" t="s">
        <v>39</v>
      </c>
      <c r="N734" s="2">
        <v>45391.869641203702</v>
      </c>
      <c r="O734" s="2">
        <v>45422.166666666664</v>
      </c>
      <c r="P734" s="2">
        <v>45435.166666666664</v>
      </c>
      <c r="Q734" s="2">
        <v>45432</v>
      </c>
      <c r="R734" s="2">
        <v>45432.753505694447</v>
      </c>
      <c r="S734" t="s">
        <v>226</v>
      </c>
      <c r="T734" s="2"/>
      <c r="U734" s="2"/>
      <c r="V734" s="2"/>
      <c r="W734" s="2"/>
      <c r="X734" s="3" t="str">
        <f t="shared" si="110"/>
        <v/>
      </c>
      <c r="Y734" t="str">
        <f t="shared" si="111"/>
        <v/>
      </c>
      <c r="Z734">
        <f t="shared" si="112"/>
        <v>0</v>
      </c>
      <c r="AA734">
        <f t="shared" si="113"/>
        <v>40.130358796297514</v>
      </c>
      <c r="AB734">
        <f t="shared" si="114"/>
        <v>40.130358796297514</v>
      </c>
      <c r="AC734">
        <f>IFERROR(_xlfn.XLOOKUP(B734, HoldSummary!$A:$A, HoldSummary!B:B), 0)</f>
        <v>0</v>
      </c>
      <c r="AD734">
        <f>IFERROR(_xlfn.XLOOKUP(B734, HoldSummary!$A:$A, HoldSummary!C:C), 0)</f>
        <v>0</v>
      </c>
      <c r="AE734">
        <f>IFERROR(_xlfn.XLOOKUP(B734, HoldSummary!$A:$A, HoldSummary!D:D), 0)</f>
        <v>0</v>
      </c>
      <c r="AF734">
        <f>IFERROR(_xlfn.XLOOKUP(B734, HoldSummary!$A:$A, HoldSummary!E:E), 0)</f>
        <v>0</v>
      </c>
      <c r="AG734">
        <f>IFERROR(_xlfn.XLOOKUP(B734, HoldSummary!$A:$A, HoldSummary!F:F), 0)</f>
        <v>0</v>
      </c>
      <c r="AH734">
        <f>IFERROR(_xlfn.XLOOKUP(B734, HoldSummary!$A:$A, HoldSummary!G:G), 0)</f>
        <v>0</v>
      </c>
      <c r="AI734">
        <f>IFERROR(_xlfn.XLOOKUP(B734, HoldSummary!$A:$A, HoldSummary!H:H), 0)</f>
        <v>0</v>
      </c>
      <c r="AJ734">
        <f>IFERROR(_xlfn.XLOOKUP(B734, HoldSummary!$A:$A, HoldSummary!I:I), 0)</f>
        <v>0</v>
      </c>
      <c r="AK734">
        <f t="shared" si="115"/>
        <v>0</v>
      </c>
      <c r="AL734">
        <f t="shared" si="116"/>
        <v>40.130358796297514</v>
      </c>
      <c r="AM734">
        <f t="shared" si="117"/>
        <v>40.130358796297514</v>
      </c>
      <c r="AN734" s="12">
        <f t="shared" si="118"/>
        <v>9.8333333333357587</v>
      </c>
      <c r="AO734">
        <f t="shared" si="119"/>
        <v>0</v>
      </c>
    </row>
    <row r="735" spans="1:41" x14ac:dyDescent="0.35">
      <c r="A735" t="s">
        <v>23</v>
      </c>
      <c r="B735" t="s">
        <v>1641</v>
      </c>
      <c r="C735" t="s">
        <v>54</v>
      </c>
      <c r="D735" t="s">
        <v>44</v>
      </c>
      <c r="E735" t="s">
        <v>45</v>
      </c>
      <c r="F735" t="s">
        <v>1633</v>
      </c>
      <c r="G735">
        <v>3</v>
      </c>
      <c r="H735" t="s">
        <v>1642</v>
      </c>
      <c r="I735" t="s">
        <v>30</v>
      </c>
      <c r="J735" t="s">
        <v>70</v>
      </c>
      <c r="K735" t="s">
        <v>57</v>
      </c>
      <c r="L735" t="s">
        <v>53</v>
      </c>
      <c r="N735" s="2">
        <v>44585.824756944443</v>
      </c>
      <c r="O735" s="2">
        <v>45240.208333333336</v>
      </c>
      <c r="P735" s="2">
        <v>45315.208333333336</v>
      </c>
      <c r="Q735" s="2">
        <v>45314</v>
      </c>
      <c r="R735" s="2">
        <v>45315.772502442131</v>
      </c>
      <c r="S735" t="s">
        <v>595</v>
      </c>
      <c r="T735" s="2">
        <v>44613.208333333336</v>
      </c>
      <c r="U735" s="2">
        <v>44721.166666666664</v>
      </c>
      <c r="V735" s="2">
        <v>44721.166666666664</v>
      </c>
      <c r="W735" s="2">
        <v>44895.208333333336</v>
      </c>
      <c r="X735" s="3">
        <f t="shared" si="110"/>
        <v>107.95833333332848</v>
      </c>
      <c r="Y735">
        <f t="shared" si="111"/>
        <v>174.04166666667152</v>
      </c>
      <c r="Z735">
        <f t="shared" si="112"/>
        <v>282</v>
      </c>
      <c r="AA735">
        <f t="shared" si="113"/>
        <v>728.17524305555708</v>
      </c>
      <c r="AB735">
        <f t="shared" si="114"/>
        <v>446.17524305555708</v>
      </c>
      <c r="AC735">
        <f>IFERROR(_xlfn.XLOOKUP(B735, HoldSummary!$A:$A, HoldSummary!B:B), 0)</f>
        <v>0</v>
      </c>
      <c r="AD735">
        <f>IFERROR(_xlfn.XLOOKUP(B735, HoldSummary!$A:$A, HoldSummary!C:C), 0)</f>
        <v>0</v>
      </c>
      <c r="AE735">
        <f>IFERROR(_xlfn.XLOOKUP(B735, HoldSummary!$A:$A, HoldSummary!D:D), 0)</f>
        <v>0</v>
      </c>
      <c r="AF735">
        <f>IFERROR(_xlfn.XLOOKUP(B735, HoldSummary!$A:$A, HoldSummary!E:E), 0)</f>
        <v>0</v>
      </c>
      <c r="AG735">
        <f>IFERROR(_xlfn.XLOOKUP(B735, HoldSummary!$A:$A, HoldSummary!F:F), 0)</f>
        <v>0</v>
      </c>
      <c r="AH735">
        <f>IFERROR(_xlfn.XLOOKUP(B735, HoldSummary!$A:$A, HoldSummary!G:G), 0)</f>
        <v>0</v>
      </c>
      <c r="AI735">
        <f>IFERROR(_xlfn.XLOOKUP(B735, HoldSummary!$A:$A, HoldSummary!H:H), 0)</f>
        <v>0</v>
      </c>
      <c r="AJ735">
        <f>IFERROR(_xlfn.XLOOKUP(B735, HoldSummary!$A:$A, HoldSummary!I:I), 0)</f>
        <v>0</v>
      </c>
      <c r="AK735">
        <f t="shared" si="115"/>
        <v>0</v>
      </c>
      <c r="AL735">
        <f t="shared" si="116"/>
        <v>728.17524305555708</v>
      </c>
      <c r="AM735">
        <f t="shared" si="117"/>
        <v>446.17524305555708</v>
      </c>
      <c r="AN735" s="12">
        <f t="shared" si="118"/>
        <v>73.791666666664241</v>
      </c>
      <c r="AO735">
        <f t="shared" si="119"/>
        <v>0</v>
      </c>
    </row>
    <row r="736" spans="1:41" x14ac:dyDescent="0.35">
      <c r="A736" t="s">
        <v>23</v>
      </c>
      <c r="B736" t="s">
        <v>1643</v>
      </c>
      <c r="C736" t="s">
        <v>43</v>
      </c>
      <c r="D736" t="s">
        <v>44</v>
      </c>
      <c r="E736" t="s">
        <v>45</v>
      </c>
      <c r="F736" t="s">
        <v>1633</v>
      </c>
      <c r="G736">
        <v>3</v>
      </c>
      <c r="H736" t="s">
        <v>1644</v>
      </c>
      <c r="I736" t="s">
        <v>30</v>
      </c>
      <c r="J736" t="s">
        <v>31</v>
      </c>
      <c r="K736" t="s">
        <v>48</v>
      </c>
      <c r="L736" t="s">
        <v>192</v>
      </c>
      <c r="N736" s="2">
        <v>45265.423136574071</v>
      </c>
      <c r="O736" s="2">
        <v>45324.208333333336</v>
      </c>
      <c r="P736" s="2">
        <v>45331.208333333336</v>
      </c>
      <c r="Q736" s="2">
        <v>45334</v>
      </c>
      <c r="R736" s="2">
        <v>45335.571566631945</v>
      </c>
      <c r="S736" t="s">
        <v>1453</v>
      </c>
      <c r="T736" s="2">
        <v>45307.208333333336</v>
      </c>
      <c r="U736" s="2">
        <v>45307.208333333336</v>
      </c>
      <c r="V736" s="2">
        <v>45307.208333333336</v>
      </c>
      <c r="W736" s="2">
        <v>45308.208333333336</v>
      </c>
      <c r="X736" s="3">
        <f t="shared" si="110"/>
        <v>0</v>
      </c>
      <c r="Y736">
        <f t="shared" si="111"/>
        <v>1</v>
      </c>
      <c r="Z736">
        <f t="shared" si="112"/>
        <v>1</v>
      </c>
      <c r="AA736">
        <f t="shared" si="113"/>
        <v>68.576863425929332</v>
      </c>
      <c r="AB736">
        <f t="shared" si="114"/>
        <v>67.576863425929332</v>
      </c>
      <c r="AC736">
        <f>IFERROR(_xlfn.XLOOKUP(B736, HoldSummary!$A:$A, HoldSummary!B:B), 0)</f>
        <v>0</v>
      </c>
      <c r="AD736">
        <f>IFERROR(_xlfn.XLOOKUP(B736, HoldSummary!$A:$A, HoldSummary!C:C), 0)</f>
        <v>0</v>
      </c>
      <c r="AE736">
        <f>IFERROR(_xlfn.XLOOKUP(B736, HoldSummary!$A:$A, HoldSummary!D:D), 0)</f>
        <v>0</v>
      </c>
      <c r="AF736">
        <f>IFERROR(_xlfn.XLOOKUP(B736, HoldSummary!$A:$A, HoldSummary!E:E), 0)</f>
        <v>0</v>
      </c>
      <c r="AG736">
        <f>IFERROR(_xlfn.XLOOKUP(B736, HoldSummary!$A:$A, HoldSummary!F:F), 0)</f>
        <v>0</v>
      </c>
      <c r="AH736">
        <f>IFERROR(_xlfn.XLOOKUP(B736, HoldSummary!$A:$A, HoldSummary!G:G), 0)</f>
        <v>0</v>
      </c>
      <c r="AI736">
        <f>IFERROR(_xlfn.XLOOKUP(B736, HoldSummary!$A:$A, HoldSummary!H:H), 0)</f>
        <v>0</v>
      </c>
      <c r="AJ736">
        <f>IFERROR(_xlfn.XLOOKUP(B736, HoldSummary!$A:$A, HoldSummary!I:I), 0)</f>
        <v>0</v>
      </c>
      <c r="AK736">
        <f t="shared" si="115"/>
        <v>0</v>
      </c>
      <c r="AL736">
        <f t="shared" si="116"/>
        <v>68.576863425929332</v>
      </c>
      <c r="AM736">
        <f t="shared" si="117"/>
        <v>67.576863425929332</v>
      </c>
      <c r="AN736" s="12">
        <f t="shared" si="118"/>
        <v>9.7916666666642413</v>
      </c>
      <c r="AO736">
        <f t="shared" si="119"/>
        <v>0</v>
      </c>
    </row>
    <row r="737" spans="1:41" x14ac:dyDescent="0.35">
      <c r="A737" t="s">
        <v>23</v>
      </c>
      <c r="B737" t="s">
        <v>1645</v>
      </c>
      <c r="C737" t="s">
        <v>43</v>
      </c>
      <c r="D737" t="s">
        <v>44</v>
      </c>
      <c r="E737" t="s">
        <v>45</v>
      </c>
      <c r="F737" t="s">
        <v>1633</v>
      </c>
      <c r="G737">
        <v>4</v>
      </c>
      <c r="H737" t="s">
        <v>1646</v>
      </c>
      <c r="I737" t="s">
        <v>30</v>
      </c>
      <c r="J737" t="s">
        <v>31</v>
      </c>
      <c r="K737" t="s">
        <v>48</v>
      </c>
      <c r="L737" t="s">
        <v>192</v>
      </c>
      <c r="N737" s="2">
        <v>45307.64466435185</v>
      </c>
      <c r="O737" s="2">
        <v>45331.208333333336</v>
      </c>
      <c r="P737" s="2">
        <v>45331.208333333336</v>
      </c>
      <c r="Q737" s="2">
        <v>45342</v>
      </c>
      <c r="R737" s="2">
        <v>45343.495101875</v>
      </c>
      <c r="S737" t="s">
        <v>1453</v>
      </c>
      <c r="T737" s="2">
        <v>45309.208333333336</v>
      </c>
      <c r="U737" s="2">
        <v>45316.208333333336</v>
      </c>
      <c r="V737" s="2">
        <v>45316.208333333336</v>
      </c>
      <c r="W737" s="2">
        <v>45316.208333333336</v>
      </c>
      <c r="X737" s="3">
        <f t="shared" si="110"/>
        <v>7</v>
      </c>
      <c r="Y737">
        <f t="shared" si="111"/>
        <v>0</v>
      </c>
      <c r="Z737">
        <f t="shared" si="112"/>
        <v>7</v>
      </c>
      <c r="AA737">
        <f t="shared" si="113"/>
        <v>34.355335648149776</v>
      </c>
      <c r="AB737">
        <f t="shared" si="114"/>
        <v>27.355335648149776</v>
      </c>
      <c r="AC737">
        <f>IFERROR(_xlfn.XLOOKUP(B737, HoldSummary!$A:$A, HoldSummary!B:B), 0)</f>
        <v>0</v>
      </c>
      <c r="AD737">
        <f>IFERROR(_xlfn.XLOOKUP(B737, HoldSummary!$A:$A, HoldSummary!C:C), 0)</f>
        <v>0</v>
      </c>
      <c r="AE737">
        <f>IFERROR(_xlfn.XLOOKUP(B737, HoldSummary!$A:$A, HoldSummary!D:D), 0)</f>
        <v>0</v>
      </c>
      <c r="AF737">
        <f>IFERROR(_xlfn.XLOOKUP(B737, HoldSummary!$A:$A, HoldSummary!E:E), 0)</f>
        <v>0</v>
      </c>
      <c r="AG737">
        <f>IFERROR(_xlfn.XLOOKUP(B737, HoldSummary!$A:$A, HoldSummary!F:F), 0)</f>
        <v>0</v>
      </c>
      <c r="AH737">
        <f>IFERROR(_xlfn.XLOOKUP(B737, HoldSummary!$A:$A, HoldSummary!G:G), 0)</f>
        <v>0</v>
      </c>
      <c r="AI737">
        <f>IFERROR(_xlfn.XLOOKUP(B737, HoldSummary!$A:$A, HoldSummary!H:H), 0)</f>
        <v>0</v>
      </c>
      <c r="AJ737">
        <f>IFERROR(_xlfn.XLOOKUP(B737, HoldSummary!$A:$A, HoldSummary!I:I), 0)</f>
        <v>0</v>
      </c>
      <c r="AK737">
        <f t="shared" si="115"/>
        <v>0</v>
      </c>
      <c r="AL737">
        <f t="shared" si="116"/>
        <v>34.355335648149776</v>
      </c>
      <c r="AM737">
        <f t="shared" si="117"/>
        <v>27.355335648149776</v>
      </c>
      <c r="AN737" s="12">
        <f t="shared" si="118"/>
        <v>10.791666666664241</v>
      </c>
      <c r="AO737">
        <f t="shared" si="119"/>
        <v>0</v>
      </c>
    </row>
    <row r="738" spans="1:41" x14ac:dyDescent="0.35">
      <c r="A738" t="s">
        <v>23</v>
      </c>
      <c r="B738" t="s">
        <v>1647</v>
      </c>
      <c r="C738" t="s">
        <v>43</v>
      </c>
      <c r="D738" t="s">
        <v>44</v>
      </c>
      <c r="E738" t="s">
        <v>45</v>
      </c>
      <c r="F738" t="s">
        <v>1633</v>
      </c>
      <c r="G738">
        <v>5</v>
      </c>
      <c r="H738" t="s">
        <v>1648</v>
      </c>
      <c r="I738" t="s">
        <v>30</v>
      </c>
      <c r="J738" t="s">
        <v>70</v>
      </c>
      <c r="K738" t="s">
        <v>48</v>
      </c>
      <c r="L738" t="s">
        <v>49</v>
      </c>
      <c r="N738" s="2">
        <v>44643.753657407404</v>
      </c>
      <c r="O738" s="2">
        <v>45436.166666666664</v>
      </c>
      <c r="P738" s="2">
        <v>45471.166666666664</v>
      </c>
      <c r="Q738" s="2">
        <v>45467</v>
      </c>
      <c r="R738" s="2">
        <v>45468.57084847222</v>
      </c>
      <c r="T738" s="2"/>
      <c r="U738" s="2"/>
      <c r="V738" s="2"/>
      <c r="W738" s="2"/>
      <c r="X738" s="3" t="str">
        <f t="shared" si="110"/>
        <v/>
      </c>
      <c r="Y738" t="str">
        <f t="shared" si="111"/>
        <v/>
      </c>
      <c r="Z738">
        <f t="shared" si="112"/>
        <v>0</v>
      </c>
      <c r="AA738">
        <f t="shared" si="113"/>
        <v>823.24634259259619</v>
      </c>
      <c r="AB738">
        <f t="shared" si="114"/>
        <v>823.24634259259619</v>
      </c>
      <c r="AC738">
        <f>IFERROR(_xlfn.XLOOKUP(B738, HoldSummary!$A:$A, HoldSummary!B:B), 0)</f>
        <v>0</v>
      </c>
      <c r="AD738">
        <f>IFERROR(_xlfn.XLOOKUP(B738, HoldSummary!$A:$A, HoldSummary!C:C), 0)</f>
        <v>0</v>
      </c>
      <c r="AE738">
        <f>IFERROR(_xlfn.XLOOKUP(B738, HoldSummary!$A:$A, HoldSummary!D:D), 0)</f>
        <v>0</v>
      </c>
      <c r="AF738">
        <f>IFERROR(_xlfn.XLOOKUP(B738, HoldSummary!$A:$A, HoldSummary!E:E), 0)</f>
        <v>0</v>
      </c>
      <c r="AG738">
        <f>IFERROR(_xlfn.XLOOKUP(B738, HoldSummary!$A:$A, HoldSummary!F:F), 0)</f>
        <v>0</v>
      </c>
      <c r="AH738">
        <f>IFERROR(_xlfn.XLOOKUP(B738, HoldSummary!$A:$A, HoldSummary!G:G), 0)</f>
        <v>0</v>
      </c>
      <c r="AI738">
        <f>IFERROR(_xlfn.XLOOKUP(B738, HoldSummary!$A:$A, HoldSummary!H:H), 0)</f>
        <v>0</v>
      </c>
      <c r="AJ738">
        <f>IFERROR(_xlfn.XLOOKUP(B738, HoldSummary!$A:$A, HoldSummary!I:I), 0)</f>
        <v>0</v>
      </c>
      <c r="AK738">
        <f t="shared" si="115"/>
        <v>0</v>
      </c>
      <c r="AL738">
        <f t="shared" si="116"/>
        <v>823.24634259259619</v>
      </c>
      <c r="AM738">
        <f t="shared" si="117"/>
        <v>823.24634259259619</v>
      </c>
      <c r="AN738" s="12">
        <f t="shared" si="118"/>
        <v>30.833333333335759</v>
      </c>
      <c r="AO738">
        <f t="shared" si="119"/>
        <v>0</v>
      </c>
    </row>
    <row r="739" spans="1:41" x14ac:dyDescent="0.35">
      <c r="A739" t="s">
        <v>23</v>
      </c>
      <c r="B739" t="s">
        <v>1649</v>
      </c>
      <c r="C739" t="s">
        <v>43</v>
      </c>
      <c r="D739" t="s">
        <v>44</v>
      </c>
      <c r="E739" t="s">
        <v>45</v>
      </c>
      <c r="F739" t="s">
        <v>1633</v>
      </c>
      <c r="G739">
        <v>5</v>
      </c>
      <c r="H739" t="s">
        <v>1650</v>
      </c>
      <c r="I739" t="s">
        <v>30</v>
      </c>
      <c r="J739" t="s">
        <v>31</v>
      </c>
      <c r="K739" t="s">
        <v>38</v>
      </c>
      <c r="L739" t="s">
        <v>53</v>
      </c>
      <c r="N739" s="2">
        <v>45006.857858796298</v>
      </c>
      <c r="O739" s="2">
        <v>45450.166666666664</v>
      </c>
      <c r="P739" s="2">
        <v>45576.166666666664</v>
      </c>
      <c r="Q739" s="2">
        <v>45586</v>
      </c>
      <c r="R739" s="2">
        <v>45586.73466667824</v>
      </c>
      <c r="T739" s="2">
        <v>45089.166666666664</v>
      </c>
      <c r="U739" s="2">
        <v>45090.166666666664</v>
      </c>
      <c r="V739" s="2">
        <v>45090.166666666664</v>
      </c>
      <c r="W739" s="2">
        <v>45504.166666666664</v>
      </c>
      <c r="X739" s="3">
        <f t="shared" si="110"/>
        <v>1</v>
      </c>
      <c r="Y739">
        <f t="shared" si="111"/>
        <v>414</v>
      </c>
      <c r="Z739">
        <f t="shared" si="112"/>
        <v>415</v>
      </c>
      <c r="AA739">
        <f t="shared" si="113"/>
        <v>579.14214120370161</v>
      </c>
      <c r="AB739">
        <f t="shared" si="114"/>
        <v>164.14214120370161</v>
      </c>
      <c r="AC739">
        <f>IFERROR(_xlfn.XLOOKUP(B739, HoldSummary!$A:$A, HoldSummary!B:B), 0)</f>
        <v>0</v>
      </c>
      <c r="AD739">
        <f>IFERROR(_xlfn.XLOOKUP(B739, HoldSummary!$A:$A, HoldSummary!C:C), 0)</f>
        <v>0</v>
      </c>
      <c r="AE739">
        <f>IFERROR(_xlfn.XLOOKUP(B739, HoldSummary!$A:$A, HoldSummary!D:D), 0)</f>
        <v>0</v>
      </c>
      <c r="AF739">
        <f>IFERROR(_xlfn.XLOOKUP(B739, HoldSummary!$A:$A, HoldSummary!E:E), 0)</f>
        <v>0</v>
      </c>
      <c r="AG739">
        <f>IFERROR(_xlfn.XLOOKUP(B739, HoldSummary!$A:$A, HoldSummary!F:F), 0)</f>
        <v>0</v>
      </c>
      <c r="AH739">
        <f>IFERROR(_xlfn.XLOOKUP(B739, HoldSummary!$A:$A, HoldSummary!G:G), 0)</f>
        <v>0</v>
      </c>
      <c r="AI739">
        <f>IFERROR(_xlfn.XLOOKUP(B739, HoldSummary!$A:$A, HoldSummary!H:H), 0)</f>
        <v>0</v>
      </c>
      <c r="AJ739">
        <f>IFERROR(_xlfn.XLOOKUP(B739, HoldSummary!$A:$A, HoldSummary!I:I), 0)</f>
        <v>0</v>
      </c>
      <c r="AK739">
        <f t="shared" si="115"/>
        <v>0</v>
      </c>
      <c r="AL739">
        <f t="shared" si="116"/>
        <v>579.14214120370161</v>
      </c>
      <c r="AM739">
        <f t="shared" si="117"/>
        <v>164.14214120370161</v>
      </c>
      <c r="AN739" s="12">
        <f t="shared" si="118"/>
        <v>135.83333333333576</v>
      </c>
      <c r="AO739">
        <f t="shared" si="119"/>
        <v>0</v>
      </c>
    </row>
    <row r="740" spans="1:41" x14ac:dyDescent="0.35">
      <c r="A740" t="s">
        <v>23</v>
      </c>
      <c r="B740" t="s">
        <v>1651</v>
      </c>
      <c r="C740" t="s">
        <v>43</v>
      </c>
      <c r="D740" t="s">
        <v>44</v>
      </c>
      <c r="E740" t="s">
        <v>45</v>
      </c>
      <c r="F740" t="s">
        <v>1633</v>
      </c>
      <c r="G740">
        <v>5</v>
      </c>
      <c r="H740" t="s">
        <v>1652</v>
      </c>
      <c r="I740" t="s">
        <v>30</v>
      </c>
      <c r="J740" t="s">
        <v>31</v>
      </c>
      <c r="K740" t="s">
        <v>48</v>
      </c>
      <c r="L740" t="s">
        <v>39</v>
      </c>
      <c r="N740" s="2">
        <v>45321.925335648149</v>
      </c>
      <c r="O740" s="2">
        <v>45351.208333333336</v>
      </c>
      <c r="P740" s="2">
        <v>45379.166666666664</v>
      </c>
      <c r="Q740" s="2">
        <v>45376</v>
      </c>
      <c r="R740" s="2">
        <v>45377.523608148149</v>
      </c>
      <c r="S740" t="s">
        <v>386</v>
      </c>
      <c r="T740" s="2">
        <v>45349.208333333336</v>
      </c>
      <c r="U740" s="2">
        <v>45355.208333333336</v>
      </c>
      <c r="V740" s="2">
        <v>45355.208333333336</v>
      </c>
      <c r="W740" s="2">
        <v>45355.208333333336</v>
      </c>
      <c r="X740" s="3">
        <f t="shared" si="110"/>
        <v>6</v>
      </c>
      <c r="Y740">
        <f t="shared" si="111"/>
        <v>0</v>
      </c>
      <c r="Z740">
        <f t="shared" si="112"/>
        <v>6</v>
      </c>
      <c r="AA740">
        <f t="shared" si="113"/>
        <v>54.074664351850515</v>
      </c>
      <c r="AB740">
        <f t="shared" si="114"/>
        <v>48.074664351850515</v>
      </c>
      <c r="AC740">
        <f>IFERROR(_xlfn.XLOOKUP(B740, HoldSummary!$A:$A, HoldSummary!B:B), 0)</f>
        <v>0</v>
      </c>
      <c r="AD740">
        <f>IFERROR(_xlfn.XLOOKUP(B740, HoldSummary!$A:$A, HoldSummary!C:C), 0)</f>
        <v>0</v>
      </c>
      <c r="AE740">
        <f>IFERROR(_xlfn.XLOOKUP(B740, HoldSummary!$A:$A, HoldSummary!D:D), 0)</f>
        <v>0</v>
      </c>
      <c r="AF740">
        <f>IFERROR(_xlfn.XLOOKUP(B740, HoldSummary!$A:$A, HoldSummary!E:E), 0)</f>
        <v>0</v>
      </c>
      <c r="AG740">
        <f>IFERROR(_xlfn.XLOOKUP(B740, HoldSummary!$A:$A, HoldSummary!F:F), 0)</f>
        <v>0</v>
      </c>
      <c r="AH740">
        <f>IFERROR(_xlfn.XLOOKUP(B740, HoldSummary!$A:$A, HoldSummary!G:G), 0)</f>
        <v>0</v>
      </c>
      <c r="AI740">
        <f>IFERROR(_xlfn.XLOOKUP(B740, HoldSummary!$A:$A, HoldSummary!H:H), 0)</f>
        <v>0</v>
      </c>
      <c r="AJ740">
        <f>IFERROR(_xlfn.XLOOKUP(B740, HoldSummary!$A:$A, HoldSummary!I:I), 0)</f>
        <v>0</v>
      </c>
      <c r="AK740">
        <f t="shared" si="115"/>
        <v>0</v>
      </c>
      <c r="AL740">
        <f t="shared" si="116"/>
        <v>54.074664351850515</v>
      </c>
      <c r="AM740">
        <f t="shared" si="117"/>
        <v>48.074664351850515</v>
      </c>
      <c r="AN740" s="12">
        <f t="shared" si="118"/>
        <v>24.791666666664241</v>
      </c>
      <c r="AO740">
        <f t="shared" si="119"/>
        <v>0</v>
      </c>
    </row>
    <row r="741" spans="1:41" x14ac:dyDescent="0.35">
      <c r="A741" t="s">
        <v>23</v>
      </c>
      <c r="B741" t="s">
        <v>1653</v>
      </c>
      <c r="C741" t="s">
        <v>113</v>
      </c>
      <c r="D741" t="s">
        <v>44</v>
      </c>
      <c r="E741" t="s">
        <v>45</v>
      </c>
      <c r="F741" t="s">
        <v>1633</v>
      </c>
      <c r="G741">
        <v>5</v>
      </c>
      <c r="H741" t="s">
        <v>1654</v>
      </c>
      <c r="I741" t="s">
        <v>30</v>
      </c>
      <c r="J741" t="s">
        <v>31</v>
      </c>
      <c r="K741" t="s">
        <v>38</v>
      </c>
      <c r="L741" t="s">
        <v>39</v>
      </c>
      <c r="N741" s="2">
        <v>45366.827280092592</v>
      </c>
      <c r="O741" s="2">
        <v>45485.166666666664</v>
      </c>
      <c r="P741" s="2">
        <v>45485.166666666664</v>
      </c>
      <c r="Q741" s="2">
        <v>45447</v>
      </c>
      <c r="R741" s="2">
        <v>45448.751972800928</v>
      </c>
      <c r="S741" t="s">
        <v>306</v>
      </c>
      <c r="T741" s="2">
        <v>45401.166666666664</v>
      </c>
      <c r="U741" s="2">
        <v>45419.166666666664</v>
      </c>
      <c r="V741" s="2">
        <v>45419.166666666664</v>
      </c>
      <c r="W741" s="2">
        <v>45419.166666666664</v>
      </c>
      <c r="X741" s="3">
        <f t="shared" si="110"/>
        <v>18</v>
      </c>
      <c r="Y741">
        <f t="shared" si="111"/>
        <v>0</v>
      </c>
      <c r="Z741">
        <f t="shared" si="112"/>
        <v>18</v>
      </c>
      <c r="AA741">
        <f t="shared" si="113"/>
        <v>80.172719907408464</v>
      </c>
      <c r="AB741">
        <f t="shared" si="114"/>
        <v>62.172719907408464</v>
      </c>
      <c r="AC741">
        <f>IFERROR(_xlfn.XLOOKUP(B741, HoldSummary!$A:$A, HoldSummary!B:B), 0)</f>
        <v>0</v>
      </c>
      <c r="AD741">
        <f>IFERROR(_xlfn.XLOOKUP(B741, HoldSummary!$A:$A, HoldSummary!C:C), 0)</f>
        <v>0</v>
      </c>
      <c r="AE741">
        <f>IFERROR(_xlfn.XLOOKUP(B741, HoldSummary!$A:$A, HoldSummary!D:D), 0)</f>
        <v>0</v>
      </c>
      <c r="AF741">
        <f>IFERROR(_xlfn.XLOOKUP(B741, HoldSummary!$A:$A, HoldSummary!E:E), 0)</f>
        <v>0</v>
      </c>
      <c r="AG741">
        <f>IFERROR(_xlfn.XLOOKUP(B741, HoldSummary!$A:$A, HoldSummary!F:F), 0)</f>
        <v>0</v>
      </c>
      <c r="AH741">
        <f>IFERROR(_xlfn.XLOOKUP(B741, HoldSummary!$A:$A, HoldSummary!G:G), 0)</f>
        <v>0</v>
      </c>
      <c r="AI741">
        <f>IFERROR(_xlfn.XLOOKUP(B741, HoldSummary!$A:$A, HoldSummary!H:H), 0)</f>
        <v>0</v>
      </c>
      <c r="AJ741">
        <f>IFERROR(_xlfn.XLOOKUP(B741, HoldSummary!$A:$A, HoldSummary!I:I), 0)</f>
        <v>0</v>
      </c>
      <c r="AK741">
        <f t="shared" si="115"/>
        <v>0</v>
      </c>
      <c r="AL741">
        <f t="shared" si="116"/>
        <v>80.172719907408464</v>
      </c>
      <c r="AM741">
        <f t="shared" si="117"/>
        <v>62.172719907408464</v>
      </c>
      <c r="AN741" s="12">
        <f t="shared" si="118"/>
        <v>-38.166666666664241</v>
      </c>
      <c r="AO741">
        <f t="shared" si="119"/>
        <v>1</v>
      </c>
    </row>
    <row r="742" spans="1:41" x14ac:dyDescent="0.35">
      <c r="A742" t="s">
        <v>23</v>
      </c>
      <c r="B742" t="s">
        <v>1655</v>
      </c>
      <c r="C742" t="s">
        <v>113</v>
      </c>
      <c r="D742" t="s">
        <v>44</v>
      </c>
      <c r="E742" t="s">
        <v>45</v>
      </c>
      <c r="F742" t="s">
        <v>1633</v>
      </c>
      <c r="G742">
        <v>5</v>
      </c>
      <c r="H742" t="s">
        <v>1656</v>
      </c>
      <c r="I742" t="s">
        <v>30</v>
      </c>
      <c r="J742" t="s">
        <v>31</v>
      </c>
      <c r="K742" t="s">
        <v>38</v>
      </c>
      <c r="L742" t="s">
        <v>39</v>
      </c>
      <c r="N742" s="2">
        <v>45372.601527777777</v>
      </c>
      <c r="O742" s="2">
        <v>45470.166666666664</v>
      </c>
      <c r="P742" s="2">
        <v>45490.166666666664</v>
      </c>
      <c r="Q742" s="2">
        <v>45471</v>
      </c>
      <c r="R742" s="2">
        <v>45471.811865509262</v>
      </c>
      <c r="S742" t="s">
        <v>306</v>
      </c>
      <c r="T742" s="2">
        <v>45421.166666666664</v>
      </c>
      <c r="U742" s="2">
        <v>45428.166666666664</v>
      </c>
      <c r="V742" s="2">
        <v>45428.166666666664</v>
      </c>
      <c r="W742" s="2">
        <v>45428.166666666664</v>
      </c>
      <c r="X742" s="3">
        <f t="shared" si="110"/>
        <v>7</v>
      </c>
      <c r="Y742">
        <f t="shared" si="111"/>
        <v>0</v>
      </c>
      <c r="Z742">
        <f t="shared" si="112"/>
        <v>7</v>
      </c>
      <c r="AA742">
        <f t="shared" si="113"/>
        <v>98.398472222223063</v>
      </c>
      <c r="AB742">
        <f t="shared" si="114"/>
        <v>91.398472222223063</v>
      </c>
      <c r="AC742">
        <f>IFERROR(_xlfn.XLOOKUP(B742, HoldSummary!$A:$A, HoldSummary!B:B), 0)</f>
        <v>0</v>
      </c>
      <c r="AD742">
        <f>IFERROR(_xlfn.XLOOKUP(B742, HoldSummary!$A:$A, HoldSummary!C:C), 0)</f>
        <v>0</v>
      </c>
      <c r="AE742">
        <f>IFERROR(_xlfn.XLOOKUP(B742, HoldSummary!$A:$A, HoldSummary!D:D), 0)</f>
        <v>0</v>
      </c>
      <c r="AF742">
        <f>IFERROR(_xlfn.XLOOKUP(B742, HoldSummary!$A:$A, HoldSummary!E:E), 0)</f>
        <v>0</v>
      </c>
      <c r="AG742">
        <f>IFERROR(_xlfn.XLOOKUP(B742, HoldSummary!$A:$A, HoldSummary!F:F), 0)</f>
        <v>0</v>
      </c>
      <c r="AH742">
        <f>IFERROR(_xlfn.XLOOKUP(B742, HoldSummary!$A:$A, HoldSummary!G:G), 0)</f>
        <v>0</v>
      </c>
      <c r="AI742">
        <f>IFERROR(_xlfn.XLOOKUP(B742, HoldSummary!$A:$A, HoldSummary!H:H), 0)</f>
        <v>0</v>
      </c>
      <c r="AJ742">
        <f>IFERROR(_xlfn.XLOOKUP(B742, HoldSummary!$A:$A, HoldSummary!I:I), 0)</f>
        <v>0</v>
      </c>
      <c r="AK742">
        <f t="shared" si="115"/>
        <v>0</v>
      </c>
      <c r="AL742">
        <f t="shared" si="116"/>
        <v>98.398472222223063</v>
      </c>
      <c r="AM742">
        <f t="shared" si="117"/>
        <v>91.398472222223063</v>
      </c>
      <c r="AN742" s="12">
        <f t="shared" si="118"/>
        <v>0.83333333333575865</v>
      </c>
      <c r="AO742">
        <f t="shared" si="119"/>
        <v>0</v>
      </c>
    </row>
    <row r="743" spans="1:41" x14ac:dyDescent="0.35">
      <c r="A743" t="s">
        <v>23</v>
      </c>
      <c r="B743" t="s">
        <v>1657</v>
      </c>
      <c r="C743" t="s">
        <v>43</v>
      </c>
      <c r="D743" t="s">
        <v>44</v>
      </c>
      <c r="E743" t="s">
        <v>45</v>
      </c>
      <c r="F743" t="s">
        <v>1633</v>
      </c>
      <c r="G743">
        <v>6</v>
      </c>
      <c r="H743" t="s">
        <v>1658</v>
      </c>
      <c r="I743" t="s">
        <v>30</v>
      </c>
      <c r="J743" t="s">
        <v>70</v>
      </c>
      <c r="K743" t="s">
        <v>174</v>
      </c>
      <c r="L743" t="s">
        <v>174</v>
      </c>
      <c r="N743" s="2">
        <v>45363.681041666663</v>
      </c>
      <c r="O743" s="2">
        <v>45422.166666666664</v>
      </c>
      <c r="P743" s="2">
        <v>45422.166666666664</v>
      </c>
      <c r="Q743" s="2">
        <v>45418</v>
      </c>
      <c r="R743" s="2">
        <v>45419.503432743055</v>
      </c>
      <c r="T743" s="2"/>
      <c r="U743" s="2"/>
      <c r="V743" s="2"/>
      <c r="W743" s="2"/>
      <c r="X743" s="3" t="str">
        <f t="shared" si="110"/>
        <v/>
      </c>
      <c r="Y743" t="str">
        <f t="shared" si="111"/>
        <v/>
      </c>
      <c r="Z743">
        <f t="shared" si="112"/>
        <v>0</v>
      </c>
      <c r="AA743">
        <f t="shared" si="113"/>
        <v>54.318958333336923</v>
      </c>
      <c r="AB743">
        <f t="shared" si="114"/>
        <v>54.318958333336923</v>
      </c>
      <c r="AC743">
        <f>IFERROR(_xlfn.XLOOKUP(B743, HoldSummary!$A:$A, HoldSummary!B:B), 0)</f>
        <v>0</v>
      </c>
      <c r="AD743">
        <f>IFERROR(_xlfn.XLOOKUP(B743, HoldSummary!$A:$A, HoldSummary!C:C), 0)</f>
        <v>0</v>
      </c>
      <c r="AE743">
        <f>IFERROR(_xlfn.XLOOKUP(B743, HoldSummary!$A:$A, HoldSummary!D:D), 0)</f>
        <v>0</v>
      </c>
      <c r="AF743">
        <f>IFERROR(_xlfn.XLOOKUP(B743, HoldSummary!$A:$A, HoldSummary!E:E), 0)</f>
        <v>0</v>
      </c>
      <c r="AG743">
        <f>IFERROR(_xlfn.XLOOKUP(B743, HoldSummary!$A:$A, HoldSummary!F:F), 0)</f>
        <v>0</v>
      </c>
      <c r="AH743">
        <f>IFERROR(_xlfn.XLOOKUP(B743, HoldSummary!$A:$A, HoldSummary!G:G), 0)</f>
        <v>0</v>
      </c>
      <c r="AI743">
        <f>IFERROR(_xlfn.XLOOKUP(B743, HoldSummary!$A:$A, HoldSummary!H:H), 0)</f>
        <v>0</v>
      </c>
      <c r="AJ743">
        <f>IFERROR(_xlfn.XLOOKUP(B743, HoldSummary!$A:$A, HoldSummary!I:I), 0)</f>
        <v>0</v>
      </c>
      <c r="AK743">
        <f t="shared" si="115"/>
        <v>0</v>
      </c>
      <c r="AL743">
        <f t="shared" si="116"/>
        <v>54.318958333336923</v>
      </c>
      <c r="AM743">
        <f t="shared" si="117"/>
        <v>54.318958333336923</v>
      </c>
      <c r="AN743" s="12">
        <f t="shared" si="118"/>
        <v>-4.1666666666642413</v>
      </c>
      <c r="AO743">
        <f t="shared" si="119"/>
        <v>1</v>
      </c>
    </row>
    <row r="744" spans="1:41" x14ac:dyDescent="0.35">
      <c r="A744" t="s">
        <v>23</v>
      </c>
      <c r="B744" t="s">
        <v>1659</v>
      </c>
      <c r="C744" t="s">
        <v>76</v>
      </c>
      <c r="D744" t="s">
        <v>44</v>
      </c>
      <c r="E744" t="s">
        <v>45</v>
      </c>
      <c r="F744" t="s">
        <v>1633</v>
      </c>
      <c r="G744">
        <v>6</v>
      </c>
      <c r="H744" t="s">
        <v>1660</v>
      </c>
      <c r="I744" t="s">
        <v>30</v>
      </c>
      <c r="J744" t="s">
        <v>31</v>
      </c>
      <c r="K744" t="s">
        <v>57</v>
      </c>
      <c r="L744" t="s">
        <v>39</v>
      </c>
      <c r="N744" s="2">
        <v>45390.487905092596</v>
      </c>
      <c r="O744" s="2">
        <v>45483.166666666664</v>
      </c>
      <c r="P744" s="2">
        <v>45483.166666666664</v>
      </c>
      <c r="Q744" s="2">
        <v>45442</v>
      </c>
      <c r="R744" s="2">
        <v>45442.834486539352</v>
      </c>
      <c r="S744" t="s">
        <v>226</v>
      </c>
      <c r="T744" s="2">
        <v>45400.166666666664</v>
      </c>
      <c r="U744" s="2">
        <v>45415.166666666664</v>
      </c>
      <c r="V744" s="2">
        <v>45415.166666666664</v>
      </c>
      <c r="W744" s="2">
        <v>45421.166666666664</v>
      </c>
      <c r="X744" s="3">
        <f t="shared" si="110"/>
        <v>15</v>
      </c>
      <c r="Y744">
        <f t="shared" si="111"/>
        <v>6</v>
      </c>
      <c r="Z744">
        <f t="shared" si="112"/>
        <v>21</v>
      </c>
      <c r="AA744">
        <f t="shared" si="113"/>
        <v>51.512094907404389</v>
      </c>
      <c r="AB744">
        <f t="shared" si="114"/>
        <v>30.512094907404389</v>
      </c>
      <c r="AC744">
        <f>IFERROR(_xlfn.XLOOKUP(B744, HoldSummary!$A:$A, HoldSummary!B:B), 0)</f>
        <v>0</v>
      </c>
      <c r="AD744">
        <f>IFERROR(_xlfn.XLOOKUP(B744, HoldSummary!$A:$A, HoldSummary!C:C), 0)</f>
        <v>0</v>
      </c>
      <c r="AE744">
        <f>IFERROR(_xlfn.XLOOKUP(B744, HoldSummary!$A:$A, HoldSummary!D:D), 0)</f>
        <v>0</v>
      </c>
      <c r="AF744">
        <f>IFERROR(_xlfn.XLOOKUP(B744, HoldSummary!$A:$A, HoldSummary!E:E), 0)</f>
        <v>0</v>
      </c>
      <c r="AG744">
        <f>IFERROR(_xlfn.XLOOKUP(B744, HoldSummary!$A:$A, HoldSummary!F:F), 0)</f>
        <v>0</v>
      </c>
      <c r="AH744">
        <f>IFERROR(_xlfn.XLOOKUP(B744, HoldSummary!$A:$A, HoldSummary!G:G), 0)</f>
        <v>0</v>
      </c>
      <c r="AI744">
        <f>IFERROR(_xlfn.XLOOKUP(B744, HoldSummary!$A:$A, HoldSummary!H:H), 0)</f>
        <v>0</v>
      </c>
      <c r="AJ744">
        <f>IFERROR(_xlfn.XLOOKUP(B744, HoldSummary!$A:$A, HoldSummary!I:I), 0)</f>
        <v>0</v>
      </c>
      <c r="AK744">
        <f t="shared" si="115"/>
        <v>0</v>
      </c>
      <c r="AL744">
        <f t="shared" si="116"/>
        <v>51.512094907404389</v>
      </c>
      <c r="AM744">
        <f t="shared" si="117"/>
        <v>30.512094907404389</v>
      </c>
      <c r="AN744" s="12">
        <f t="shared" si="118"/>
        <v>-41.166666666664241</v>
      </c>
      <c r="AO744">
        <f t="shared" si="119"/>
        <v>1</v>
      </c>
    </row>
    <row r="745" spans="1:41" x14ac:dyDescent="0.35">
      <c r="A745" t="s">
        <v>23</v>
      </c>
      <c r="B745">
        <v>103235</v>
      </c>
      <c r="C745" t="s">
        <v>43</v>
      </c>
      <c r="D745" t="s">
        <v>44</v>
      </c>
      <c r="E745" t="s">
        <v>55</v>
      </c>
      <c r="F745" t="s">
        <v>1633</v>
      </c>
      <c r="G745">
        <v>7</v>
      </c>
      <c r="H745" t="s">
        <v>1661</v>
      </c>
      <c r="I745" t="s">
        <v>30</v>
      </c>
      <c r="J745" t="s">
        <v>31</v>
      </c>
      <c r="K745" t="s">
        <v>57</v>
      </c>
      <c r="L745" t="s">
        <v>39</v>
      </c>
      <c r="N745" s="2">
        <v>45295.208333333336</v>
      </c>
      <c r="O745" s="2">
        <v>45380.166666666664</v>
      </c>
      <c r="P745" s="2">
        <v>45349.208333333336</v>
      </c>
      <c r="Q745" s="2">
        <v>45348</v>
      </c>
      <c r="R745" s="2">
        <v>45348.754568460645</v>
      </c>
      <c r="T745" s="2">
        <v>45336.208333333336</v>
      </c>
      <c r="U745" s="2">
        <v>45337.208333333336</v>
      </c>
      <c r="V745" s="2">
        <v>45337.208333333336</v>
      </c>
      <c r="W745" s="2">
        <v>45344.208333333336</v>
      </c>
      <c r="X745" s="3">
        <f t="shared" si="110"/>
        <v>1</v>
      </c>
      <c r="Y745">
        <f t="shared" si="111"/>
        <v>7</v>
      </c>
      <c r="Z745">
        <f t="shared" si="112"/>
        <v>8</v>
      </c>
      <c r="AA745">
        <f t="shared" si="113"/>
        <v>52.791666666664241</v>
      </c>
      <c r="AB745">
        <f t="shared" si="114"/>
        <v>44.791666666664241</v>
      </c>
      <c r="AC745">
        <f>IFERROR(_xlfn.XLOOKUP(B745, HoldSummary!$A:$A, HoldSummary!B:B), 0)</f>
        <v>0</v>
      </c>
      <c r="AD745">
        <f>IFERROR(_xlfn.XLOOKUP(B745, HoldSummary!$A:$A, HoldSummary!C:C), 0)</f>
        <v>0</v>
      </c>
      <c r="AE745">
        <f>IFERROR(_xlfn.XLOOKUP(B745, HoldSummary!$A:$A, HoldSummary!D:D), 0)</f>
        <v>0</v>
      </c>
      <c r="AF745">
        <f>IFERROR(_xlfn.XLOOKUP(B745, HoldSummary!$A:$A, HoldSummary!E:E), 0)</f>
        <v>0</v>
      </c>
      <c r="AG745">
        <f>IFERROR(_xlfn.XLOOKUP(B745, HoldSummary!$A:$A, HoldSummary!F:F), 0)</f>
        <v>0</v>
      </c>
      <c r="AH745">
        <f>IFERROR(_xlfn.XLOOKUP(B745, HoldSummary!$A:$A, HoldSummary!G:G), 0)</f>
        <v>0</v>
      </c>
      <c r="AI745">
        <f>IFERROR(_xlfn.XLOOKUP(B745, HoldSummary!$A:$A, HoldSummary!H:H), 0)</f>
        <v>0</v>
      </c>
      <c r="AJ745">
        <f>IFERROR(_xlfn.XLOOKUP(B745, HoldSummary!$A:$A, HoldSummary!I:I), 0)</f>
        <v>0</v>
      </c>
      <c r="AK745">
        <f t="shared" si="115"/>
        <v>0</v>
      </c>
      <c r="AL745">
        <f t="shared" si="116"/>
        <v>52.791666666664241</v>
      </c>
      <c r="AM745">
        <f t="shared" si="117"/>
        <v>44.791666666664241</v>
      </c>
      <c r="AN745" s="12">
        <f t="shared" si="118"/>
        <v>-32.166666666664241</v>
      </c>
      <c r="AO745">
        <f t="shared" si="119"/>
        <v>1</v>
      </c>
    </row>
    <row r="746" spans="1:41" x14ac:dyDescent="0.35">
      <c r="A746" t="s">
        <v>23</v>
      </c>
      <c r="B746" t="s">
        <v>1662</v>
      </c>
      <c r="C746" t="s">
        <v>76</v>
      </c>
      <c r="D746" t="s">
        <v>44</v>
      </c>
      <c r="E746" t="s">
        <v>45</v>
      </c>
      <c r="F746" t="s">
        <v>1633</v>
      </c>
      <c r="G746">
        <v>7</v>
      </c>
      <c r="H746" t="s">
        <v>1663</v>
      </c>
      <c r="I746" t="s">
        <v>30</v>
      </c>
      <c r="J746" t="s">
        <v>31</v>
      </c>
      <c r="K746" t="s">
        <v>57</v>
      </c>
      <c r="L746" t="s">
        <v>39</v>
      </c>
      <c r="N746" s="2">
        <v>45390.521134259259</v>
      </c>
      <c r="O746" s="2">
        <v>45483.166666666664</v>
      </c>
      <c r="P746" s="2">
        <v>45443.166666666664</v>
      </c>
      <c r="Q746" s="2">
        <v>45442</v>
      </c>
      <c r="R746" s="2">
        <v>45442.86273064815</v>
      </c>
      <c r="S746" t="s">
        <v>226</v>
      </c>
      <c r="T746" s="2">
        <v>45400.166666666664</v>
      </c>
      <c r="U746" s="2">
        <v>45415.166666666664</v>
      </c>
      <c r="V746" s="2">
        <v>45415.166666666664</v>
      </c>
      <c r="W746" s="2">
        <v>45415.166666666664</v>
      </c>
      <c r="X746" s="3">
        <f t="shared" si="110"/>
        <v>15</v>
      </c>
      <c r="Y746">
        <f t="shared" si="111"/>
        <v>0</v>
      </c>
      <c r="Z746">
        <f t="shared" si="112"/>
        <v>15</v>
      </c>
      <c r="AA746">
        <f t="shared" si="113"/>
        <v>51.47886574074073</v>
      </c>
      <c r="AB746">
        <f t="shared" si="114"/>
        <v>36.47886574074073</v>
      </c>
      <c r="AC746">
        <f>IFERROR(_xlfn.XLOOKUP(B746, HoldSummary!$A:$A, HoldSummary!B:B), 0)</f>
        <v>0</v>
      </c>
      <c r="AD746">
        <f>IFERROR(_xlfn.XLOOKUP(B746, HoldSummary!$A:$A, HoldSummary!C:C), 0)</f>
        <v>0</v>
      </c>
      <c r="AE746">
        <f>IFERROR(_xlfn.XLOOKUP(B746, HoldSummary!$A:$A, HoldSummary!D:D), 0)</f>
        <v>0</v>
      </c>
      <c r="AF746">
        <f>IFERROR(_xlfn.XLOOKUP(B746, HoldSummary!$A:$A, HoldSummary!E:E), 0)</f>
        <v>0</v>
      </c>
      <c r="AG746">
        <f>IFERROR(_xlfn.XLOOKUP(B746, HoldSummary!$A:$A, HoldSummary!F:F), 0)</f>
        <v>0</v>
      </c>
      <c r="AH746">
        <f>IFERROR(_xlfn.XLOOKUP(B746, HoldSummary!$A:$A, HoldSummary!G:G), 0)</f>
        <v>0</v>
      </c>
      <c r="AI746">
        <f>IFERROR(_xlfn.XLOOKUP(B746, HoldSummary!$A:$A, HoldSummary!H:H), 0)</f>
        <v>0</v>
      </c>
      <c r="AJ746">
        <f>IFERROR(_xlfn.XLOOKUP(B746, HoldSummary!$A:$A, HoldSummary!I:I), 0)</f>
        <v>0</v>
      </c>
      <c r="AK746">
        <f t="shared" si="115"/>
        <v>0</v>
      </c>
      <c r="AL746">
        <f t="shared" si="116"/>
        <v>51.47886574074073</v>
      </c>
      <c r="AM746">
        <f t="shared" si="117"/>
        <v>36.47886574074073</v>
      </c>
      <c r="AN746" s="12">
        <f t="shared" si="118"/>
        <v>-41.166666666664241</v>
      </c>
      <c r="AO746">
        <f t="shared" si="119"/>
        <v>1</v>
      </c>
    </row>
    <row r="747" spans="1:41" x14ac:dyDescent="0.35">
      <c r="A747" t="s">
        <v>23</v>
      </c>
      <c r="B747" t="s">
        <v>1664</v>
      </c>
      <c r="C747" t="s">
        <v>113</v>
      </c>
      <c r="D747" t="s">
        <v>44</v>
      </c>
      <c r="E747" t="s">
        <v>45</v>
      </c>
      <c r="F747" t="s">
        <v>1633</v>
      </c>
      <c r="G747">
        <v>7</v>
      </c>
      <c r="H747" t="s">
        <v>1665</v>
      </c>
      <c r="I747" t="s">
        <v>30</v>
      </c>
      <c r="J747" t="s">
        <v>31</v>
      </c>
      <c r="K747" t="s">
        <v>38</v>
      </c>
      <c r="L747" t="s">
        <v>39</v>
      </c>
      <c r="N747" s="2">
        <v>45390.657962962963</v>
      </c>
      <c r="O747" s="2">
        <v>45443.166666666664</v>
      </c>
      <c r="P747" s="2">
        <v>45453.166666666664</v>
      </c>
      <c r="Q747" s="2">
        <v>45443</v>
      </c>
      <c r="R747" s="2">
        <v>45443.626622511576</v>
      </c>
      <c r="T747" s="2">
        <v>45400.166666666664</v>
      </c>
      <c r="U747" s="2">
        <v>45407.166666666664</v>
      </c>
      <c r="V747" s="2">
        <v>45407.166666666664</v>
      </c>
      <c r="W747" s="2">
        <v>45411.166666666664</v>
      </c>
      <c r="X747" s="3">
        <f t="shared" si="110"/>
        <v>7</v>
      </c>
      <c r="Y747">
        <f t="shared" si="111"/>
        <v>4</v>
      </c>
      <c r="Z747">
        <f t="shared" si="112"/>
        <v>11</v>
      </c>
      <c r="AA747">
        <f t="shared" si="113"/>
        <v>52.342037037036789</v>
      </c>
      <c r="AB747">
        <f t="shared" si="114"/>
        <v>41.342037037036789</v>
      </c>
      <c r="AC747">
        <f>IFERROR(_xlfn.XLOOKUP(B747, HoldSummary!$A:$A, HoldSummary!B:B), 0)</f>
        <v>0</v>
      </c>
      <c r="AD747">
        <f>IFERROR(_xlfn.XLOOKUP(B747, HoldSummary!$A:$A, HoldSummary!C:C), 0)</f>
        <v>0</v>
      </c>
      <c r="AE747">
        <f>IFERROR(_xlfn.XLOOKUP(B747, HoldSummary!$A:$A, HoldSummary!D:D), 0)</f>
        <v>0</v>
      </c>
      <c r="AF747">
        <f>IFERROR(_xlfn.XLOOKUP(B747, HoldSummary!$A:$A, HoldSummary!E:E), 0)</f>
        <v>0</v>
      </c>
      <c r="AG747">
        <f>IFERROR(_xlfn.XLOOKUP(B747, HoldSummary!$A:$A, HoldSummary!F:F), 0)</f>
        <v>0</v>
      </c>
      <c r="AH747">
        <f>IFERROR(_xlfn.XLOOKUP(B747, HoldSummary!$A:$A, HoldSummary!G:G), 0)</f>
        <v>0</v>
      </c>
      <c r="AI747">
        <f>IFERROR(_xlfn.XLOOKUP(B747, HoldSummary!$A:$A, HoldSummary!H:H), 0)</f>
        <v>0</v>
      </c>
      <c r="AJ747">
        <f>IFERROR(_xlfn.XLOOKUP(B747, HoldSummary!$A:$A, HoldSummary!I:I), 0)</f>
        <v>0</v>
      </c>
      <c r="AK747">
        <f t="shared" si="115"/>
        <v>0</v>
      </c>
      <c r="AL747">
        <f t="shared" si="116"/>
        <v>52.342037037036789</v>
      </c>
      <c r="AM747">
        <f t="shared" si="117"/>
        <v>41.342037037036789</v>
      </c>
      <c r="AN747" s="12">
        <f t="shared" si="118"/>
        <v>-0.16666666666424135</v>
      </c>
      <c r="AO747">
        <f t="shared" si="119"/>
        <v>1</v>
      </c>
    </row>
    <row r="748" spans="1:41" x14ac:dyDescent="0.35">
      <c r="A748" t="s">
        <v>23</v>
      </c>
      <c r="B748" t="s">
        <v>1666</v>
      </c>
      <c r="C748" t="s">
        <v>76</v>
      </c>
      <c r="D748" t="s">
        <v>44</v>
      </c>
      <c r="E748" t="s">
        <v>45</v>
      </c>
      <c r="F748" t="s">
        <v>1633</v>
      </c>
      <c r="G748">
        <v>7</v>
      </c>
      <c r="H748" t="s">
        <v>1667</v>
      </c>
      <c r="I748" t="s">
        <v>30</v>
      </c>
      <c r="J748" t="s">
        <v>31</v>
      </c>
      <c r="K748" t="s">
        <v>38</v>
      </c>
      <c r="L748" t="s">
        <v>39</v>
      </c>
      <c r="M748" t="s">
        <v>33</v>
      </c>
      <c r="N748" s="2">
        <v>45205.653599537036</v>
      </c>
      <c r="O748" s="2">
        <v>45490.166666666664</v>
      </c>
      <c r="P748" s="2">
        <v>45532.166666666664</v>
      </c>
      <c r="Q748" s="2">
        <v>45510</v>
      </c>
      <c r="R748" s="2">
        <v>45510.839239791669</v>
      </c>
      <c r="S748" t="s">
        <v>1668</v>
      </c>
      <c r="T748" s="2">
        <v>45442.166666666664</v>
      </c>
      <c r="U748" s="2">
        <v>45442.166666666664</v>
      </c>
      <c r="V748" s="2">
        <v>45442.166666666664</v>
      </c>
      <c r="W748" s="2">
        <v>45443.166666666664</v>
      </c>
      <c r="X748" s="3">
        <f t="shared" si="110"/>
        <v>0</v>
      </c>
      <c r="Y748">
        <f t="shared" si="111"/>
        <v>1</v>
      </c>
      <c r="Z748">
        <f t="shared" si="112"/>
        <v>1</v>
      </c>
      <c r="AA748">
        <f t="shared" si="113"/>
        <v>304.34640046296408</v>
      </c>
      <c r="AB748">
        <f t="shared" si="114"/>
        <v>303.34640046296408</v>
      </c>
      <c r="AC748">
        <f>IFERROR(_xlfn.XLOOKUP(B748, HoldSummary!$A:$A, HoldSummary!B:B), 0)</f>
        <v>0</v>
      </c>
      <c r="AD748">
        <f>IFERROR(_xlfn.XLOOKUP(B748, HoldSummary!$A:$A, HoldSummary!C:C), 0)</f>
        <v>0</v>
      </c>
      <c r="AE748">
        <f>IFERROR(_xlfn.XLOOKUP(B748, HoldSummary!$A:$A, HoldSummary!D:D), 0)</f>
        <v>0</v>
      </c>
      <c r="AF748">
        <f>IFERROR(_xlfn.XLOOKUP(B748, HoldSummary!$A:$A, HoldSummary!E:E), 0)</f>
        <v>185</v>
      </c>
      <c r="AG748">
        <f>IFERROR(_xlfn.XLOOKUP(B748, HoldSummary!$A:$A, HoldSummary!F:F), 0)</f>
        <v>41</v>
      </c>
      <c r="AH748">
        <f>IFERROR(_xlfn.XLOOKUP(B748, HoldSummary!$A:$A, HoldSummary!G:G), 0)</f>
        <v>0</v>
      </c>
      <c r="AI748">
        <f>IFERROR(_xlfn.XLOOKUP(B748, HoldSummary!$A:$A, HoldSummary!H:H), 0)</f>
        <v>0</v>
      </c>
      <c r="AJ748">
        <f>IFERROR(_xlfn.XLOOKUP(B748, HoldSummary!$A:$A, HoldSummary!I:I), 0)</f>
        <v>0</v>
      </c>
      <c r="AK748">
        <f t="shared" si="115"/>
        <v>226</v>
      </c>
      <c r="AL748">
        <f t="shared" si="116"/>
        <v>78.346400462964084</v>
      </c>
      <c r="AM748">
        <f t="shared" si="117"/>
        <v>77.346400462964084</v>
      </c>
      <c r="AN748" s="12">
        <f t="shared" si="118"/>
        <v>19.833333333335759</v>
      </c>
      <c r="AO748">
        <f t="shared" si="119"/>
        <v>0</v>
      </c>
    </row>
    <row r="749" spans="1:41" x14ac:dyDescent="0.35">
      <c r="A749" t="s">
        <v>23</v>
      </c>
      <c r="B749" t="s">
        <v>1669</v>
      </c>
      <c r="C749" t="s">
        <v>76</v>
      </c>
      <c r="D749" t="s">
        <v>44</v>
      </c>
      <c r="E749" t="s">
        <v>45</v>
      </c>
      <c r="F749" t="s">
        <v>1633</v>
      </c>
      <c r="G749">
        <v>8</v>
      </c>
      <c r="H749" t="s">
        <v>1670</v>
      </c>
      <c r="I749" t="s">
        <v>30</v>
      </c>
      <c r="J749" t="s">
        <v>31</v>
      </c>
      <c r="K749" t="s">
        <v>32</v>
      </c>
      <c r="L749" t="s">
        <v>32</v>
      </c>
      <c r="N749" s="2">
        <v>45195.759143518517</v>
      </c>
      <c r="O749" s="2">
        <v>45336.208333333336</v>
      </c>
      <c r="P749" s="2">
        <v>45343.208333333336</v>
      </c>
      <c r="Q749" s="2">
        <v>45338</v>
      </c>
      <c r="R749" s="2">
        <v>45341.668508634262</v>
      </c>
      <c r="S749" t="s">
        <v>1671</v>
      </c>
      <c r="T749" s="2"/>
      <c r="U749" s="2"/>
      <c r="V749" s="2"/>
      <c r="W749" s="2"/>
      <c r="X749" s="3" t="str">
        <f t="shared" si="110"/>
        <v/>
      </c>
      <c r="Y749" t="str">
        <f t="shared" si="111"/>
        <v/>
      </c>
      <c r="Z749">
        <f t="shared" si="112"/>
        <v>0</v>
      </c>
      <c r="AA749">
        <f t="shared" si="113"/>
        <v>142.24085648148321</v>
      </c>
      <c r="AB749">
        <f t="shared" si="114"/>
        <v>142.24085648148321</v>
      </c>
      <c r="AC749">
        <f>IFERROR(_xlfn.XLOOKUP(B749, HoldSummary!$A:$A, HoldSummary!B:B), 0)</f>
        <v>0</v>
      </c>
      <c r="AD749">
        <f>IFERROR(_xlfn.XLOOKUP(B749, HoldSummary!$A:$A, HoldSummary!C:C), 0)</f>
        <v>0</v>
      </c>
      <c r="AE749">
        <f>IFERROR(_xlfn.XLOOKUP(B749, HoldSummary!$A:$A, HoldSummary!D:D), 0)</f>
        <v>0</v>
      </c>
      <c r="AF749">
        <f>IFERROR(_xlfn.XLOOKUP(B749, HoldSummary!$A:$A, HoldSummary!E:E), 0)</f>
        <v>0</v>
      </c>
      <c r="AG749">
        <f>IFERROR(_xlfn.XLOOKUP(B749, HoldSummary!$A:$A, HoldSummary!F:F), 0)</f>
        <v>0</v>
      </c>
      <c r="AH749">
        <f>IFERROR(_xlfn.XLOOKUP(B749, HoldSummary!$A:$A, HoldSummary!G:G), 0)</f>
        <v>0</v>
      </c>
      <c r="AI749">
        <f>IFERROR(_xlfn.XLOOKUP(B749, HoldSummary!$A:$A, HoldSummary!H:H), 0)</f>
        <v>0</v>
      </c>
      <c r="AJ749">
        <f>IFERROR(_xlfn.XLOOKUP(B749, HoldSummary!$A:$A, HoldSummary!I:I), 0)</f>
        <v>0</v>
      </c>
      <c r="AK749">
        <f t="shared" si="115"/>
        <v>0</v>
      </c>
      <c r="AL749">
        <f t="shared" si="116"/>
        <v>142.24085648148321</v>
      </c>
      <c r="AM749">
        <f t="shared" si="117"/>
        <v>142.24085648148321</v>
      </c>
      <c r="AN749" s="12">
        <f t="shared" si="118"/>
        <v>1.7916666666642413</v>
      </c>
      <c r="AO749">
        <f t="shared" si="119"/>
        <v>0</v>
      </c>
    </row>
    <row r="750" spans="1:41" x14ac:dyDescent="0.35">
      <c r="A750" t="s">
        <v>23</v>
      </c>
      <c r="B750">
        <v>102863</v>
      </c>
      <c r="C750" t="s">
        <v>76</v>
      </c>
      <c r="D750" t="s">
        <v>44</v>
      </c>
      <c r="E750" t="s">
        <v>88</v>
      </c>
      <c r="F750" t="s">
        <v>1633</v>
      </c>
      <c r="G750">
        <v>8</v>
      </c>
      <c r="H750" t="s">
        <v>1672</v>
      </c>
      <c r="I750" t="s">
        <v>30</v>
      </c>
      <c r="J750" t="s">
        <v>31</v>
      </c>
      <c r="K750" t="s">
        <v>57</v>
      </c>
      <c r="L750" t="s">
        <v>39</v>
      </c>
      <c r="N750" s="2">
        <v>45268.208333333336</v>
      </c>
      <c r="O750" s="2">
        <v>45349.208333333336</v>
      </c>
      <c r="P750" s="2">
        <v>45349.208333333336</v>
      </c>
      <c r="Q750" s="2">
        <v>45342</v>
      </c>
      <c r="R750" s="2">
        <v>45342.796444525462</v>
      </c>
      <c r="S750" t="s">
        <v>1673</v>
      </c>
      <c r="T750" s="2">
        <v>45293.208333333336</v>
      </c>
      <c r="U750" s="2">
        <v>45316.208333333336</v>
      </c>
      <c r="V750" s="2">
        <v>45316.208333333336</v>
      </c>
      <c r="W750" s="2">
        <v>45330.208333333336</v>
      </c>
      <c r="X750" s="3">
        <f t="shared" si="110"/>
        <v>23</v>
      </c>
      <c r="Y750">
        <f t="shared" si="111"/>
        <v>14</v>
      </c>
      <c r="Z750">
        <f t="shared" si="112"/>
        <v>37</v>
      </c>
      <c r="AA750">
        <f t="shared" si="113"/>
        <v>73.791666666664241</v>
      </c>
      <c r="AB750">
        <f t="shared" si="114"/>
        <v>36.791666666664241</v>
      </c>
      <c r="AC750">
        <f>IFERROR(_xlfn.XLOOKUP(B750, HoldSummary!$A:$A, HoldSummary!B:B), 0)</f>
        <v>0</v>
      </c>
      <c r="AD750">
        <f>IFERROR(_xlfn.XLOOKUP(B750, HoldSummary!$A:$A, HoldSummary!C:C), 0)</f>
        <v>0</v>
      </c>
      <c r="AE750">
        <f>IFERROR(_xlfn.XLOOKUP(B750, HoldSummary!$A:$A, HoldSummary!D:D), 0)</f>
        <v>0</v>
      </c>
      <c r="AF750">
        <f>IFERROR(_xlfn.XLOOKUP(B750, HoldSummary!$A:$A, HoldSummary!E:E), 0)</f>
        <v>0</v>
      </c>
      <c r="AG750">
        <f>IFERROR(_xlfn.XLOOKUP(B750, HoldSummary!$A:$A, HoldSummary!F:F), 0)</f>
        <v>0</v>
      </c>
      <c r="AH750">
        <f>IFERROR(_xlfn.XLOOKUP(B750, HoldSummary!$A:$A, HoldSummary!G:G), 0)</f>
        <v>0</v>
      </c>
      <c r="AI750">
        <f>IFERROR(_xlfn.XLOOKUP(B750, HoldSummary!$A:$A, HoldSummary!H:H), 0)</f>
        <v>0</v>
      </c>
      <c r="AJ750">
        <f>IFERROR(_xlfn.XLOOKUP(B750, HoldSummary!$A:$A, HoldSummary!I:I), 0)</f>
        <v>0</v>
      </c>
      <c r="AK750">
        <f t="shared" si="115"/>
        <v>0</v>
      </c>
      <c r="AL750">
        <f t="shared" si="116"/>
        <v>73.791666666664241</v>
      </c>
      <c r="AM750">
        <f t="shared" si="117"/>
        <v>36.791666666664241</v>
      </c>
      <c r="AN750" s="12">
        <f t="shared" si="118"/>
        <v>-7.2083333333357587</v>
      </c>
      <c r="AO750">
        <f t="shared" si="119"/>
        <v>1</v>
      </c>
    </row>
    <row r="751" spans="1:41" x14ac:dyDescent="0.35">
      <c r="A751" t="s">
        <v>23</v>
      </c>
      <c r="B751">
        <v>103122</v>
      </c>
      <c r="C751" t="s">
        <v>113</v>
      </c>
      <c r="D751" t="s">
        <v>44</v>
      </c>
      <c r="E751" t="s">
        <v>55</v>
      </c>
      <c r="F751" t="s">
        <v>1633</v>
      </c>
      <c r="G751">
        <v>8</v>
      </c>
      <c r="H751" t="s">
        <v>1674</v>
      </c>
      <c r="I751" t="s">
        <v>30</v>
      </c>
      <c r="J751" t="s">
        <v>31</v>
      </c>
      <c r="K751" t="s">
        <v>57</v>
      </c>
      <c r="L751" t="s">
        <v>39</v>
      </c>
      <c r="N751" s="2">
        <v>45281.208333333336</v>
      </c>
      <c r="O751" s="2">
        <v>45526.166666666664</v>
      </c>
      <c r="P751" s="2">
        <v>45526.166666666664</v>
      </c>
      <c r="Q751" s="2">
        <v>45503</v>
      </c>
      <c r="R751" s="2">
        <v>45503.724924606482</v>
      </c>
      <c r="T751" s="2">
        <v>45385.166666666664</v>
      </c>
      <c r="U751" s="2">
        <v>45394.166666666664</v>
      </c>
      <c r="V751" s="2">
        <v>45394.166666666664</v>
      </c>
      <c r="W751" s="2">
        <v>45471.166666666664</v>
      </c>
      <c r="X751" s="3">
        <f t="shared" si="110"/>
        <v>9</v>
      </c>
      <c r="Y751">
        <f t="shared" si="111"/>
        <v>77</v>
      </c>
      <c r="Z751">
        <f t="shared" si="112"/>
        <v>86</v>
      </c>
      <c r="AA751">
        <f t="shared" si="113"/>
        <v>221.79166666666424</v>
      </c>
      <c r="AB751">
        <f t="shared" si="114"/>
        <v>135.79166666666424</v>
      </c>
      <c r="AC751">
        <f>IFERROR(_xlfn.XLOOKUP(B751, HoldSummary!$A:$A, HoldSummary!B:B), 0)</f>
        <v>0</v>
      </c>
      <c r="AD751">
        <f>IFERROR(_xlfn.XLOOKUP(B751, HoldSummary!$A:$A, HoldSummary!C:C), 0)</f>
        <v>0</v>
      </c>
      <c r="AE751">
        <f>IFERROR(_xlfn.XLOOKUP(B751, HoldSummary!$A:$A, HoldSummary!D:D), 0)</f>
        <v>0</v>
      </c>
      <c r="AF751">
        <f>IFERROR(_xlfn.XLOOKUP(B751, HoldSummary!$A:$A, HoldSummary!E:E), 0)</f>
        <v>0</v>
      </c>
      <c r="AG751">
        <f>IFERROR(_xlfn.XLOOKUP(B751, HoldSummary!$A:$A, HoldSummary!F:F), 0)</f>
        <v>0</v>
      </c>
      <c r="AH751">
        <f>IFERROR(_xlfn.XLOOKUP(B751, HoldSummary!$A:$A, HoldSummary!G:G), 0)</f>
        <v>0</v>
      </c>
      <c r="AI751">
        <f>IFERROR(_xlfn.XLOOKUP(B751, HoldSummary!$A:$A, HoldSummary!H:H), 0)</f>
        <v>36</v>
      </c>
      <c r="AJ751">
        <f>IFERROR(_xlfn.XLOOKUP(B751, HoldSummary!$A:$A, HoldSummary!I:I), 0)</f>
        <v>0</v>
      </c>
      <c r="AK751">
        <f t="shared" si="115"/>
        <v>36</v>
      </c>
      <c r="AL751">
        <f t="shared" si="116"/>
        <v>185.79166666666424</v>
      </c>
      <c r="AM751">
        <f t="shared" si="117"/>
        <v>99.791666666664241</v>
      </c>
      <c r="AN751" s="12">
        <f t="shared" si="118"/>
        <v>-23.166666666664241</v>
      </c>
      <c r="AO751">
        <f t="shared" si="119"/>
        <v>1</v>
      </c>
    </row>
    <row r="752" spans="1:41" x14ac:dyDescent="0.35">
      <c r="A752" t="s">
        <v>23</v>
      </c>
      <c r="B752">
        <v>104930</v>
      </c>
      <c r="C752" t="s">
        <v>76</v>
      </c>
      <c r="D752" t="s">
        <v>44</v>
      </c>
      <c r="E752" t="s">
        <v>55</v>
      </c>
      <c r="F752" t="s">
        <v>1633</v>
      </c>
      <c r="G752">
        <v>8</v>
      </c>
      <c r="H752" t="s">
        <v>1675</v>
      </c>
      <c r="I752" t="s">
        <v>30</v>
      </c>
      <c r="J752" t="s">
        <v>31</v>
      </c>
      <c r="K752" t="s">
        <v>57</v>
      </c>
      <c r="L752" t="s">
        <v>39</v>
      </c>
      <c r="N752" s="2">
        <v>45377.166666666664</v>
      </c>
      <c r="O752" s="2">
        <v>45427.166666666664</v>
      </c>
      <c r="P752" s="2">
        <v>45427.166666666664</v>
      </c>
      <c r="Q752" s="2">
        <v>45414</v>
      </c>
      <c r="R752" s="2">
        <v>45414.782080972225</v>
      </c>
      <c r="S752" t="s">
        <v>226</v>
      </c>
      <c r="T752" s="2">
        <v>45386.166666666664</v>
      </c>
      <c r="U752" s="2">
        <v>45399.166666666664</v>
      </c>
      <c r="V752" s="2">
        <v>45399.166666666664</v>
      </c>
      <c r="W752" s="2">
        <v>45400.166666666664</v>
      </c>
      <c r="X752" s="3">
        <f t="shared" si="110"/>
        <v>13</v>
      </c>
      <c r="Y752">
        <f t="shared" si="111"/>
        <v>1</v>
      </c>
      <c r="Z752">
        <f t="shared" si="112"/>
        <v>14</v>
      </c>
      <c r="AA752">
        <f t="shared" si="113"/>
        <v>36.833333333335759</v>
      </c>
      <c r="AB752">
        <f t="shared" si="114"/>
        <v>22.833333333335759</v>
      </c>
      <c r="AC752">
        <f>IFERROR(_xlfn.XLOOKUP(B752, HoldSummary!$A:$A, HoldSummary!B:B), 0)</f>
        <v>0</v>
      </c>
      <c r="AD752">
        <f>IFERROR(_xlfn.XLOOKUP(B752, HoldSummary!$A:$A, HoldSummary!C:C), 0)</f>
        <v>0</v>
      </c>
      <c r="AE752">
        <f>IFERROR(_xlfn.XLOOKUP(B752, HoldSummary!$A:$A, HoldSummary!D:D), 0)</f>
        <v>0</v>
      </c>
      <c r="AF752">
        <f>IFERROR(_xlfn.XLOOKUP(B752, HoldSummary!$A:$A, HoldSummary!E:E), 0)</f>
        <v>0</v>
      </c>
      <c r="AG752">
        <f>IFERROR(_xlfn.XLOOKUP(B752, HoldSummary!$A:$A, HoldSummary!F:F), 0)</f>
        <v>0</v>
      </c>
      <c r="AH752">
        <f>IFERROR(_xlfn.XLOOKUP(B752, HoldSummary!$A:$A, HoldSummary!G:G), 0)</f>
        <v>0</v>
      </c>
      <c r="AI752">
        <f>IFERROR(_xlfn.XLOOKUP(B752, HoldSummary!$A:$A, HoldSummary!H:H), 0)</f>
        <v>0</v>
      </c>
      <c r="AJ752">
        <f>IFERROR(_xlfn.XLOOKUP(B752, HoldSummary!$A:$A, HoldSummary!I:I), 0)</f>
        <v>0</v>
      </c>
      <c r="AK752">
        <f t="shared" si="115"/>
        <v>0</v>
      </c>
      <c r="AL752">
        <f t="shared" si="116"/>
        <v>36.833333333335759</v>
      </c>
      <c r="AM752">
        <f t="shared" si="117"/>
        <v>22.833333333335759</v>
      </c>
      <c r="AN752" s="12">
        <f t="shared" si="118"/>
        <v>-13.166666666664241</v>
      </c>
      <c r="AO752">
        <f t="shared" si="119"/>
        <v>1</v>
      </c>
    </row>
    <row r="753" spans="1:41" x14ac:dyDescent="0.35">
      <c r="A753" t="s">
        <v>23</v>
      </c>
      <c r="B753" t="s">
        <v>1676</v>
      </c>
      <c r="C753" t="s">
        <v>43</v>
      </c>
      <c r="D753" t="s">
        <v>44</v>
      </c>
      <c r="E753" t="s">
        <v>45</v>
      </c>
      <c r="F753" t="s">
        <v>1633</v>
      </c>
      <c r="G753">
        <v>8</v>
      </c>
      <c r="H753" t="s">
        <v>1677</v>
      </c>
      <c r="I753" t="s">
        <v>30</v>
      </c>
      <c r="J753" t="s">
        <v>70</v>
      </c>
      <c r="K753" t="s">
        <v>48</v>
      </c>
      <c r="N753" s="2">
        <v>45398.264780092592</v>
      </c>
      <c r="O753" s="2">
        <v>45427.166666666664</v>
      </c>
      <c r="P753" s="2">
        <v>45436.166666666664</v>
      </c>
      <c r="Q753" s="2">
        <v>45433</v>
      </c>
      <c r="R753" s="2">
        <v>45434.583741782408</v>
      </c>
      <c r="T753" s="2"/>
      <c r="U753" s="2"/>
      <c r="V753" s="2"/>
      <c r="W753" s="2"/>
      <c r="X753" s="3" t="str">
        <f t="shared" si="110"/>
        <v/>
      </c>
      <c r="Y753" t="str">
        <f t="shared" si="111"/>
        <v/>
      </c>
      <c r="Z753">
        <f t="shared" si="112"/>
        <v>0</v>
      </c>
      <c r="AA753">
        <f t="shared" si="113"/>
        <v>34.735219907408464</v>
      </c>
      <c r="AB753">
        <f t="shared" si="114"/>
        <v>34.735219907408464</v>
      </c>
      <c r="AC753">
        <f>IFERROR(_xlfn.XLOOKUP(B753, HoldSummary!$A:$A, HoldSummary!B:B), 0)</f>
        <v>0</v>
      </c>
      <c r="AD753">
        <f>IFERROR(_xlfn.XLOOKUP(B753, HoldSummary!$A:$A, HoldSummary!C:C), 0)</f>
        <v>0</v>
      </c>
      <c r="AE753">
        <f>IFERROR(_xlfn.XLOOKUP(B753, HoldSummary!$A:$A, HoldSummary!D:D), 0)</f>
        <v>0</v>
      </c>
      <c r="AF753">
        <f>IFERROR(_xlfn.XLOOKUP(B753, HoldSummary!$A:$A, HoldSummary!E:E), 0)</f>
        <v>0</v>
      </c>
      <c r="AG753">
        <f>IFERROR(_xlfn.XLOOKUP(B753, HoldSummary!$A:$A, HoldSummary!F:F), 0)</f>
        <v>0</v>
      </c>
      <c r="AH753">
        <f>IFERROR(_xlfn.XLOOKUP(B753, HoldSummary!$A:$A, HoldSummary!G:G), 0)</f>
        <v>0</v>
      </c>
      <c r="AI753">
        <f>IFERROR(_xlfn.XLOOKUP(B753, HoldSummary!$A:$A, HoldSummary!H:H), 0)</f>
        <v>0</v>
      </c>
      <c r="AJ753">
        <f>IFERROR(_xlfn.XLOOKUP(B753, HoldSummary!$A:$A, HoldSummary!I:I), 0)</f>
        <v>0</v>
      </c>
      <c r="AK753">
        <f t="shared" si="115"/>
        <v>0</v>
      </c>
      <c r="AL753">
        <f t="shared" si="116"/>
        <v>34.735219907408464</v>
      </c>
      <c r="AM753">
        <f t="shared" si="117"/>
        <v>34.735219907408464</v>
      </c>
      <c r="AN753" s="12">
        <f t="shared" si="118"/>
        <v>5.8333333333357587</v>
      </c>
      <c r="AO753">
        <f t="shared" si="119"/>
        <v>0</v>
      </c>
    </row>
    <row r="754" spans="1:41" x14ac:dyDescent="0.35">
      <c r="A754" t="s">
        <v>23</v>
      </c>
      <c r="B754" t="s">
        <v>1678</v>
      </c>
      <c r="C754" t="s">
        <v>43</v>
      </c>
      <c r="D754" t="s">
        <v>44</v>
      </c>
      <c r="E754" t="s">
        <v>45</v>
      </c>
      <c r="F754" t="s">
        <v>1633</v>
      </c>
      <c r="G754">
        <v>9</v>
      </c>
      <c r="H754" t="s">
        <v>1679</v>
      </c>
      <c r="I754" t="s">
        <v>30</v>
      </c>
      <c r="J754" t="s">
        <v>70</v>
      </c>
      <c r="K754" t="s">
        <v>38</v>
      </c>
      <c r="L754" t="s">
        <v>39</v>
      </c>
      <c r="N754" s="2">
        <v>45363.785034722219</v>
      </c>
      <c r="O754" s="2">
        <v>45449.166666666664</v>
      </c>
      <c r="P754" s="2">
        <v>45449.166666666664</v>
      </c>
      <c r="Q754" s="2">
        <v>45418</v>
      </c>
      <c r="R754" s="2">
        <v>45419.503521145831</v>
      </c>
      <c r="S754" t="s">
        <v>226</v>
      </c>
      <c r="T754" s="2"/>
      <c r="U754" s="2"/>
      <c r="V754" s="2"/>
      <c r="W754" s="2"/>
      <c r="X754" s="3" t="str">
        <f t="shared" si="110"/>
        <v/>
      </c>
      <c r="Y754" t="str">
        <f t="shared" si="111"/>
        <v/>
      </c>
      <c r="Z754">
        <f t="shared" si="112"/>
        <v>0</v>
      </c>
      <c r="AA754">
        <f t="shared" si="113"/>
        <v>54.21496527778072</v>
      </c>
      <c r="AB754">
        <f t="shared" si="114"/>
        <v>54.21496527778072</v>
      </c>
      <c r="AC754">
        <f>IFERROR(_xlfn.XLOOKUP(B754, HoldSummary!$A:$A, HoldSummary!B:B), 0)</f>
        <v>0</v>
      </c>
      <c r="AD754">
        <f>IFERROR(_xlfn.XLOOKUP(B754, HoldSummary!$A:$A, HoldSummary!C:C), 0)</f>
        <v>0</v>
      </c>
      <c r="AE754">
        <f>IFERROR(_xlfn.XLOOKUP(B754, HoldSummary!$A:$A, HoldSummary!D:D), 0)</f>
        <v>0</v>
      </c>
      <c r="AF754">
        <f>IFERROR(_xlfn.XLOOKUP(B754, HoldSummary!$A:$A, HoldSummary!E:E), 0)</f>
        <v>0</v>
      </c>
      <c r="AG754">
        <f>IFERROR(_xlfn.XLOOKUP(B754, HoldSummary!$A:$A, HoldSummary!F:F), 0)</f>
        <v>0</v>
      </c>
      <c r="AH754">
        <f>IFERROR(_xlfn.XLOOKUP(B754, HoldSummary!$A:$A, HoldSummary!G:G), 0)</f>
        <v>0</v>
      </c>
      <c r="AI754">
        <f>IFERROR(_xlfn.XLOOKUP(B754, HoldSummary!$A:$A, HoldSummary!H:H), 0)</f>
        <v>0</v>
      </c>
      <c r="AJ754">
        <f>IFERROR(_xlfn.XLOOKUP(B754, HoldSummary!$A:$A, HoldSummary!I:I), 0)</f>
        <v>0</v>
      </c>
      <c r="AK754">
        <f t="shared" si="115"/>
        <v>0</v>
      </c>
      <c r="AL754">
        <f t="shared" si="116"/>
        <v>54.21496527778072</v>
      </c>
      <c r="AM754">
        <f t="shared" si="117"/>
        <v>54.21496527778072</v>
      </c>
      <c r="AN754" s="12">
        <f t="shared" si="118"/>
        <v>-31.166666666664241</v>
      </c>
      <c r="AO754">
        <f t="shared" si="119"/>
        <v>1</v>
      </c>
    </row>
    <row r="755" spans="1:41" x14ac:dyDescent="0.35">
      <c r="A755" t="s">
        <v>23</v>
      </c>
      <c r="B755">
        <v>104024</v>
      </c>
      <c r="C755" t="s">
        <v>43</v>
      </c>
      <c r="D755" t="s">
        <v>44</v>
      </c>
      <c r="E755" t="s">
        <v>55</v>
      </c>
      <c r="F755" t="s">
        <v>1633</v>
      </c>
      <c r="G755">
        <v>10</v>
      </c>
      <c r="H755" t="s">
        <v>1680</v>
      </c>
      <c r="I755" t="s">
        <v>30</v>
      </c>
      <c r="J755" t="s">
        <v>31</v>
      </c>
      <c r="K755" t="s">
        <v>57</v>
      </c>
      <c r="L755" t="s">
        <v>39</v>
      </c>
      <c r="N755" s="2">
        <v>45334.208333333336</v>
      </c>
      <c r="O755" s="2">
        <v>45415.166666666664</v>
      </c>
      <c r="P755" s="2">
        <v>45379.166666666664</v>
      </c>
      <c r="Q755" s="2">
        <v>45378</v>
      </c>
      <c r="R755" s="2">
        <v>45378.767460416668</v>
      </c>
      <c r="S755" t="s">
        <v>386</v>
      </c>
      <c r="T755" s="2">
        <v>45364.166666666664</v>
      </c>
      <c r="U755" s="2">
        <v>45373.166666666664</v>
      </c>
      <c r="V755" s="2">
        <v>45373.166666666664</v>
      </c>
      <c r="W755" s="2">
        <v>45376.166666666664</v>
      </c>
      <c r="X755" s="3">
        <f t="shared" si="110"/>
        <v>9</v>
      </c>
      <c r="Y755">
        <f t="shared" si="111"/>
        <v>3</v>
      </c>
      <c r="Z755">
        <f t="shared" si="112"/>
        <v>12</v>
      </c>
      <c r="AA755">
        <f t="shared" si="113"/>
        <v>43.791666666664241</v>
      </c>
      <c r="AB755">
        <f t="shared" si="114"/>
        <v>31.791666666664241</v>
      </c>
      <c r="AC755">
        <f>IFERROR(_xlfn.XLOOKUP(B755, HoldSummary!$A:$A, HoldSummary!B:B), 0)</f>
        <v>0</v>
      </c>
      <c r="AD755">
        <f>IFERROR(_xlfn.XLOOKUP(B755, HoldSummary!$A:$A, HoldSummary!C:C), 0)</f>
        <v>0</v>
      </c>
      <c r="AE755">
        <f>IFERROR(_xlfn.XLOOKUP(B755, HoldSummary!$A:$A, HoldSummary!D:D), 0)</f>
        <v>0</v>
      </c>
      <c r="AF755">
        <f>IFERROR(_xlfn.XLOOKUP(B755, HoldSummary!$A:$A, HoldSummary!E:E), 0)</f>
        <v>0</v>
      </c>
      <c r="AG755">
        <f>IFERROR(_xlfn.XLOOKUP(B755, HoldSummary!$A:$A, HoldSummary!F:F), 0)</f>
        <v>0</v>
      </c>
      <c r="AH755">
        <f>IFERROR(_xlfn.XLOOKUP(B755, HoldSummary!$A:$A, HoldSummary!G:G), 0)</f>
        <v>0</v>
      </c>
      <c r="AI755">
        <f>IFERROR(_xlfn.XLOOKUP(B755, HoldSummary!$A:$A, HoldSummary!H:H), 0)</f>
        <v>0</v>
      </c>
      <c r="AJ755">
        <f>IFERROR(_xlfn.XLOOKUP(B755, HoldSummary!$A:$A, HoldSummary!I:I), 0)</f>
        <v>0</v>
      </c>
      <c r="AK755">
        <f t="shared" si="115"/>
        <v>0</v>
      </c>
      <c r="AL755">
        <f t="shared" si="116"/>
        <v>43.791666666664241</v>
      </c>
      <c r="AM755">
        <f t="shared" si="117"/>
        <v>31.791666666664241</v>
      </c>
      <c r="AN755" s="12">
        <f t="shared" si="118"/>
        <v>-37.166666666664241</v>
      </c>
      <c r="AO755">
        <f t="shared" si="119"/>
        <v>1</v>
      </c>
    </row>
    <row r="756" spans="1:41" x14ac:dyDescent="0.35">
      <c r="A756" t="s">
        <v>23</v>
      </c>
      <c r="B756" t="s">
        <v>1681</v>
      </c>
      <c r="C756" t="s">
        <v>43</v>
      </c>
      <c r="D756" t="s">
        <v>44</v>
      </c>
      <c r="E756" t="s">
        <v>45</v>
      </c>
      <c r="F756" t="s">
        <v>1633</v>
      </c>
      <c r="G756">
        <v>10</v>
      </c>
      <c r="H756" t="s">
        <v>1682</v>
      </c>
      <c r="I756" t="s">
        <v>30</v>
      </c>
      <c r="J756" t="s">
        <v>31</v>
      </c>
      <c r="K756" t="s">
        <v>38</v>
      </c>
      <c r="L756" t="s">
        <v>39</v>
      </c>
      <c r="M756" t="s">
        <v>33</v>
      </c>
      <c r="N756" s="2">
        <v>45442.575891203705</v>
      </c>
      <c r="O756" s="2">
        <v>45504.166666666664</v>
      </c>
      <c r="P756" s="2">
        <v>45520.166666666664</v>
      </c>
      <c r="Q756" s="2">
        <v>45520</v>
      </c>
      <c r="R756" s="2">
        <v>45520.695675370371</v>
      </c>
      <c r="T756" s="2">
        <v>45454.166666666664</v>
      </c>
      <c r="U756" s="2">
        <v>45467.166666666664</v>
      </c>
      <c r="V756" s="2">
        <v>45467.166666666664</v>
      </c>
      <c r="W756" s="2">
        <v>45474.166666666664</v>
      </c>
      <c r="X756" s="3">
        <f t="shared" si="110"/>
        <v>13</v>
      </c>
      <c r="Y756">
        <f t="shared" si="111"/>
        <v>7</v>
      </c>
      <c r="Z756">
        <f t="shared" si="112"/>
        <v>20</v>
      </c>
      <c r="AA756">
        <f t="shared" si="113"/>
        <v>77.424108796294604</v>
      </c>
      <c r="AB756">
        <f t="shared" si="114"/>
        <v>57.424108796294604</v>
      </c>
      <c r="AC756">
        <f>IFERROR(_xlfn.XLOOKUP(B756, HoldSummary!$A:$A, HoldSummary!B:B), 0)</f>
        <v>0</v>
      </c>
      <c r="AD756">
        <f>IFERROR(_xlfn.XLOOKUP(B756, HoldSummary!$A:$A, HoldSummary!C:C), 0)</f>
        <v>0</v>
      </c>
      <c r="AE756">
        <f>IFERROR(_xlfn.XLOOKUP(B756, HoldSummary!$A:$A, HoldSummary!D:D), 0)</f>
        <v>0</v>
      </c>
      <c r="AF756">
        <f>IFERROR(_xlfn.XLOOKUP(B756, HoldSummary!$A:$A, HoldSummary!E:E), 0)</f>
        <v>0</v>
      </c>
      <c r="AG756">
        <f>IFERROR(_xlfn.XLOOKUP(B756, HoldSummary!$A:$A, HoldSummary!F:F), 0)</f>
        <v>0</v>
      </c>
      <c r="AH756">
        <f>IFERROR(_xlfn.XLOOKUP(B756, HoldSummary!$A:$A, HoldSummary!G:G), 0)</f>
        <v>0</v>
      </c>
      <c r="AI756">
        <f>IFERROR(_xlfn.XLOOKUP(B756, HoldSummary!$A:$A, HoldSummary!H:H), 0)</f>
        <v>0</v>
      </c>
      <c r="AJ756">
        <f>IFERROR(_xlfn.XLOOKUP(B756, HoldSummary!$A:$A, HoldSummary!I:I), 0)</f>
        <v>0</v>
      </c>
      <c r="AK756">
        <f t="shared" si="115"/>
        <v>0</v>
      </c>
      <c r="AL756">
        <f t="shared" si="116"/>
        <v>77.424108796294604</v>
      </c>
      <c r="AM756">
        <f t="shared" si="117"/>
        <v>57.424108796294604</v>
      </c>
      <c r="AN756" s="12">
        <f t="shared" si="118"/>
        <v>15.833333333335759</v>
      </c>
      <c r="AO756">
        <f t="shared" si="119"/>
        <v>0</v>
      </c>
    </row>
    <row r="757" spans="1:41" x14ac:dyDescent="0.35">
      <c r="A757" t="s">
        <v>23</v>
      </c>
      <c r="B757" t="s">
        <v>1683</v>
      </c>
      <c r="C757" t="s">
        <v>130</v>
      </c>
      <c r="D757" t="s">
        <v>44</v>
      </c>
      <c r="E757" t="s">
        <v>45</v>
      </c>
      <c r="F757" t="s">
        <v>1633</v>
      </c>
      <c r="G757">
        <v>11</v>
      </c>
      <c r="H757" t="s">
        <v>1684</v>
      </c>
      <c r="I757" t="s">
        <v>30</v>
      </c>
      <c r="J757" t="s">
        <v>31</v>
      </c>
      <c r="K757" t="s">
        <v>38</v>
      </c>
      <c r="L757" t="s">
        <v>39</v>
      </c>
      <c r="N757" s="2">
        <v>45281.664247685185</v>
      </c>
      <c r="O757" s="2">
        <v>45513.166666666664</v>
      </c>
      <c r="P757" s="2">
        <v>45541.166666666664</v>
      </c>
      <c r="Q757" s="2">
        <v>45534</v>
      </c>
      <c r="R757" s="2">
        <v>45537.0761203125</v>
      </c>
      <c r="S757" t="s">
        <v>231</v>
      </c>
      <c r="T757" s="2">
        <v>45422.166666666664</v>
      </c>
      <c r="U757" s="2">
        <v>45422.166666666664</v>
      </c>
      <c r="V757" s="2">
        <v>45422.166666666664</v>
      </c>
      <c r="W757" s="2">
        <v>45468.166666666664</v>
      </c>
      <c r="X757" s="3">
        <f t="shared" si="110"/>
        <v>0</v>
      </c>
      <c r="Y757">
        <f t="shared" si="111"/>
        <v>46</v>
      </c>
      <c r="Z757">
        <f t="shared" si="112"/>
        <v>46</v>
      </c>
      <c r="AA757">
        <f t="shared" si="113"/>
        <v>252.33575231481518</v>
      </c>
      <c r="AB757">
        <f t="shared" si="114"/>
        <v>206.33575231481518</v>
      </c>
      <c r="AC757">
        <f>IFERROR(_xlfn.XLOOKUP(B757, HoldSummary!$A:$A, HoldSummary!B:B), 0)</f>
        <v>0</v>
      </c>
      <c r="AD757">
        <f>IFERROR(_xlfn.XLOOKUP(B757, HoldSummary!$A:$A, HoldSummary!C:C), 0)</f>
        <v>0</v>
      </c>
      <c r="AE757">
        <f>IFERROR(_xlfn.XLOOKUP(B757, HoldSummary!$A:$A, HoldSummary!D:D), 0)</f>
        <v>0</v>
      </c>
      <c r="AF757">
        <f>IFERROR(_xlfn.XLOOKUP(B757, HoldSummary!$A:$A, HoldSummary!E:E), 0)</f>
        <v>0</v>
      </c>
      <c r="AG757">
        <f>IFERROR(_xlfn.XLOOKUP(B757, HoldSummary!$A:$A, HoldSummary!F:F), 0)</f>
        <v>21</v>
      </c>
      <c r="AH757">
        <f>IFERROR(_xlfn.XLOOKUP(B757, HoldSummary!$A:$A, HoldSummary!G:G), 0)</f>
        <v>0</v>
      </c>
      <c r="AI757">
        <f>IFERROR(_xlfn.XLOOKUP(B757, HoldSummary!$A:$A, HoldSummary!H:H), 0)</f>
        <v>8</v>
      </c>
      <c r="AJ757">
        <f>IFERROR(_xlfn.XLOOKUP(B757, HoldSummary!$A:$A, HoldSummary!I:I), 0)</f>
        <v>0</v>
      </c>
      <c r="AK757">
        <f t="shared" si="115"/>
        <v>29</v>
      </c>
      <c r="AL757">
        <f t="shared" si="116"/>
        <v>223.33575231481518</v>
      </c>
      <c r="AM757">
        <f t="shared" si="117"/>
        <v>177.33575231481518</v>
      </c>
      <c r="AN757" s="12">
        <f t="shared" si="118"/>
        <v>20.833333333335759</v>
      </c>
      <c r="AO757">
        <f t="shared" si="119"/>
        <v>0</v>
      </c>
    </row>
    <row r="758" spans="1:41" x14ac:dyDescent="0.35">
      <c r="A758" t="s">
        <v>23</v>
      </c>
      <c r="B758" t="s">
        <v>1685</v>
      </c>
      <c r="C758" t="s">
        <v>43</v>
      </c>
      <c r="D758" t="s">
        <v>44</v>
      </c>
      <c r="E758" t="s">
        <v>45</v>
      </c>
      <c r="F758" t="s">
        <v>1633</v>
      </c>
      <c r="H758" t="s">
        <v>1686</v>
      </c>
      <c r="I758" t="s">
        <v>30</v>
      </c>
      <c r="J758" t="s">
        <v>70</v>
      </c>
      <c r="K758" t="s">
        <v>48</v>
      </c>
      <c r="L758" t="s">
        <v>192</v>
      </c>
      <c r="N758" s="2">
        <v>45338.483611111114</v>
      </c>
      <c r="O758" s="2">
        <v>45426.166666666664</v>
      </c>
      <c r="P758" s="2">
        <v>45462.166666666664</v>
      </c>
      <c r="Q758" s="2">
        <v>45462</v>
      </c>
      <c r="R758" s="2">
        <v>45463.855800046294</v>
      </c>
      <c r="S758" t="s">
        <v>399</v>
      </c>
      <c r="T758" s="2">
        <v>45357.208333333336</v>
      </c>
      <c r="U758" s="2">
        <v>45390.166666666664</v>
      </c>
      <c r="V758" s="2">
        <v>45390.166666666664</v>
      </c>
      <c r="W758" s="2">
        <v>45446.166666666664</v>
      </c>
      <c r="X758" s="3">
        <f t="shared" si="110"/>
        <v>32.958333333328483</v>
      </c>
      <c r="Y758">
        <f t="shared" si="111"/>
        <v>56</v>
      </c>
      <c r="Z758">
        <f t="shared" si="112"/>
        <v>88.958333333328483</v>
      </c>
      <c r="AA758">
        <f t="shared" si="113"/>
        <v>123.51638888888556</v>
      </c>
      <c r="AB758">
        <f t="shared" si="114"/>
        <v>34.558055555557075</v>
      </c>
      <c r="AC758">
        <f>IFERROR(_xlfn.XLOOKUP(B758, HoldSummary!$A:$A, HoldSummary!B:B), 0)</f>
        <v>0</v>
      </c>
      <c r="AD758">
        <f>IFERROR(_xlfn.XLOOKUP(B758, HoldSummary!$A:$A, HoldSummary!C:C), 0)</f>
        <v>0</v>
      </c>
      <c r="AE758">
        <f>IFERROR(_xlfn.XLOOKUP(B758, HoldSummary!$A:$A, HoldSummary!D:D), 0)</f>
        <v>0</v>
      </c>
      <c r="AF758">
        <f>IFERROR(_xlfn.XLOOKUP(B758, HoldSummary!$A:$A, HoldSummary!E:E), 0)</f>
        <v>0</v>
      </c>
      <c r="AG758">
        <f>IFERROR(_xlfn.XLOOKUP(B758, HoldSummary!$A:$A, HoldSummary!F:F), 0)</f>
        <v>0</v>
      </c>
      <c r="AH758">
        <f>IFERROR(_xlfn.XLOOKUP(B758, HoldSummary!$A:$A, HoldSummary!G:G), 0)</f>
        <v>0</v>
      </c>
      <c r="AI758">
        <f>IFERROR(_xlfn.XLOOKUP(B758, HoldSummary!$A:$A, HoldSummary!H:H), 0)</f>
        <v>49.140442754629476</v>
      </c>
      <c r="AJ758">
        <f>IFERROR(_xlfn.XLOOKUP(B758, HoldSummary!$A:$A, HoldSummary!I:I), 0)</f>
        <v>0</v>
      </c>
      <c r="AK758">
        <f t="shared" si="115"/>
        <v>49.140442754629476</v>
      </c>
      <c r="AL758">
        <f t="shared" si="116"/>
        <v>74.375946134256083</v>
      </c>
      <c r="AM758">
        <f t="shared" si="117"/>
        <v>-14.5823871990724</v>
      </c>
      <c r="AN758" s="12">
        <f t="shared" si="118"/>
        <v>35.833333333335759</v>
      </c>
      <c r="AO758">
        <f t="shared" si="119"/>
        <v>0</v>
      </c>
    </row>
    <row r="759" spans="1:41" x14ac:dyDescent="0.35">
      <c r="A759" t="s">
        <v>23</v>
      </c>
      <c r="B759" t="s">
        <v>1687</v>
      </c>
      <c r="C759" t="s">
        <v>43</v>
      </c>
      <c r="D759" t="s">
        <v>44</v>
      </c>
      <c r="E759" t="s">
        <v>44</v>
      </c>
      <c r="F759" t="s">
        <v>1633</v>
      </c>
      <c r="H759" t="s">
        <v>1688</v>
      </c>
      <c r="I759" t="s">
        <v>30</v>
      </c>
      <c r="J759" t="s">
        <v>70</v>
      </c>
      <c r="K759" t="s">
        <v>48</v>
      </c>
      <c r="L759" t="s">
        <v>185</v>
      </c>
      <c r="N759" s="2">
        <v>45364.166666666664</v>
      </c>
      <c r="O759" s="2">
        <v>45380.166666666664</v>
      </c>
      <c r="P759" s="2">
        <v>45504.166666666664</v>
      </c>
      <c r="Q759" s="2">
        <v>45509</v>
      </c>
      <c r="R759" s="2">
        <v>45509.590537997683</v>
      </c>
      <c r="S759" t="s">
        <v>1689</v>
      </c>
      <c r="T759" s="2">
        <v>45419.166666666664</v>
      </c>
      <c r="U759" s="2">
        <v>45419.166666666664</v>
      </c>
      <c r="V759" s="2">
        <v>45419.166666666664</v>
      </c>
      <c r="W759" s="2">
        <v>45420.166666666664</v>
      </c>
      <c r="X759" s="3">
        <f t="shared" si="110"/>
        <v>0</v>
      </c>
      <c r="Y759">
        <f t="shared" si="111"/>
        <v>1</v>
      </c>
      <c r="Z759">
        <f t="shared" si="112"/>
        <v>1</v>
      </c>
      <c r="AA759">
        <f t="shared" si="113"/>
        <v>144.83333333333576</v>
      </c>
      <c r="AB759">
        <f t="shared" si="114"/>
        <v>143.83333333333576</v>
      </c>
      <c r="AC759">
        <f>IFERROR(_xlfn.XLOOKUP(B759, HoldSummary!$A:$A, HoldSummary!B:B), 0)</f>
        <v>0</v>
      </c>
      <c r="AD759">
        <f>IFERROR(_xlfn.XLOOKUP(B759, HoldSummary!$A:$A, HoldSummary!C:C), 0)</f>
        <v>0</v>
      </c>
      <c r="AE759">
        <f>IFERROR(_xlfn.XLOOKUP(B759, HoldSummary!$A:$A, HoldSummary!D:D), 0)</f>
        <v>0</v>
      </c>
      <c r="AF759">
        <f>IFERROR(_xlfn.XLOOKUP(B759, HoldSummary!$A:$A, HoldSummary!E:E), 0)</f>
        <v>0</v>
      </c>
      <c r="AG759">
        <f>IFERROR(_xlfn.XLOOKUP(B759, HoldSummary!$A:$A, HoldSummary!F:F), 0)</f>
        <v>0</v>
      </c>
      <c r="AH759">
        <f>IFERROR(_xlfn.XLOOKUP(B759, HoldSummary!$A:$A, HoldSummary!G:G), 0)</f>
        <v>0</v>
      </c>
      <c r="AI759">
        <f>IFERROR(_xlfn.XLOOKUP(B759, HoldSummary!$A:$A, HoldSummary!H:H), 0)</f>
        <v>0</v>
      </c>
      <c r="AJ759">
        <f>IFERROR(_xlfn.XLOOKUP(B759, HoldSummary!$A:$A, HoldSummary!I:I), 0)</f>
        <v>0</v>
      </c>
      <c r="AK759">
        <f t="shared" si="115"/>
        <v>0</v>
      </c>
      <c r="AL759">
        <f t="shared" si="116"/>
        <v>144.83333333333576</v>
      </c>
      <c r="AM759">
        <f t="shared" si="117"/>
        <v>143.83333333333576</v>
      </c>
      <c r="AN759" s="12">
        <f t="shared" si="118"/>
        <v>128.83333333333576</v>
      </c>
      <c r="AO759">
        <f t="shared" si="119"/>
        <v>0</v>
      </c>
    </row>
    <row r="760" spans="1:41" x14ac:dyDescent="0.35">
      <c r="A760" t="s">
        <v>23</v>
      </c>
      <c r="B760" t="s">
        <v>1690</v>
      </c>
      <c r="C760" t="s">
        <v>43</v>
      </c>
      <c r="D760" t="s">
        <v>44</v>
      </c>
      <c r="E760" t="s">
        <v>44</v>
      </c>
      <c r="F760" t="s">
        <v>1633</v>
      </c>
      <c r="H760" t="s">
        <v>1691</v>
      </c>
      <c r="I760" t="s">
        <v>30</v>
      </c>
      <c r="J760" t="s">
        <v>70</v>
      </c>
      <c r="K760" t="s">
        <v>48</v>
      </c>
      <c r="L760" t="s">
        <v>192</v>
      </c>
      <c r="N760" s="2">
        <v>45386.166666666664</v>
      </c>
      <c r="O760" s="2">
        <v>45441.166666666664</v>
      </c>
      <c r="P760" s="2">
        <v>45441.166666666664</v>
      </c>
      <c r="Q760" s="2">
        <v>45446</v>
      </c>
      <c r="R760" s="2">
        <v>45446.840134675927</v>
      </c>
      <c r="S760" t="s">
        <v>335</v>
      </c>
      <c r="T760" s="2"/>
      <c r="U760" s="2"/>
      <c r="V760" s="2"/>
      <c r="W760" s="2"/>
      <c r="X760" s="3" t="str">
        <f t="shared" si="110"/>
        <v/>
      </c>
      <c r="Y760" t="str">
        <f t="shared" si="111"/>
        <v/>
      </c>
      <c r="Z760">
        <f t="shared" si="112"/>
        <v>0</v>
      </c>
      <c r="AA760">
        <f t="shared" si="113"/>
        <v>59.833333333335759</v>
      </c>
      <c r="AB760">
        <f t="shared" si="114"/>
        <v>59.833333333335759</v>
      </c>
      <c r="AC760">
        <f>IFERROR(_xlfn.XLOOKUP(B760, HoldSummary!$A:$A, HoldSummary!B:B), 0)</f>
        <v>0</v>
      </c>
      <c r="AD760">
        <f>IFERROR(_xlfn.XLOOKUP(B760, HoldSummary!$A:$A, HoldSummary!C:C), 0)</f>
        <v>0</v>
      </c>
      <c r="AE760">
        <f>IFERROR(_xlfn.XLOOKUP(B760, HoldSummary!$A:$A, HoldSummary!D:D), 0)</f>
        <v>0</v>
      </c>
      <c r="AF760">
        <f>IFERROR(_xlfn.XLOOKUP(B760, HoldSummary!$A:$A, HoldSummary!E:E), 0)</f>
        <v>0</v>
      </c>
      <c r="AG760">
        <f>IFERROR(_xlfn.XLOOKUP(B760, HoldSummary!$A:$A, HoldSummary!F:F), 0)</f>
        <v>0</v>
      </c>
      <c r="AH760">
        <f>IFERROR(_xlfn.XLOOKUP(B760, HoldSummary!$A:$A, HoldSummary!G:G), 0)</f>
        <v>0</v>
      </c>
      <c r="AI760">
        <f>IFERROR(_xlfn.XLOOKUP(B760, HoldSummary!$A:$A, HoldSummary!H:H), 0)</f>
        <v>0</v>
      </c>
      <c r="AJ760">
        <f>IFERROR(_xlfn.XLOOKUP(B760, HoldSummary!$A:$A, HoldSummary!I:I), 0)</f>
        <v>0</v>
      </c>
      <c r="AK760">
        <f t="shared" si="115"/>
        <v>0</v>
      </c>
      <c r="AL760">
        <f t="shared" si="116"/>
        <v>59.833333333335759</v>
      </c>
      <c r="AM760">
        <f t="shared" si="117"/>
        <v>59.833333333335759</v>
      </c>
      <c r="AN760" s="12">
        <f t="shared" si="118"/>
        <v>4.8333333333357587</v>
      </c>
      <c r="AO760">
        <f t="shared" si="119"/>
        <v>0</v>
      </c>
    </row>
    <row r="761" spans="1:41" x14ac:dyDescent="0.35">
      <c r="A761" t="s">
        <v>23</v>
      </c>
      <c r="B761" t="s">
        <v>1692</v>
      </c>
      <c r="C761" t="s">
        <v>43</v>
      </c>
      <c r="D761" t="s">
        <v>44</v>
      </c>
      <c r="E761" t="s">
        <v>45</v>
      </c>
      <c r="F761" t="s">
        <v>1633</v>
      </c>
      <c r="H761" t="s">
        <v>1693</v>
      </c>
      <c r="I761" t="s">
        <v>30</v>
      </c>
      <c r="J761" t="s">
        <v>31</v>
      </c>
      <c r="K761" t="s">
        <v>48</v>
      </c>
      <c r="L761" t="s">
        <v>695</v>
      </c>
      <c r="N761" s="2">
        <v>45392.797615740739</v>
      </c>
      <c r="O761" s="2">
        <v>45412.166666666664</v>
      </c>
      <c r="P761" s="2">
        <v>45412.166666666664</v>
      </c>
      <c r="Q761" s="2">
        <v>45412</v>
      </c>
      <c r="R761" s="2">
        <v>45412.708597673613</v>
      </c>
      <c r="S761" t="s">
        <v>198</v>
      </c>
      <c r="T761" s="2">
        <v>45393.166666666664</v>
      </c>
      <c r="U761" s="2">
        <v>45393.166666666664</v>
      </c>
      <c r="V761" s="2">
        <v>45393.166666666664</v>
      </c>
      <c r="W761" s="2">
        <v>45394.166666666664</v>
      </c>
      <c r="X761" s="3">
        <f t="shared" si="110"/>
        <v>0</v>
      </c>
      <c r="Y761">
        <f t="shared" si="111"/>
        <v>1</v>
      </c>
      <c r="Z761">
        <f t="shared" si="112"/>
        <v>1</v>
      </c>
      <c r="AA761">
        <f t="shared" si="113"/>
        <v>19.202384259260725</v>
      </c>
      <c r="AB761">
        <f t="shared" si="114"/>
        <v>18.202384259260725</v>
      </c>
      <c r="AC761">
        <f>IFERROR(_xlfn.XLOOKUP(B761, HoldSummary!$A:$A, HoldSummary!B:B), 0)</f>
        <v>0</v>
      </c>
      <c r="AD761">
        <f>IFERROR(_xlfn.XLOOKUP(B761, HoldSummary!$A:$A, HoldSummary!C:C), 0)</f>
        <v>0</v>
      </c>
      <c r="AE761">
        <f>IFERROR(_xlfn.XLOOKUP(B761, HoldSummary!$A:$A, HoldSummary!D:D), 0)</f>
        <v>0</v>
      </c>
      <c r="AF761">
        <f>IFERROR(_xlfn.XLOOKUP(B761, HoldSummary!$A:$A, HoldSummary!E:E), 0)</f>
        <v>0</v>
      </c>
      <c r="AG761">
        <f>IFERROR(_xlfn.XLOOKUP(B761, HoldSummary!$A:$A, HoldSummary!F:F), 0)</f>
        <v>0</v>
      </c>
      <c r="AH761">
        <f>IFERROR(_xlfn.XLOOKUP(B761, HoldSummary!$A:$A, HoldSummary!G:G), 0)</f>
        <v>0</v>
      </c>
      <c r="AI761">
        <f>IFERROR(_xlfn.XLOOKUP(B761, HoldSummary!$A:$A, HoldSummary!H:H), 0)</f>
        <v>0</v>
      </c>
      <c r="AJ761">
        <f>IFERROR(_xlfn.XLOOKUP(B761, HoldSummary!$A:$A, HoldSummary!I:I), 0)</f>
        <v>0</v>
      </c>
      <c r="AK761">
        <f t="shared" si="115"/>
        <v>0</v>
      </c>
      <c r="AL761">
        <f t="shared" si="116"/>
        <v>19.202384259260725</v>
      </c>
      <c r="AM761">
        <f t="shared" si="117"/>
        <v>18.202384259260725</v>
      </c>
      <c r="AN761" s="12">
        <f t="shared" si="118"/>
        <v>-0.16666666666424135</v>
      </c>
      <c r="AO761">
        <f t="shared" si="119"/>
        <v>1</v>
      </c>
    </row>
    <row r="762" spans="1:41" x14ac:dyDescent="0.35">
      <c r="A762" t="s">
        <v>23</v>
      </c>
      <c r="B762" t="s">
        <v>1694</v>
      </c>
      <c r="C762" t="s">
        <v>76</v>
      </c>
      <c r="D762" t="s">
        <v>44</v>
      </c>
      <c r="E762" t="s">
        <v>27</v>
      </c>
      <c r="F762" t="s">
        <v>1633</v>
      </c>
      <c r="H762" t="s">
        <v>1695</v>
      </c>
      <c r="I762" t="s">
        <v>30</v>
      </c>
      <c r="J762" t="s">
        <v>31</v>
      </c>
      <c r="K762" t="s">
        <v>48</v>
      </c>
      <c r="L762" t="s">
        <v>49</v>
      </c>
      <c r="M762" t="s">
        <v>81</v>
      </c>
      <c r="N762" s="2">
        <v>45393.473402777781</v>
      </c>
      <c r="O762" s="2">
        <v>45547.166666666664</v>
      </c>
      <c r="P762" s="2">
        <v>45609.208333333336</v>
      </c>
      <c r="Q762" s="2">
        <v>45600</v>
      </c>
      <c r="R762" s="2">
        <v>45600.706009814814</v>
      </c>
      <c r="S762" t="s">
        <v>751</v>
      </c>
      <c r="T762" s="2">
        <v>45407.166666666664</v>
      </c>
      <c r="U762" s="2">
        <v>45462.166666666664</v>
      </c>
      <c r="V762" s="2">
        <v>45462.166666666664</v>
      </c>
      <c r="W762" s="2">
        <v>45587.166666666664</v>
      </c>
      <c r="X762" s="3">
        <f t="shared" si="110"/>
        <v>55</v>
      </c>
      <c r="Y762">
        <f t="shared" si="111"/>
        <v>125</v>
      </c>
      <c r="Z762">
        <f t="shared" si="112"/>
        <v>180</v>
      </c>
      <c r="AA762">
        <f t="shared" si="113"/>
        <v>206.5265972222187</v>
      </c>
      <c r="AB762">
        <f t="shared" si="114"/>
        <v>26.526597222218697</v>
      </c>
      <c r="AC762">
        <f>IFERROR(_xlfn.XLOOKUP(B762, HoldSummary!$A:$A, HoldSummary!B:B), 0)</f>
        <v>0</v>
      </c>
      <c r="AD762">
        <f>IFERROR(_xlfn.XLOOKUP(B762, HoldSummary!$A:$A, HoldSummary!C:C), 0)</f>
        <v>0</v>
      </c>
      <c r="AE762">
        <f>IFERROR(_xlfn.XLOOKUP(B762, HoldSummary!$A:$A, HoldSummary!D:D), 0)</f>
        <v>0</v>
      </c>
      <c r="AF762">
        <f>IFERROR(_xlfn.XLOOKUP(B762, HoldSummary!$A:$A, HoldSummary!E:E), 0)</f>
        <v>0</v>
      </c>
      <c r="AG762">
        <f>IFERROR(_xlfn.XLOOKUP(B762, HoldSummary!$A:$A, HoldSummary!F:F), 0)</f>
        <v>0</v>
      </c>
      <c r="AH762">
        <f>IFERROR(_xlfn.XLOOKUP(B762, HoldSummary!$A:$A, HoldSummary!G:G), 0)</f>
        <v>0</v>
      </c>
      <c r="AI762">
        <f>IFERROR(_xlfn.XLOOKUP(B762, HoldSummary!$A:$A, HoldSummary!H:H), 0)</f>
        <v>0</v>
      </c>
      <c r="AJ762">
        <f>IFERROR(_xlfn.XLOOKUP(B762, HoldSummary!$A:$A, HoldSummary!I:I), 0)</f>
        <v>0</v>
      </c>
      <c r="AK762">
        <f t="shared" si="115"/>
        <v>0</v>
      </c>
      <c r="AL762">
        <f t="shared" si="116"/>
        <v>206.5265972222187</v>
      </c>
      <c r="AM762">
        <f t="shared" si="117"/>
        <v>26.526597222218697</v>
      </c>
      <c r="AN762" s="12">
        <f t="shared" si="118"/>
        <v>52.833333333335759</v>
      </c>
      <c r="AO762">
        <f t="shared" si="119"/>
        <v>0</v>
      </c>
    </row>
    <row r="763" spans="1:41" x14ac:dyDescent="0.35">
      <c r="A763" t="s">
        <v>23</v>
      </c>
      <c r="B763" t="s">
        <v>1696</v>
      </c>
      <c r="C763" t="s">
        <v>43</v>
      </c>
      <c r="D763" t="s">
        <v>44</v>
      </c>
      <c r="E763" t="s">
        <v>45</v>
      </c>
      <c r="F763" t="s">
        <v>1633</v>
      </c>
      <c r="H763" t="s">
        <v>1697</v>
      </c>
      <c r="I763" t="s">
        <v>30</v>
      </c>
      <c r="J763" t="s">
        <v>31</v>
      </c>
      <c r="K763" t="s">
        <v>48</v>
      </c>
      <c r="L763" t="s">
        <v>192</v>
      </c>
      <c r="N763" s="2">
        <v>45406.529548611114</v>
      </c>
      <c r="O763" s="2">
        <v>45446.166666666664</v>
      </c>
      <c r="P763" s="2">
        <v>45446.166666666664</v>
      </c>
      <c r="Q763" s="2">
        <v>45448</v>
      </c>
      <c r="R763" s="2">
        <v>45449.5003496875</v>
      </c>
      <c r="S763" t="s">
        <v>335</v>
      </c>
      <c r="T763" s="2">
        <v>45407.166666666664</v>
      </c>
      <c r="U763" s="2">
        <v>45421.166666666664</v>
      </c>
      <c r="V763" s="2">
        <v>45421.166666666664</v>
      </c>
      <c r="W763" s="2">
        <v>45441.166666666664</v>
      </c>
      <c r="X763" s="3">
        <f t="shared" si="110"/>
        <v>14</v>
      </c>
      <c r="Y763">
        <f t="shared" si="111"/>
        <v>20</v>
      </c>
      <c r="Z763">
        <f t="shared" si="112"/>
        <v>34</v>
      </c>
      <c r="AA763">
        <f t="shared" si="113"/>
        <v>41.470451388886431</v>
      </c>
      <c r="AB763">
        <f t="shared" si="114"/>
        <v>7.4704513888864312</v>
      </c>
      <c r="AC763">
        <f>IFERROR(_xlfn.XLOOKUP(B763, HoldSummary!$A:$A, HoldSummary!B:B), 0)</f>
        <v>0</v>
      </c>
      <c r="AD763">
        <f>IFERROR(_xlfn.XLOOKUP(B763, HoldSummary!$A:$A, HoldSummary!C:C), 0)</f>
        <v>0</v>
      </c>
      <c r="AE763">
        <f>IFERROR(_xlfn.XLOOKUP(B763, HoldSummary!$A:$A, HoldSummary!D:D), 0)</f>
        <v>0</v>
      </c>
      <c r="AF763">
        <f>IFERROR(_xlfn.XLOOKUP(B763, HoldSummary!$A:$A, HoldSummary!E:E), 0)</f>
        <v>0</v>
      </c>
      <c r="AG763">
        <f>IFERROR(_xlfn.XLOOKUP(B763, HoldSummary!$A:$A, HoldSummary!F:F), 0)</f>
        <v>0</v>
      </c>
      <c r="AH763">
        <f>IFERROR(_xlfn.XLOOKUP(B763, HoldSummary!$A:$A, HoldSummary!G:G), 0)</f>
        <v>0</v>
      </c>
      <c r="AI763">
        <f>IFERROR(_xlfn.XLOOKUP(B763, HoldSummary!$A:$A, HoldSummary!H:H), 0)</f>
        <v>0</v>
      </c>
      <c r="AJ763">
        <f>IFERROR(_xlfn.XLOOKUP(B763, HoldSummary!$A:$A, HoldSummary!I:I), 0)</f>
        <v>0</v>
      </c>
      <c r="AK763">
        <f t="shared" si="115"/>
        <v>0</v>
      </c>
      <c r="AL763">
        <f t="shared" si="116"/>
        <v>41.470451388886431</v>
      </c>
      <c r="AM763">
        <f t="shared" si="117"/>
        <v>7.4704513888864312</v>
      </c>
      <c r="AN763" s="12">
        <f t="shared" si="118"/>
        <v>1.8333333333357587</v>
      </c>
      <c r="AO763">
        <f t="shared" si="119"/>
        <v>0</v>
      </c>
    </row>
    <row r="764" spans="1:41" x14ac:dyDescent="0.35">
      <c r="A764" t="s">
        <v>23</v>
      </c>
      <c r="B764" t="s">
        <v>1698</v>
      </c>
      <c r="C764" t="s">
        <v>43</v>
      </c>
      <c r="D764" t="s">
        <v>44</v>
      </c>
      <c r="E764" t="s">
        <v>45</v>
      </c>
      <c r="F764" t="s">
        <v>1633</v>
      </c>
      <c r="H764" t="s">
        <v>1699</v>
      </c>
      <c r="I764" t="s">
        <v>30</v>
      </c>
      <c r="J764" t="s">
        <v>31</v>
      </c>
      <c r="K764" t="s">
        <v>48</v>
      </c>
      <c r="L764" t="s">
        <v>39</v>
      </c>
      <c r="M764" t="s">
        <v>81</v>
      </c>
      <c r="N764" s="2">
        <v>45433.735000000001</v>
      </c>
      <c r="O764" s="2">
        <v>45562.166666666664</v>
      </c>
      <c r="P764" s="2">
        <v>45492.166666666664</v>
      </c>
      <c r="Q764" s="2">
        <v>45490</v>
      </c>
      <c r="R764" s="2">
        <v>45490.861286030093</v>
      </c>
      <c r="T764" s="2">
        <v>45450.166666666664</v>
      </c>
      <c r="U764" s="2">
        <v>45471.166666666664</v>
      </c>
      <c r="V764" s="2">
        <v>45471.166666666664</v>
      </c>
      <c r="W764" s="2">
        <v>45471.166666666664</v>
      </c>
      <c r="X764" s="3">
        <f t="shared" si="110"/>
        <v>21</v>
      </c>
      <c r="Y764">
        <f t="shared" si="111"/>
        <v>0</v>
      </c>
      <c r="Z764">
        <f t="shared" si="112"/>
        <v>21</v>
      </c>
      <c r="AA764">
        <f t="shared" si="113"/>
        <v>56.264999999999418</v>
      </c>
      <c r="AB764">
        <f t="shared" si="114"/>
        <v>35.264999999999418</v>
      </c>
      <c r="AC764">
        <f>IFERROR(_xlfn.XLOOKUP(B764, HoldSummary!$A:$A, HoldSummary!B:B), 0)</f>
        <v>0</v>
      </c>
      <c r="AD764">
        <f>IFERROR(_xlfn.XLOOKUP(B764, HoldSummary!$A:$A, HoldSummary!C:C), 0)</f>
        <v>0</v>
      </c>
      <c r="AE764">
        <f>IFERROR(_xlfn.XLOOKUP(B764, HoldSummary!$A:$A, HoldSummary!D:D), 0)</f>
        <v>0</v>
      </c>
      <c r="AF764">
        <f>IFERROR(_xlfn.XLOOKUP(B764, HoldSummary!$A:$A, HoldSummary!E:E), 0)</f>
        <v>0</v>
      </c>
      <c r="AG764">
        <f>IFERROR(_xlfn.XLOOKUP(B764, HoldSummary!$A:$A, HoldSummary!F:F), 0)</f>
        <v>0</v>
      </c>
      <c r="AH764">
        <f>IFERROR(_xlfn.XLOOKUP(B764, HoldSummary!$A:$A, HoldSummary!G:G), 0)</f>
        <v>0</v>
      </c>
      <c r="AI764">
        <f>IFERROR(_xlfn.XLOOKUP(B764, HoldSummary!$A:$A, HoldSummary!H:H), 0)</f>
        <v>0</v>
      </c>
      <c r="AJ764">
        <f>IFERROR(_xlfn.XLOOKUP(B764, HoldSummary!$A:$A, HoldSummary!I:I), 0)</f>
        <v>0</v>
      </c>
      <c r="AK764">
        <f t="shared" si="115"/>
        <v>0</v>
      </c>
      <c r="AL764">
        <f t="shared" si="116"/>
        <v>56.264999999999418</v>
      </c>
      <c r="AM764">
        <f t="shared" si="117"/>
        <v>35.264999999999418</v>
      </c>
      <c r="AN764" s="12">
        <f t="shared" si="118"/>
        <v>-72.166666666664241</v>
      </c>
      <c r="AO764">
        <f t="shared" si="119"/>
        <v>1</v>
      </c>
    </row>
    <row r="765" spans="1:41" x14ac:dyDescent="0.35">
      <c r="A765" t="s">
        <v>23</v>
      </c>
      <c r="B765" t="s">
        <v>1700</v>
      </c>
      <c r="C765" t="s">
        <v>43</v>
      </c>
      <c r="D765" t="s">
        <v>44</v>
      </c>
      <c r="E765" t="s">
        <v>45</v>
      </c>
      <c r="F765" t="s">
        <v>1633</v>
      </c>
      <c r="H765" t="s">
        <v>1701</v>
      </c>
      <c r="I765" t="s">
        <v>30</v>
      </c>
      <c r="J765" t="s">
        <v>70</v>
      </c>
      <c r="K765" t="s">
        <v>174</v>
      </c>
      <c r="L765" t="s">
        <v>174</v>
      </c>
      <c r="M765" t="s">
        <v>33</v>
      </c>
      <c r="N765" s="2">
        <v>45443.669004629628</v>
      </c>
      <c r="O765" s="2">
        <v>45534.166666666664</v>
      </c>
      <c r="P765" s="2">
        <v>45485.166666666664</v>
      </c>
      <c r="Q765" s="2">
        <v>45483</v>
      </c>
      <c r="R765" s="2">
        <v>45483.583825092595</v>
      </c>
      <c r="S765" t="s">
        <v>215</v>
      </c>
      <c r="T765" s="2"/>
      <c r="U765" s="2"/>
      <c r="V765" s="2"/>
      <c r="W765" s="2"/>
      <c r="X765" s="3" t="str">
        <f t="shared" si="110"/>
        <v/>
      </c>
      <c r="Y765" t="str">
        <f t="shared" si="111"/>
        <v/>
      </c>
      <c r="Z765">
        <f t="shared" si="112"/>
        <v>0</v>
      </c>
      <c r="AA765">
        <f t="shared" si="113"/>
        <v>39.330995370371966</v>
      </c>
      <c r="AB765">
        <f t="shared" si="114"/>
        <v>39.330995370371966</v>
      </c>
      <c r="AC765">
        <f>IFERROR(_xlfn.XLOOKUP(B765, HoldSummary!$A:$A, HoldSummary!B:B), 0)</f>
        <v>0</v>
      </c>
      <c r="AD765">
        <f>IFERROR(_xlfn.XLOOKUP(B765, HoldSummary!$A:$A, HoldSummary!C:C), 0)</f>
        <v>0</v>
      </c>
      <c r="AE765">
        <f>IFERROR(_xlfn.XLOOKUP(B765, HoldSummary!$A:$A, HoldSummary!D:D), 0)</f>
        <v>0</v>
      </c>
      <c r="AF765">
        <f>IFERROR(_xlfn.XLOOKUP(B765, HoldSummary!$A:$A, HoldSummary!E:E), 0)</f>
        <v>0</v>
      </c>
      <c r="AG765">
        <f>IFERROR(_xlfn.XLOOKUP(B765, HoldSummary!$A:$A, HoldSummary!F:F), 0)</f>
        <v>0</v>
      </c>
      <c r="AH765">
        <f>IFERROR(_xlfn.XLOOKUP(B765, HoldSummary!$A:$A, HoldSummary!G:G), 0)</f>
        <v>0</v>
      </c>
      <c r="AI765">
        <f>IFERROR(_xlfn.XLOOKUP(B765, HoldSummary!$A:$A, HoldSummary!H:H), 0)</f>
        <v>0</v>
      </c>
      <c r="AJ765">
        <f>IFERROR(_xlfn.XLOOKUP(B765, HoldSummary!$A:$A, HoldSummary!I:I), 0)</f>
        <v>0</v>
      </c>
      <c r="AK765">
        <f t="shared" si="115"/>
        <v>0</v>
      </c>
      <c r="AL765">
        <f t="shared" si="116"/>
        <v>39.330995370371966</v>
      </c>
      <c r="AM765">
        <f t="shared" si="117"/>
        <v>39.330995370371966</v>
      </c>
      <c r="AN765" s="12">
        <f t="shared" si="118"/>
        <v>-51.166666666664241</v>
      </c>
      <c r="AO765">
        <f t="shared" si="119"/>
        <v>1</v>
      </c>
    </row>
    <row r="766" spans="1:41" x14ac:dyDescent="0.35">
      <c r="A766" t="s">
        <v>23</v>
      </c>
      <c r="B766" t="s">
        <v>1702</v>
      </c>
      <c r="C766" t="s">
        <v>43</v>
      </c>
      <c r="D766" t="s">
        <v>44</v>
      </c>
      <c r="E766" t="s">
        <v>45</v>
      </c>
      <c r="F766" t="s">
        <v>1633</v>
      </c>
      <c r="H766" t="s">
        <v>1703</v>
      </c>
      <c r="I766" t="s">
        <v>30</v>
      </c>
      <c r="J766" t="s">
        <v>31</v>
      </c>
      <c r="K766" t="s">
        <v>48</v>
      </c>
      <c r="L766" t="s">
        <v>192</v>
      </c>
      <c r="M766" t="s">
        <v>33</v>
      </c>
      <c r="N766" s="2">
        <v>45454.460046296299</v>
      </c>
      <c r="O766" s="2">
        <v>45534.166666666664</v>
      </c>
      <c r="P766" s="2">
        <v>45504.166666666664</v>
      </c>
      <c r="Q766" s="2">
        <v>45495</v>
      </c>
      <c r="R766" s="2">
        <v>45496.536105706022</v>
      </c>
      <c r="T766" s="2">
        <v>45461.166666666664</v>
      </c>
      <c r="U766" s="2">
        <v>45468.166666666664</v>
      </c>
      <c r="V766" s="2">
        <v>45468.166666666664</v>
      </c>
      <c r="W766" s="2">
        <v>45474.166666666664</v>
      </c>
      <c r="X766" s="3">
        <f t="shared" si="110"/>
        <v>7</v>
      </c>
      <c r="Y766">
        <f t="shared" si="111"/>
        <v>6</v>
      </c>
      <c r="Z766">
        <f t="shared" si="112"/>
        <v>13</v>
      </c>
      <c r="AA766">
        <f t="shared" si="113"/>
        <v>40.53995370370103</v>
      </c>
      <c r="AB766">
        <f t="shared" si="114"/>
        <v>27.53995370370103</v>
      </c>
      <c r="AC766">
        <f>IFERROR(_xlfn.XLOOKUP(B766, HoldSummary!$A:$A, HoldSummary!B:B), 0)</f>
        <v>0</v>
      </c>
      <c r="AD766">
        <f>IFERROR(_xlfn.XLOOKUP(B766, HoldSummary!$A:$A, HoldSummary!C:C), 0)</f>
        <v>0</v>
      </c>
      <c r="AE766">
        <f>IFERROR(_xlfn.XLOOKUP(B766, HoldSummary!$A:$A, HoldSummary!D:D), 0)</f>
        <v>0</v>
      </c>
      <c r="AF766">
        <f>IFERROR(_xlfn.XLOOKUP(B766, HoldSummary!$A:$A, HoldSummary!E:E), 0)</f>
        <v>0</v>
      </c>
      <c r="AG766">
        <f>IFERROR(_xlfn.XLOOKUP(B766, HoldSummary!$A:$A, HoldSummary!F:F), 0)</f>
        <v>0</v>
      </c>
      <c r="AH766">
        <f>IFERROR(_xlfn.XLOOKUP(B766, HoldSummary!$A:$A, HoldSummary!G:G), 0)</f>
        <v>0</v>
      </c>
      <c r="AI766">
        <f>IFERROR(_xlfn.XLOOKUP(B766, HoldSummary!$A:$A, HoldSummary!H:H), 0)</f>
        <v>0</v>
      </c>
      <c r="AJ766">
        <f>IFERROR(_xlfn.XLOOKUP(B766, HoldSummary!$A:$A, HoldSummary!I:I), 0)</f>
        <v>0</v>
      </c>
      <c r="AK766">
        <f t="shared" si="115"/>
        <v>0</v>
      </c>
      <c r="AL766">
        <f t="shared" si="116"/>
        <v>40.53995370370103</v>
      </c>
      <c r="AM766">
        <f t="shared" si="117"/>
        <v>27.53995370370103</v>
      </c>
      <c r="AN766" s="12">
        <f t="shared" si="118"/>
        <v>-39.166666666664241</v>
      </c>
      <c r="AO766">
        <f t="shared" si="119"/>
        <v>1</v>
      </c>
    </row>
    <row r="767" spans="1:41" x14ac:dyDescent="0.35">
      <c r="A767" t="s">
        <v>23</v>
      </c>
      <c r="B767" t="s">
        <v>1704</v>
      </c>
      <c r="C767" t="s">
        <v>43</v>
      </c>
      <c r="D767" t="s">
        <v>44</v>
      </c>
      <c r="E767" t="s">
        <v>44</v>
      </c>
      <c r="F767" t="s">
        <v>1633</v>
      </c>
      <c r="H767" t="s">
        <v>1705</v>
      </c>
      <c r="I767" t="s">
        <v>30</v>
      </c>
      <c r="J767" t="s">
        <v>31</v>
      </c>
      <c r="K767" t="s">
        <v>48</v>
      </c>
      <c r="L767" t="s">
        <v>192</v>
      </c>
      <c r="M767" t="s">
        <v>81</v>
      </c>
      <c r="N767" s="2">
        <v>45455.166666666664</v>
      </c>
      <c r="O767" s="2">
        <v>45532.166666666664</v>
      </c>
      <c r="P767" s="2">
        <v>45562.166666666664</v>
      </c>
      <c r="Q767" s="2">
        <v>45547</v>
      </c>
      <c r="R767" s="2">
        <v>45547.825199918982</v>
      </c>
      <c r="S767" t="s">
        <v>1706</v>
      </c>
      <c r="T767" s="2">
        <v>45483.166666666664</v>
      </c>
      <c r="U767" s="2">
        <v>45512.166666666664</v>
      </c>
      <c r="V767" s="2">
        <v>45512.166666666664</v>
      </c>
      <c r="W767" s="2">
        <v>45538.166666666664</v>
      </c>
      <c r="X767" s="3">
        <f t="shared" si="110"/>
        <v>29</v>
      </c>
      <c r="Y767">
        <f t="shared" si="111"/>
        <v>26</v>
      </c>
      <c r="Z767">
        <f t="shared" si="112"/>
        <v>55</v>
      </c>
      <c r="AA767">
        <f t="shared" si="113"/>
        <v>91.833333333335759</v>
      </c>
      <c r="AB767">
        <f t="shared" si="114"/>
        <v>36.833333333335759</v>
      </c>
      <c r="AC767">
        <f>IFERROR(_xlfn.XLOOKUP(B767, HoldSummary!$A:$A, HoldSummary!B:B), 0)</f>
        <v>0</v>
      </c>
      <c r="AD767">
        <f>IFERROR(_xlfn.XLOOKUP(B767, HoldSummary!$A:$A, HoldSummary!C:C), 0)</f>
        <v>0</v>
      </c>
      <c r="AE767">
        <f>IFERROR(_xlfn.XLOOKUP(B767, HoldSummary!$A:$A, HoldSummary!D:D), 0)</f>
        <v>0</v>
      </c>
      <c r="AF767">
        <f>IFERROR(_xlfn.XLOOKUP(B767, HoldSummary!$A:$A, HoldSummary!E:E), 0)</f>
        <v>0</v>
      </c>
      <c r="AG767">
        <f>IFERROR(_xlfn.XLOOKUP(B767, HoldSummary!$A:$A, HoldSummary!F:F), 0)</f>
        <v>0</v>
      </c>
      <c r="AH767">
        <f>IFERROR(_xlfn.XLOOKUP(B767, HoldSummary!$A:$A, HoldSummary!G:G), 0)</f>
        <v>0</v>
      </c>
      <c r="AI767">
        <f>IFERROR(_xlfn.XLOOKUP(B767, HoldSummary!$A:$A, HoldSummary!H:H), 0)</f>
        <v>0</v>
      </c>
      <c r="AJ767">
        <f>IFERROR(_xlfn.XLOOKUP(B767, HoldSummary!$A:$A, HoldSummary!I:I), 0)</f>
        <v>0</v>
      </c>
      <c r="AK767">
        <f t="shared" si="115"/>
        <v>0</v>
      </c>
      <c r="AL767">
        <f t="shared" si="116"/>
        <v>91.833333333335759</v>
      </c>
      <c r="AM767">
        <f t="shared" si="117"/>
        <v>36.833333333335759</v>
      </c>
      <c r="AN767" s="12">
        <f t="shared" si="118"/>
        <v>14.833333333335759</v>
      </c>
      <c r="AO767">
        <f t="shared" si="119"/>
        <v>0</v>
      </c>
    </row>
    <row r="768" spans="1:41" x14ac:dyDescent="0.35">
      <c r="A768" t="s">
        <v>23</v>
      </c>
      <c r="B768" t="s">
        <v>1707</v>
      </c>
      <c r="C768" t="s">
        <v>130</v>
      </c>
      <c r="D768" t="s">
        <v>44</v>
      </c>
      <c r="E768" t="s">
        <v>45</v>
      </c>
      <c r="F768" t="s">
        <v>1633</v>
      </c>
      <c r="H768" t="s">
        <v>1708</v>
      </c>
      <c r="I768" t="s">
        <v>30</v>
      </c>
      <c r="J768" t="s">
        <v>31</v>
      </c>
      <c r="K768" t="s">
        <v>48</v>
      </c>
      <c r="L768" t="s">
        <v>192</v>
      </c>
      <c r="M768" t="s">
        <v>33</v>
      </c>
      <c r="N768" s="2">
        <v>45482.684108796297</v>
      </c>
      <c r="O768" s="2">
        <v>45533.166666666664</v>
      </c>
      <c r="P768" s="2">
        <v>45533.166666666664</v>
      </c>
      <c r="Q768" s="2">
        <v>45511</v>
      </c>
      <c r="R768" s="2">
        <v>45511.623321284722</v>
      </c>
      <c r="S768" t="s">
        <v>1709</v>
      </c>
      <c r="T768" s="2"/>
      <c r="U768" s="2"/>
      <c r="V768" s="2"/>
      <c r="W768" s="2"/>
      <c r="X768" s="3" t="str">
        <f t="shared" si="110"/>
        <v/>
      </c>
      <c r="Y768" t="str">
        <f t="shared" si="111"/>
        <v/>
      </c>
      <c r="Z768">
        <f t="shared" si="112"/>
        <v>0</v>
      </c>
      <c r="AA768">
        <f t="shared" si="113"/>
        <v>28.315891203703359</v>
      </c>
      <c r="AB768">
        <f t="shared" si="114"/>
        <v>28.315891203703359</v>
      </c>
      <c r="AC768">
        <f>IFERROR(_xlfn.XLOOKUP(B768, HoldSummary!$A:$A, HoldSummary!B:B), 0)</f>
        <v>0</v>
      </c>
      <c r="AD768">
        <f>IFERROR(_xlfn.XLOOKUP(B768, HoldSummary!$A:$A, HoldSummary!C:C), 0)</f>
        <v>0</v>
      </c>
      <c r="AE768">
        <f>IFERROR(_xlfn.XLOOKUP(B768, HoldSummary!$A:$A, HoldSummary!D:D), 0)</f>
        <v>0</v>
      </c>
      <c r="AF768">
        <f>IFERROR(_xlfn.XLOOKUP(B768, HoldSummary!$A:$A, HoldSummary!E:E), 0)</f>
        <v>0</v>
      </c>
      <c r="AG768">
        <f>IFERROR(_xlfn.XLOOKUP(B768, HoldSummary!$A:$A, HoldSummary!F:F), 0)</f>
        <v>0</v>
      </c>
      <c r="AH768">
        <f>IFERROR(_xlfn.XLOOKUP(B768, HoldSummary!$A:$A, HoldSummary!G:G), 0)</f>
        <v>0</v>
      </c>
      <c r="AI768">
        <f>IFERROR(_xlfn.XLOOKUP(B768, HoldSummary!$A:$A, HoldSummary!H:H), 0)</f>
        <v>0</v>
      </c>
      <c r="AJ768">
        <f>IFERROR(_xlfn.XLOOKUP(B768, HoldSummary!$A:$A, HoldSummary!I:I), 0)</f>
        <v>0</v>
      </c>
      <c r="AK768">
        <f t="shared" si="115"/>
        <v>0</v>
      </c>
      <c r="AL768">
        <f t="shared" si="116"/>
        <v>28.315891203703359</v>
      </c>
      <c r="AM768">
        <f t="shared" si="117"/>
        <v>28.315891203703359</v>
      </c>
      <c r="AN768" s="12">
        <f t="shared" si="118"/>
        <v>-22.166666666664241</v>
      </c>
      <c r="AO768">
        <f t="shared" si="119"/>
        <v>1</v>
      </c>
    </row>
    <row r="769" spans="1:41" x14ac:dyDescent="0.35">
      <c r="A769" t="s">
        <v>23</v>
      </c>
      <c r="B769" t="s">
        <v>1710</v>
      </c>
      <c r="C769" t="s">
        <v>461</v>
      </c>
      <c r="D769" t="s">
        <v>44</v>
      </c>
      <c r="E769" t="s">
        <v>44</v>
      </c>
      <c r="F769" t="s">
        <v>1633</v>
      </c>
      <c r="H769" t="s">
        <v>1711</v>
      </c>
      <c r="I769" t="s">
        <v>30</v>
      </c>
      <c r="J769" t="s">
        <v>70</v>
      </c>
      <c r="K769" t="s">
        <v>48</v>
      </c>
      <c r="L769" t="s">
        <v>49</v>
      </c>
      <c r="M769" t="s">
        <v>33</v>
      </c>
      <c r="N769" s="2">
        <v>45574.166666666664</v>
      </c>
      <c r="O769" s="2">
        <v>45604.208333333336</v>
      </c>
      <c r="P769" s="2">
        <v>45604.208333333336</v>
      </c>
      <c r="Q769" s="2">
        <v>45617</v>
      </c>
      <c r="R769" s="2">
        <v>45617.771829884259</v>
      </c>
      <c r="S769" t="s">
        <v>1712</v>
      </c>
      <c r="T769" s="2"/>
      <c r="U769" s="2"/>
      <c r="V769" s="2"/>
      <c r="W769" s="2"/>
      <c r="X769" s="3" t="str">
        <f t="shared" si="110"/>
        <v/>
      </c>
      <c r="Y769" t="str">
        <f t="shared" si="111"/>
        <v/>
      </c>
      <c r="Z769">
        <f t="shared" si="112"/>
        <v>0</v>
      </c>
      <c r="AA769">
        <f t="shared" si="113"/>
        <v>42.833333333335759</v>
      </c>
      <c r="AB769">
        <f t="shared" si="114"/>
        <v>42.833333333335759</v>
      </c>
      <c r="AC769">
        <f>IFERROR(_xlfn.XLOOKUP(B769, HoldSummary!$A:$A, HoldSummary!B:B), 0)</f>
        <v>0</v>
      </c>
      <c r="AD769">
        <f>IFERROR(_xlfn.XLOOKUP(B769, HoldSummary!$A:$A, HoldSummary!C:C), 0)</f>
        <v>0</v>
      </c>
      <c r="AE769">
        <f>IFERROR(_xlfn.XLOOKUP(B769, HoldSummary!$A:$A, HoldSummary!D:D), 0)</f>
        <v>0</v>
      </c>
      <c r="AF769">
        <f>IFERROR(_xlfn.XLOOKUP(B769, HoldSummary!$A:$A, HoldSummary!E:E), 0)</f>
        <v>0</v>
      </c>
      <c r="AG769">
        <f>IFERROR(_xlfn.XLOOKUP(B769, HoldSummary!$A:$A, HoldSummary!F:F), 0)</f>
        <v>0</v>
      </c>
      <c r="AH769">
        <f>IFERROR(_xlfn.XLOOKUP(B769, HoldSummary!$A:$A, HoldSummary!G:G), 0)</f>
        <v>0</v>
      </c>
      <c r="AI769">
        <f>IFERROR(_xlfn.XLOOKUP(B769, HoldSummary!$A:$A, HoldSummary!H:H), 0)</f>
        <v>0</v>
      </c>
      <c r="AJ769">
        <f>IFERROR(_xlfn.XLOOKUP(B769, HoldSummary!$A:$A, HoldSummary!I:I), 0)</f>
        <v>0</v>
      </c>
      <c r="AK769">
        <f t="shared" si="115"/>
        <v>0</v>
      </c>
      <c r="AL769">
        <f t="shared" si="116"/>
        <v>42.833333333335759</v>
      </c>
      <c r="AM769">
        <f t="shared" si="117"/>
        <v>42.833333333335759</v>
      </c>
      <c r="AN769" s="12">
        <f t="shared" si="118"/>
        <v>12.791666666664241</v>
      </c>
      <c r="AO769">
        <f t="shared" si="119"/>
        <v>0</v>
      </c>
    </row>
    <row r="770" spans="1:41" x14ac:dyDescent="0.35">
      <c r="A770" t="s">
        <v>23</v>
      </c>
      <c r="B770" t="s">
        <v>1713</v>
      </c>
      <c r="C770" t="s">
        <v>36</v>
      </c>
      <c r="D770" t="s">
        <v>44</v>
      </c>
      <c r="E770" t="s">
        <v>45</v>
      </c>
      <c r="F770" t="s">
        <v>1633</v>
      </c>
      <c r="H770" t="s">
        <v>1714</v>
      </c>
      <c r="I770" t="s">
        <v>30</v>
      </c>
      <c r="J770" t="s">
        <v>31</v>
      </c>
      <c r="K770" t="s">
        <v>48</v>
      </c>
      <c r="L770" t="s">
        <v>39</v>
      </c>
      <c r="N770" s="2">
        <v>45630.786030092589</v>
      </c>
      <c r="O770" s="2">
        <v>45649.208333333336</v>
      </c>
      <c r="P770" s="2">
        <v>45649.208333333336</v>
      </c>
      <c r="Q770" s="2">
        <v>45642</v>
      </c>
      <c r="R770" s="2">
        <v>45642.77145821759</v>
      </c>
      <c r="T770" s="2"/>
      <c r="U770" s="2"/>
      <c r="V770" s="2"/>
      <c r="W770" s="2"/>
      <c r="X770" s="3" t="str">
        <f t="shared" si="110"/>
        <v/>
      </c>
      <c r="Y770" t="str">
        <f t="shared" si="111"/>
        <v/>
      </c>
      <c r="Z770">
        <f t="shared" si="112"/>
        <v>0</v>
      </c>
      <c r="AA770">
        <f t="shared" si="113"/>
        <v>11.213969907410501</v>
      </c>
      <c r="AB770">
        <f t="shared" si="114"/>
        <v>11.213969907410501</v>
      </c>
      <c r="AC770">
        <f>IFERROR(_xlfn.XLOOKUP(B770, HoldSummary!$A:$A, HoldSummary!B:B), 0)</f>
        <v>0</v>
      </c>
      <c r="AD770">
        <f>IFERROR(_xlfn.XLOOKUP(B770, HoldSummary!$A:$A, HoldSummary!C:C), 0)</f>
        <v>0</v>
      </c>
      <c r="AE770">
        <f>IFERROR(_xlfn.XLOOKUP(B770, HoldSummary!$A:$A, HoldSummary!D:D), 0)</f>
        <v>0</v>
      </c>
      <c r="AF770">
        <f>IFERROR(_xlfn.XLOOKUP(B770, HoldSummary!$A:$A, HoldSummary!E:E), 0)</f>
        <v>0</v>
      </c>
      <c r="AG770">
        <f>IFERROR(_xlfn.XLOOKUP(B770, HoldSummary!$A:$A, HoldSummary!F:F), 0)</f>
        <v>0</v>
      </c>
      <c r="AH770">
        <f>IFERROR(_xlfn.XLOOKUP(B770, HoldSummary!$A:$A, HoldSummary!G:G), 0)</f>
        <v>0</v>
      </c>
      <c r="AI770">
        <f>IFERROR(_xlfn.XLOOKUP(B770, HoldSummary!$A:$A, HoldSummary!H:H), 0)</f>
        <v>0</v>
      </c>
      <c r="AJ770">
        <f>IFERROR(_xlfn.XLOOKUP(B770, HoldSummary!$A:$A, HoldSummary!I:I), 0)</f>
        <v>0</v>
      </c>
      <c r="AK770">
        <f t="shared" si="115"/>
        <v>0</v>
      </c>
      <c r="AL770">
        <f t="shared" si="116"/>
        <v>11.213969907410501</v>
      </c>
      <c r="AM770">
        <f t="shared" si="117"/>
        <v>11.213969907410501</v>
      </c>
      <c r="AN770" s="12">
        <f t="shared" si="118"/>
        <v>-7.2083333333357587</v>
      </c>
      <c r="AO770">
        <f t="shared" si="119"/>
        <v>1</v>
      </c>
    </row>
    <row r="771" spans="1:41" x14ac:dyDescent="0.35">
      <c r="A771" t="s">
        <v>23</v>
      </c>
      <c r="B771" t="s">
        <v>1715</v>
      </c>
      <c r="C771" t="s">
        <v>113</v>
      </c>
      <c r="D771" t="s">
        <v>44</v>
      </c>
      <c r="E771" t="s">
        <v>45</v>
      </c>
      <c r="F771" t="s">
        <v>1716</v>
      </c>
      <c r="G771">
        <v>6</v>
      </c>
      <c r="H771" t="s">
        <v>1717</v>
      </c>
      <c r="I771" t="s">
        <v>30</v>
      </c>
      <c r="J771" t="s">
        <v>31</v>
      </c>
      <c r="K771" t="s">
        <v>38</v>
      </c>
      <c r="L771" t="s">
        <v>39</v>
      </c>
      <c r="N771" s="2">
        <v>45278.709641203706</v>
      </c>
      <c r="O771" s="2">
        <v>45427.166666666664</v>
      </c>
      <c r="P771" s="2">
        <v>45511.166666666664</v>
      </c>
      <c r="Q771" s="2">
        <v>45499</v>
      </c>
      <c r="R771" s="2">
        <v>45499.621310671297</v>
      </c>
      <c r="S771" t="s">
        <v>215</v>
      </c>
      <c r="T771" s="2">
        <v>45371.166666666664</v>
      </c>
      <c r="U771" s="2">
        <v>45464.166666666664</v>
      </c>
      <c r="V771" s="2">
        <v>45464.166666666664</v>
      </c>
      <c r="W771" s="2">
        <v>45470.166666666664</v>
      </c>
      <c r="X771" s="3">
        <f t="shared" ref="X771:X834" si="120">IF(OR(ISBLANK(T771), ISBLANK(U771)), "", U771 - T771)</f>
        <v>93</v>
      </c>
      <c r="Y771">
        <f t="shared" ref="Y771:Y834" si="121">IF(OR(ISBLANK(V771), ISBLANK(W771)), "", W771 - V771)</f>
        <v>6</v>
      </c>
      <c r="Z771">
        <f t="shared" ref="Z771:Z834" si="122">N(X771) + N(Y771)</f>
        <v>99</v>
      </c>
      <c r="AA771">
        <f t="shared" ref="AA771:AA834" si="123">IF(OR(ISBLANK(N771), ISBLANK(Q771)), "", Q771 - N771)</f>
        <v>220.29035879629373</v>
      </c>
      <c r="AB771">
        <f t="shared" ref="AB771:AB834" si="124">IF(AA771="", "", AA771 - Z771)</f>
        <v>121.29035879629373</v>
      </c>
      <c r="AC771">
        <f>IFERROR(_xlfn.XLOOKUP(B771, HoldSummary!$A:$A, HoldSummary!B:B), 0)</f>
        <v>0</v>
      </c>
      <c r="AD771">
        <f>IFERROR(_xlfn.XLOOKUP(B771, HoldSummary!$A:$A, HoldSummary!C:C), 0)</f>
        <v>0</v>
      </c>
      <c r="AE771">
        <f>IFERROR(_xlfn.XLOOKUP(B771, HoldSummary!$A:$A, HoldSummary!D:D), 0)</f>
        <v>0</v>
      </c>
      <c r="AF771">
        <f>IFERROR(_xlfn.XLOOKUP(B771, HoldSummary!$A:$A, HoldSummary!E:E), 0)</f>
        <v>0</v>
      </c>
      <c r="AG771">
        <f>IFERROR(_xlfn.XLOOKUP(B771, HoldSummary!$A:$A, HoldSummary!F:F), 0)</f>
        <v>0</v>
      </c>
      <c r="AH771">
        <f>IFERROR(_xlfn.XLOOKUP(B771, HoldSummary!$A:$A, HoldSummary!G:G), 0)</f>
        <v>24</v>
      </c>
      <c r="AI771">
        <f>IFERROR(_xlfn.XLOOKUP(B771, HoldSummary!$A:$A, HoldSummary!H:H), 0)</f>
        <v>0</v>
      </c>
      <c r="AJ771">
        <f>IFERROR(_xlfn.XLOOKUP(B771, HoldSummary!$A:$A, HoldSummary!I:I), 0)</f>
        <v>0</v>
      </c>
      <c r="AK771">
        <f t="shared" ref="AK771:AK834" si="125">SUM(AC771:AJ771)</f>
        <v>24</v>
      </c>
      <c r="AL771">
        <f t="shared" ref="AL771:AL834" si="126">IF(AA771="", "", AA771 - AK771)</f>
        <v>196.29035879629373</v>
      </c>
      <c r="AM771">
        <f t="shared" ref="AM771:AM834" si="127">IF(OR(AK771="", AB771=""), "", AB771 - AK771)</f>
        <v>97.290358796293731</v>
      </c>
      <c r="AN771" s="12">
        <f t="shared" ref="AN771:AN834" si="128">Q771-O771</f>
        <v>71.833333333335759</v>
      </c>
      <c r="AO771">
        <f t="shared" ref="AO771:AO834" si="129">IF(OR(ISBLANK(O771), ISBLANK(Q771)), 1, IF(AN771&lt;=0,1,0))</f>
        <v>0</v>
      </c>
    </row>
    <row r="772" spans="1:41" x14ac:dyDescent="0.35">
      <c r="A772" t="s">
        <v>23</v>
      </c>
      <c r="B772" t="s">
        <v>1718</v>
      </c>
      <c r="C772" t="s">
        <v>36</v>
      </c>
      <c r="D772" t="s">
        <v>44</v>
      </c>
      <c r="E772" t="s">
        <v>45</v>
      </c>
      <c r="F772" t="s">
        <v>1719</v>
      </c>
      <c r="G772">
        <v>2</v>
      </c>
      <c r="H772" t="s">
        <v>1720</v>
      </c>
      <c r="I772" t="s">
        <v>30</v>
      </c>
      <c r="J772" t="s">
        <v>31</v>
      </c>
      <c r="K772" t="s">
        <v>38</v>
      </c>
      <c r="L772" t="s">
        <v>39</v>
      </c>
      <c r="N772" s="2">
        <v>45610.601898148147</v>
      </c>
      <c r="O772" s="2"/>
      <c r="P772" s="2"/>
      <c r="Q772" s="2">
        <v>45645</v>
      </c>
      <c r="R772" s="2">
        <v>45646.60815871528</v>
      </c>
      <c r="T772" s="2"/>
      <c r="U772" s="2"/>
      <c r="V772" s="2"/>
      <c r="W772" s="2"/>
      <c r="X772" s="3" t="str">
        <f t="shared" si="120"/>
        <v/>
      </c>
      <c r="Y772" t="str">
        <f t="shared" si="121"/>
        <v/>
      </c>
      <c r="Z772">
        <f t="shared" si="122"/>
        <v>0</v>
      </c>
      <c r="AA772">
        <f t="shared" si="123"/>
        <v>34.398101851853426</v>
      </c>
      <c r="AB772">
        <f t="shared" si="124"/>
        <v>34.398101851853426</v>
      </c>
      <c r="AC772">
        <f>IFERROR(_xlfn.XLOOKUP(B772, HoldSummary!$A:$A, HoldSummary!B:B), 0)</f>
        <v>0</v>
      </c>
      <c r="AD772">
        <f>IFERROR(_xlfn.XLOOKUP(B772, HoldSummary!$A:$A, HoldSummary!C:C), 0)</f>
        <v>0</v>
      </c>
      <c r="AE772">
        <f>IFERROR(_xlfn.XLOOKUP(B772, HoldSummary!$A:$A, HoldSummary!D:D), 0)</f>
        <v>0</v>
      </c>
      <c r="AF772">
        <f>IFERROR(_xlfn.XLOOKUP(B772, HoldSummary!$A:$A, HoldSummary!E:E), 0)</f>
        <v>0</v>
      </c>
      <c r="AG772">
        <f>IFERROR(_xlfn.XLOOKUP(B772, HoldSummary!$A:$A, HoldSummary!F:F), 0)</f>
        <v>0</v>
      </c>
      <c r="AH772">
        <f>IFERROR(_xlfn.XLOOKUP(B772, HoldSummary!$A:$A, HoldSummary!G:G), 0)</f>
        <v>0</v>
      </c>
      <c r="AI772">
        <f>IFERROR(_xlfn.XLOOKUP(B772, HoldSummary!$A:$A, HoldSummary!H:H), 0)</f>
        <v>0</v>
      </c>
      <c r="AJ772">
        <f>IFERROR(_xlfn.XLOOKUP(B772, HoldSummary!$A:$A, HoldSummary!I:I), 0)</f>
        <v>0</v>
      </c>
      <c r="AK772">
        <f t="shared" si="125"/>
        <v>0</v>
      </c>
      <c r="AL772">
        <f t="shared" si="126"/>
        <v>34.398101851853426</v>
      </c>
      <c r="AM772">
        <f t="shared" si="127"/>
        <v>34.398101851853426</v>
      </c>
      <c r="AN772" s="12">
        <f t="shared" si="128"/>
        <v>45645</v>
      </c>
      <c r="AO772">
        <f t="shared" si="129"/>
        <v>1</v>
      </c>
    </row>
    <row r="773" spans="1:41" x14ac:dyDescent="0.35">
      <c r="A773" t="s">
        <v>23</v>
      </c>
      <c r="B773" t="s">
        <v>1721</v>
      </c>
      <c r="C773" t="s">
        <v>43</v>
      </c>
      <c r="D773" t="s">
        <v>44</v>
      </c>
      <c r="E773" t="s">
        <v>44</v>
      </c>
      <c r="F773" t="s">
        <v>1719</v>
      </c>
      <c r="H773" t="s">
        <v>1722</v>
      </c>
      <c r="I773" t="s">
        <v>30</v>
      </c>
      <c r="J773" t="s">
        <v>70</v>
      </c>
      <c r="K773" t="s">
        <v>48</v>
      </c>
      <c r="L773" t="s">
        <v>49</v>
      </c>
      <c r="N773" s="2">
        <v>44767.166666666664</v>
      </c>
      <c r="O773" s="2"/>
      <c r="P773" s="2"/>
      <c r="Q773" s="2">
        <v>45362</v>
      </c>
      <c r="R773" s="2">
        <v>45362.630045324076</v>
      </c>
      <c r="S773" t="s">
        <v>1492</v>
      </c>
      <c r="T773" s="2"/>
      <c r="U773" s="2"/>
      <c r="V773" s="2"/>
      <c r="W773" s="2"/>
      <c r="X773" s="3" t="str">
        <f t="shared" si="120"/>
        <v/>
      </c>
      <c r="Y773" t="str">
        <f t="shared" si="121"/>
        <v/>
      </c>
      <c r="Z773">
        <f t="shared" si="122"/>
        <v>0</v>
      </c>
      <c r="AA773">
        <f t="shared" si="123"/>
        <v>594.83333333333576</v>
      </c>
      <c r="AB773">
        <f t="shared" si="124"/>
        <v>594.83333333333576</v>
      </c>
      <c r="AC773">
        <f>IFERROR(_xlfn.XLOOKUP(B773, HoldSummary!$A:$A, HoldSummary!B:B), 0)</f>
        <v>0</v>
      </c>
      <c r="AD773">
        <f>IFERROR(_xlfn.XLOOKUP(B773, HoldSummary!$A:$A, HoldSummary!C:C), 0)</f>
        <v>0</v>
      </c>
      <c r="AE773">
        <f>IFERROR(_xlfn.XLOOKUP(B773, HoldSummary!$A:$A, HoldSummary!D:D), 0)</f>
        <v>0</v>
      </c>
      <c r="AF773">
        <f>IFERROR(_xlfn.XLOOKUP(B773, HoldSummary!$A:$A, HoldSummary!E:E), 0)</f>
        <v>0</v>
      </c>
      <c r="AG773">
        <f>IFERROR(_xlfn.XLOOKUP(B773, HoldSummary!$A:$A, HoldSummary!F:F), 0)</f>
        <v>0</v>
      </c>
      <c r="AH773">
        <f>IFERROR(_xlfn.XLOOKUP(B773, HoldSummary!$A:$A, HoldSummary!G:G), 0)</f>
        <v>0</v>
      </c>
      <c r="AI773">
        <f>IFERROR(_xlfn.XLOOKUP(B773, HoldSummary!$A:$A, HoldSummary!H:H), 0)</f>
        <v>0</v>
      </c>
      <c r="AJ773">
        <f>IFERROR(_xlfn.XLOOKUP(B773, HoldSummary!$A:$A, HoldSummary!I:I), 0)</f>
        <v>0</v>
      </c>
      <c r="AK773">
        <f t="shared" si="125"/>
        <v>0</v>
      </c>
      <c r="AL773">
        <f t="shared" si="126"/>
        <v>594.83333333333576</v>
      </c>
      <c r="AM773">
        <f t="shared" si="127"/>
        <v>594.83333333333576</v>
      </c>
      <c r="AN773" s="12">
        <f t="shared" si="128"/>
        <v>45362</v>
      </c>
      <c r="AO773">
        <f t="shared" si="129"/>
        <v>1</v>
      </c>
    </row>
    <row r="774" spans="1:41" x14ac:dyDescent="0.35">
      <c r="A774" t="s">
        <v>23</v>
      </c>
      <c r="B774" t="s">
        <v>1723</v>
      </c>
      <c r="C774" t="s">
        <v>43</v>
      </c>
      <c r="D774" t="s">
        <v>44</v>
      </c>
      <c r="E774" t="s">
        <v>45</v>
      </c>
      <c r="F774" t="s">
        <v>1719</v>
      </c>
      <c r="H774" t="s">
        <v>1724</v>
      </c>
      <c r="I774" t="s">
        <v>30</v>
      </c>
      <c r="J774" t="s">
        <v>70</v>
      </c>
      <c r="K774" t="s">
        <v>48</v>
      </c>
      <c r="L774" t="s">
        <v>49</v>
      </c>
      <c r="N774" s="2">
        <v>44882.500706018516</v>
      </c>
      <c r="O774" s="2">
        <v>44895.208333333336</v>
      </c>
      <c r="P774" s="2"/>
      <c r="Q774" s="2">
        <v>45327</v>
      </c>
      <c r="R774" s="2">
        <v>45327.853693599536</v>
      </c>
      <c r="T774" s="2"/>
      <c r="U774" s="2"/>
      <c r="V774" s="2"/>
      <c r="W774" s="2"/>
      <c r="X774" s="3" t="str">
        <f t="shared" si="120"/>
        <v/>
      </c>
      <c r="Y774" t="str">
        <f t="shared" si="121"/>
        <v/>
      </c>
      <c r="Z774">
        <f t="shared" si="122"/>
        <v>0</v>
      </c>
      <c r="AA774">
        <f t="shared" si="123"/>
        <v>444.49929398148379</v>
      </c>
      <c r="AB774">
        <f t="shared" si="124"/>
        <v>444.49929398148379</v>
      </c>
      <c r="AC774">
        <f>IFERROR(_xlfn.XLOOKUP(B774, HoldSummary!$A:$A, HoldSummary!B:B), 0)</f>
        <v>0</v>
      </c>
      <c r="AD774">
        <f>IFERROR(_xlfn.XLOOKUP(B774, HoldSummary!$A:$A, HoldSummary!C:C), 0)</f>
        <v>0</v>
      </c>
      <c r="AE774">
        <f>IFERROR(_xlfn.XLOOKUP(B774, HoldSummary!$A:$A, HoldSummary!D:D), 0)</f>
        <v>0</v>
      </c>
      <c r="AF774">
        <f>IFERROR(_xlfn.XLOOKUP(B774, HoldSummary!$A:$A, HoldSummary!E:E), 0)</f>
        <v>0</v>
      </c>
      <c r="AG774">
        <f>IFERROR(_xlfn.XLOOKUP(B774, HoldSummary!$A:$A, HoldSummary!F:F), 0)</f>
        <v>0</v>
      </c>
      <c r="AH774">
        <f>IFERROR(_xlfn.XLOOKUP(B774, HoldSummary!$A:$A, HoldSummary!G:G), 0)</f>
        <v>0</v>
      </c>
      <c r="AI774">
        <f>IFERROR(_xlfn.XLOOKUP(B774, HoldSummary!$A:$A, HoldSummary!H:H), 0)</f>
        <v>0</v>
      </c>
      <c r="AJ774">
        <f>IFERROR(_xlfn.XLOOKUP(B774, HoldSummary!$A:$A, HoldSummary!I:I), 0)</f>
        <v>0</v>
      </c>
      <c r="AK774">
        <f t="shared" si="125"/>
        <v>0</v>
      </c>
      <c r="AL774">
        <f t="shared" si="126"/>
        <v>444.49929398148379</v>
      </c>
      <c r="AM774">
        <f t="shared" si="127"/>
        <v>444.49929398148379</v>
      </c>
      <c r="AN774" s="12">
        <f t="shared" si="128"/>
        <v>431.79166666666424</v>
      </c>
      <c r="AO774">
        <f t="shared" si="129"/>
        <v>0</v>
      </c>
    </row>
    <row r="775" spans="1:41" x14ac:dyDescent="0.35">
      <c r="A775" t="s">
        <v>23</v>
      </c>
      <c r="B775" t="s">
        <v>1725</v>
      </c>
      <c r="C775" t="s">
        <v>43</v>
      </c>
      <c r="D775" t="s">
        <v>44</v>
      </c>
      <c r="E775" t="s">
        <v>45</v>
      </c>
      <c r="F775" t="s">
        <v>1719</v>
      </c>
      <c r="H775" t="s">
        <v>1726</v>
      </c>
      <c r="I775" t="s">
        <v>30</v>
      </c>
      <c r="J775" t="s">
        <v>31</v>
      </c>
      <c r="K775" t="s">
        <v>38</v>
      </c>
      <c r="L775" t="s">
        <v>53</v>
      </c>
      <c r="N775" s="2">
        <v>45164.335069444445</v>
      </c>
      <c r="O775" s="2"/>
      <c r="P775" s="2"/>
      <c r="Q775" s="2">
        <v>45356</v>
      </c>
      <c r="R775" s="2">
        <v>45356.66246428241</v>
      </c>
      <c r="S775" t="s">
        <v>1727</v>
      </c>
      <c r="T775" s="2"/>
      <c r="U775" s="2"/>
      <c r="V775" s="2"/>
      <c r="W775" s="2"/>
      <c r="X775" s="3" t="str">
        <f t="shared" si="120"/>
        <v/>
      </c>
      <c r="Y775" t="str">
        <f t="shared" si="121"/>
        <v/>
      </c>
      <c r="Z775">
        <f t="shared" si="122"/>
        <v>0</v>
      </c>
      <c r="AA775">
        <f t="shared" si="123"/>
        <v>191.66493055555475</v>
      </c>
      <c r="AB775">
        <f t="shared" si="124"/>
        <v>191.66493055555475</v>
      </c>
      <c r="AC775">
        <f>IFERROR(_xlfn.XLOOKUP(B775, HoldSummary!$A:$A, HoldSummary!B:B), 0)</f>
        <v>0</v>
      </c>
      <c r="AD775">
        <f>IFERROR(_xlfn.XLOOKUP(B775, HoldSummary!$A:$A, HoldSummary!C:C), 0)</f>
        <v>0</v>
      </c>
      <c r="AE775">
        <f>IFERROR(_xlfn.XLOOKUP(B775, HoldSummary!$A:$A, HoldSummary!D:D), 0)</f>
        <v>0</v>
      </c>
      <c r="AF775">
        <f>IFERROR(_xlfn.XLOOKUP(B775, HoldSummary!$A:$A, HoldSummary!E:E), 0)</f>
        <v>0</v>
      </c>
      <c r="AG775">
        <f>IFERROR(_xlfn.XLOOKUP(B775, HoldSummary!$A:$A, HoldSummary!F:F), 0)</f>
        <v>0</v>
      </c>
      <c r="AH775">
        <f>IFERROR(_xlfn.XLOOKUP(B775, HoldSummary!$A:$A, HoldSummary!G:G), 0)</f>
        <v>0</v>
      </c>
      <c r="AI775">
        <f>IFERROR(_xlfn.XLOOKUP(B775, HoldSummary!$A:$A, HoldSummary!H:H), 0)</f>
        <v>0</v>
      </c>
      <c r="AJ775">
        <f>IFERROR(_xlfn.XLOOKUP(B775, HoldSummary!$A:$A, HoldSummary!I:I), 0)</f>
        <v>0</v>
      </c>
      <c r="AK775">
        <f t="shared" si="125"/>
        <v>0</v>
      </c>
      <c r="AL775">
        <f t="shared" si="126"/>
        <v>191.66493055555475</v>
      </c>
      <c r="AM775">
        <f t="shared" si="127"/>
        <v>191.66493055555475</v>
      </c>
      <c r="AN775" s="12">
        <f t="shared" si="128"/>
        <v>45356</v>
      </c>
      <c r="AO775">
        <f t="shared" si="129"/>
        <v>1</v>
      </c>
    </row>
    <row r="776" spans="1:41" x14ac:dyDescent="0.35">
      <c r="A776" t="s">
        <v>23</v>
      </c>
      <c r="B776" t="s">
        <v>1728</v>
      </c>
      <c r="C776" t="s">
        <v>43</v>
      </c>
      <c r="D776" t="s">
        <v>44</v>
      </c>
      <c r="E776" t="s">
        <v>44</v>
      </c>
      <c r="F776" t="s">
        <v>1719</v>
      </c>
      <c r="H776" t="s">
        <v>1729</v>
      </c>
      <c r="I776" t="s">
        <v>30</v>
      </c>
      <c r="J776" t="s">
        <v>70</v>
      </c>
      <c r="K776" t="s">
        <v>48</v>
      </c>
      <c r="L776" t="s">
        <v>49</v>
      </c>
      <c r="N776" s="2">
        <v>45174.166666666664</v>
      </c>
      <c r="O776" s="2"/>
      <c r="P776" s="2"/>
      <c r="Q776" s="2">
        <v>45502</v>
      </c>
      <c r="R776" s="2">
        <v>45503.481763194446</v>
      </c>
      <c r="S776" t="s">
        <v>1730</v>
      </c>
      <c r="T776" s="2"/>
      <c r="U776" s="2"/>
      <c r="V776" s="2"/>
      <c r="W776" s="2"/>
      <c r="X776" s="3" t="str">
        <f t="shared" si="120"/>
        <v/>
      </c>
      <c r="Y776" t="str">
        <f t="shared" si="121"/>
        <v/>
      </c>
      <c r="Z776">
        <f t="shared" si="122"/>
        <v>0</v>
      </c>
      <c r="AA776">
        <f t="shared" si="123"/>
        <v>327.83333333333576</v>
      </c>
      <c r="AB776">
        <f t="shared" si="124"/>
        <v>327.83333333333576</v>
      </c>
      <c r="AC776">
        <f>IFERROR(_xlfn.XLOOKUP(B776, HoldSummary!$A:$A, HoldSummary!B:B), 0)</f>
        <v>0</v>
      </c>
      <c r="AD776">
        <f>IFERROR(_xlfn.XLOOKUP(B776, HoldSummary!$A:$A, HoldSummary!C:C), 0)</f>
        <v>0</v>
      </c>
      <c r="AE776">
        <f>IFERROR(_xlfn.XLOOKUP(B776, HoldSummary!$A:$A, HoldSummary!D:D), 0)</f>
        <v>0</v>
      </c>
      <c r="AF776">
        <f>IFERROR(_xlfn.XLOOKUP(B776, HoldSummary!$A:$A, HoldSummary!E:E), 0)</f>
        <v>0</v>
      </c>
      <c r="AG776">
        <f>IFERROR(_xlfn.XLOOKUP(B776, HoldSummary!$A:$A, HoldSummary!F:F), 0)</f>
        <v>0</v>
      </c>
      <c r="AH776">
        <f>IFERROR(_xlfn.XLOOKUP(B776, HoldSummary!$A:$A, HoldSummary!G:G), 0)</f>
        <v>0</v>
      </c>
      <c r="AI776">
        <f>IFERROR(_xlfn.XLOOKUP(B776, HoldSummary!$A:$A, HoldSummary!H:H), 0)</f>
        <v>0</v>
      </c>
      <c r="AJ776">
        <f>IFERROR(_xlfn.XLOOKUP(B776, HoldSummary!$A:$A, HoldSummary!I:I), 0)</f>
        <v>0</v>
      </c>
      <c r="AK776">
        <f t="shared" si="125"/>
        <v>0</v>
      </c>
      <c r="AL776">
        <f t="shared" si="126"/>
        <v>327.83333333333576</v>
      </c>
      <c r="AM776">
        <f t="shared" si="127"/>
        <v>327.83333333333576</v>
      </c>
      <c r="AN776" s="12">
        <f t="shared" si="128"/>
        <v>45502</v>
      </c>
      <c r="AO776">
        <f t="shared" si="129"/>
        <v>1</v>
      </c>
    </row>
    <row r="777" spans="1:41" x14ac:dyDescent="0.35">
      <c r="A777" t="s">
        <v>23</v>
      </c>
      <c r="B777" t="s">
        <v>1731</v>
      </c>
      <c r="C777" t="s">
        <v>43</v>
      </c>
      <c r="D777" t="s">
        <v>44</v>
      </c>
      <c r="E777" t="s">
        <v>45</v>
      </c>
      <c r="F777" t="s">
        <v>1719</v>
      </c>
      <c r="H777" t="s">
        <v>1732</v>
      </c>
      <c r="I777" t="s">
        <v>30</v>
      </c>
      <c r="J777" t="s">
        <v>208</v>
      </c>
      <c r="K777" t="s">
        <v>48</v>
      </c>
      <c r="L777" t="s">
        <v>49</v>
      </c>
      <c r="N777" s="2">
        <v>45166.60229166667</v>
      </c>
      <c r="O777" s="2"/>
      <c r="P777" s="2"/>
      <c r="Q777" s="2">
        <v>45338</v>
      </c>
      <c r="R777" s="2">
        <v>45341.959295717592</v>
      </c>
      <c r="T777" s="2"/>
      <c r="U777" s="2"/>
      <c r="V777" s="2"/>
      <c r="W777" s="2"/>
      <c r="X777" s="3" t="str">
        <f t="shared" si="120"/>
        <v/>
      </c>
      <c r="Y777" t="str">
        <f t="shared" si="121"/>
        <v/>
      </c>
      <c r="Z777">
        <f t="shared" si="122"/>
        <v>0</v>
      </c>
      <c r="AA777">
        <f t="shared" si="123"/>
        <v>171.39770833333023</v>
      </c>
      <c r="AB777">
        <f t="shared" si="124"/>
        <v>171.39770833333023</v>
      </c>
      <c r="AC777">
        <f>IFERROR(_xlfn.XLOOKUP(B777, HoldSummary!$A:$A, HoldSummary!B:B), 0)</f>
        <v>0</v>
      </c>
      <c r="AD777">
        <f>IFERROR(_xlfn.XLOOKUP(B777, HoldSummary!$A:$A, HoldSummary!C:C), 0)</f>
        <v>0</v>
      </c>
      <c r="AE777">
        <f>IFERROR(_xlfn.XLOOKUP(B777, HoldSummary!$A:$A, HoldSummary!D:D), 0)</f>
        <v>0</v>
      </c>
      <c r="AF777">
        <f>IFERROR(_xlfn.XLOOKUP(B777, HoldSummary!$A:$A, HoldSummary!E:E), 0)</f>
        <v>0</v>
      </c>
      <c r="AG777">
        <f>IFERROR(_xlfn.XLOOKUP(B777, HoldSummary!$A:$A, HoldSummary!F:F), 0)</f>
        <v>0</v>
      </c>
      <c r="AH777">
        <f>IFERROR(_xlfn.XLOOKUP(B777, HoldSummary!$A:$A, HoldSummary!G:G), 0)</f>
        <v>0</v>
      </c>
      <c r="AI777">
        <f>IFERROR(_xlfn.XLOOKUP(B777, HoldSummary!$A:$A, HoldSummary!H:H), 0)</f>
        <v>0</v>
      </c>
      <c r="AJ777">
        <f>IFERROR(_xlfn.XLOOKUP(B777, HoldSummary!$A:$A, HoldSummary!I:I), 0)</f>
        <v>0</v>
      </c>
      <c r="AK777">
        <f t="shared" si="125"/>
        <v>0</v>
      </c>
      <c r="AL777">
        <f t="shared" si="126"/>
        <v>171.39770833333023</v>
      </c>
      <c r="AM777">
        <f t="shared" si="127"/>
        <v>171.39770833333023</v>
      </c>
      <c r="AN777" s="12">
        <f t="shared" si="128"/>
        <v>45338</v>
      </c>
      <c r="AO777">
        <f t="shared" si="129"/>
        <v>1</v>
      </c>
    </row>
    <row r="778" spans="1:41" x14ac:dyDescent="0.35">
      <c r="A778" t="s">
        <v>23</v>
      </c>
      <c r="B778" t="s">
        <v>1733</v>
      </c>
      <c r="C778" t="s">
        <v>43</v>
      </c>
      <c r="D778" t="s">
        <v>44</v>
      </c>
      <c r="E778" t="s">
        <v>45</v>
      </c>
      <c r="F778" t="s">
        <v>1719</v>
      </c>
      <c r="H778" t="s">
        <v>1734</v>
      </c>
      <c r="I778" t="s">
        <v>30</v>
      </c>
      <c r="J778" t="s">
        <v>300</v>
      </c>
      <c r="K778" t="s">
        <v>48</v>
      </c>
      <c r="L778" t="s">
        <v>192</v>
      </c>
      <c r="N778" s="2">
        <v>45168.760879629626</v>
      </c>
      <c r="O778" s="2"/>
      <c r="P778" s="2"/>
      <c r="Q778" s="2">
        <v>45301</v>
      </c>
      <c r="R778" s="2">
        <v>45302.496372164351</v>
      </c>
      <c r="T778" s="2"/>
      <c r="U778" s="2"/>
      <c r="V778" s="2"/>
      <c r="W778" s="2"/>
      <c r="X778" s="3" t="str">
        <f t="shared" si="120"/>
        <v/>
      </c>
      <c r="Y778" t="str">
        <f t="shared" si="121"/>
        <v/>
      </c>
      <c r="Z778">
        <f t="shared" si="122"/>
        <v>0</v>
      </c>
      <c r="AA778">
        <f t="shared" si="123"/>
        <v>132.23912037037371</v>
      </c>
      <c r="AB778">
        <f t="shared" si="124"/>
        <v>132.23912037037371</v>
      </c>
      <c r="AC778">
        <f>IFERROR(_xlfn.XLOOKUP(B778, HoldSummary!$A:$A, HoldSummary!B:B), 0)</f>
        <v>0</v>
      </c>
      <c r="AD778">
        <f>IFERROR(_xlfn.XLOOKUP(B778, HoldSummary!$A:$A, HoldSummary!C:C), 0)</f>
        <v>0</v>
      </c>
      <c r="AE778">
        <f>IFERROR(_xlfn.XLOOKUP(B778, HoldSummary!$A:$A, HoldSummary!D:D), 0)</f>
        <v>0</v>
      </c>
      <c r="AF778">
        <f>IFERROR(_xlfn.XLOOKUP(B778, HoldSummary!$A:$A, HoldSummary!E:E), 0)</f>
        <v>0</v>
      </c>
      <c r="AG778">
        <f>IFERROR(_xlfn.XLOOKUP(B778, HoldSummary!$A:$A, HoldSummary!F:F), 0)</f>
        <v>0</v>
      </c>
      <c r="AH778">
        <f>IFERROR(_xlfn.XLOOKUP(B778, HoldSummary!$A:$A, HoldSummary!G:G), 0)</f>
        <v>0</v>
      </c>
      <c r="AI778">
        <f>IFERROR(_xlfn.XLOOKUP(B778, HoldSummary!$A:$A, HoldSummary!H:H), 0)</f>
        <v>0</v>
      </c>
      <c r="AJ778">
        <f>IFERROR(_xlfn.XLOOKUP(B778, HoldSummary!$A:$A, HoldSummary!I:I), 0)</f>
        <v>0</v>
      </c>
      <c r="AK778">
        <f t="shared" si="125"/>
        <v>0</v>
      </c>
      <c r="AL778">
        <f t="shared" si="126"/>
        <v>132.23912037037371</v>
      </c>
      <c r="AM778">
        <f t="shared" si="127"/>
        <v>132.23912037037371</v>
      </c>
      <c r="AN778" s="12">
        <f t="shared" si="128"/>
        <v>45301</v>
      </c>
      <c r="AO778">
        <f t="shared" si="129"/>
        <v>1</v>
      </c>
    </row>
    <row r="779" spans="1:41" x14ac:dyDescent="0.35">
      <c r="A779" t="s">
        <v>23</v>
      </c>
      <c r="B779" t="s">
        <v>1735</v>
      </c>
      <c r="C779" t="s">
        <v>43</v>
      </c>
      <c r="D779" t="s">
        <v>44</v>
      </c>
      <c r="E779" t="s">
        <v>45</v>
      </c>
      <c r="F779" t="s">
        <v>1719</v>
      </c>
      <c r="H779" t="s">
        <v>1736</v>
      </c>
      <c r="I779" t="s">
        <v>30</v>
      </c>
      <c r="J779" t="s">
        <v>70</v>
      </c>
      <c r="K779" t="s">
        <v>48</v>
      </c>
      <c r="L779" t="s">
        <v>192</v>
      </c>
      <c r="N779" s="2">
        <v>45194.543078703704</v>
      </c>
      <c r="O779" s="2"/>
      <c r="P779" s="2"/>
      <c r="Q779" s="2">
        <v>45463</v>
      </c>
      <c r="R779" s="2">
        <v>45463.83336434028</v>
      </c>
      <c r="S779" t="s">
        <v>443</v>
      </c>
      <c r="T779" s="2"/>
      <c r="U779" s="2"/>
      <c r="V779" s="2"/>
      <c r="W779" s="2"/>
      <c r="X779" s="3" t="str">
        <f t="shared" si="120"/>
        <v/>
      </c>
      <c r="Y779" t="str">
        <f t="shared" si="121"/>
        <v/>
      </c>
      <c r="Z779">
        <f t="shared" si="122"/>
        <v>0</v>
      </c>
      <c r="AA779">
        <f t="shared" si="123"/>
        <v>268.45692129629606</v>
      </c>
      <c r="AB779">
        <f t="shared" si="124"/>
        <v>268.45692129629606</v>
      </c>
      <c r="AC779">
        <f>IFERROR(_xlfn.XLOOKUP(B779, HoldSummary!$A:$A, HoldSummary!B:B), 0)</f>
        <v>0</v>
      </c>
      <c r="AD779">
        <f>IFERROR(_xlfn.XLOOKUP(B779, HoldSummary!$A:$A, HoldSummary!C:C), 0)</f>
        <v>0</v>
      </c>
      <c r="AE779">
        <f>IFERROR(_xlfn.XLOOKUP(B779, HoldSummary!$A:$A, HoldSummary!D:D), 0)</f>
        <v>0</v>
      </c>
      <c r="AF779">
        <f>IFERROR(_xlfn.XLOOKUP(B779, HoldSummary!$A:$A, HoldSummary!E:E), 0)</f>
        <v>0</v>
      </c>
      <c r="AG779">
        <f>IFERROR(_xlfn.XLOOKUP(B779, HoldSummary!$A:$A, HoldSummary!F:F), 0)</f>
        <v>0</v>
      </c>
      <c r="AH779">
        <f>IFERROR(_xlfn.XLOOKUP(B779, HoldSummary!$A:$A, HoldSummary!G:G), 0)</f>
        <v>0</v>
      </c>
      <c r="AI779">
        <f>IFERROR(_xlfn.XLOOKUP(B779, HoldSummary!$A:$A, HoldSummary!H:H), 0)</f>
        <v>0</v>
      </c>
      <c r="AJ779">
        <f>IFERROR(_xlfn.XLOOKUP(B779, HoldSummary!$A:$A, HoldSummary!I:I), 0)</f>
        <v>0</v>
      </c>
      <c r="AK779">
        <f t="shared" si="125"/>
        <v>0</v>
      </c>
      <c r="AL779">
        <f t="shared" si="126"/>
        <v>268.45692129629606</v>
      </c>
      <c r="AM779">
        <f t="shared" si="127"/>
        <v>268.45692129629606</v>
      </c>
      <c r="AN779" s="12">
        <f t="shared" si="128"/>
        <v>45463</v>
      </c>
      <c r="AO779">
        <f t="shared" si="129"/>
        <v>1</v>
      </c>
    </row>
    <row r="780" spans="1:41" x14ac:dyDescent="0.35">
      <c r="A780" t="s">
        <v>23</v>
      </c>
      <c r="B780" t="s">
        <v>1737</v>
      </c>
      <c r="C780" t="s">
        <v>43</v>
      </c>
      <c r="D780" t="s">
        <v>44</v>
      </c>
      <c r="E780" t="s">
        <v>45</v>
      </c>
      <c r="F780" t="s">
        <v>1719</v>
      </c>
      <c r="H780" t="s">
        <v>1738</v>
      </c>
      <c r="I780" t="s">
        <v>30</v>
      </c>
      <c r="J780" t="s">
        <v>70</v>
      </c>
      <c r="K780" t="s">
        <v>48</v>
      </c>
      <c r="L780" t="s">
        <v>192</v>
      </c>
      <c r="N780" s="2">
        <v>45212.739398148151</v>
      </c>
      <c r="O780" s="2"/>
      <c r="P780" s="2"/>
      <c r="Q780" s="2">
        <v>45617</v>
      </c>
      <c r="R780" s="2">
        <v>45618.518897997688</v>
      </c>
      <c r="S780" t="s">
        <v>399</v>
      </c>
      <c r="T780" s="2"/>
      <c r="U780" s="2"/>
      <c r="V780" s="2"/>
      <c r="W780" s="2"/>
      <c r="X780" s="3" t="str">
        <f t="shared" si="120"/>
        <v/>
      </c>
      <c r="Y780" t="str">
        <f t="shared" si="121"/>
        <v/>
      </c>
      <c r="Z780">
        <f t="shared" si="122"/>
        <v>0</v>
      </c>
      <c r="AA780">
        <f t="shared" si="123"/>
        <v>404.26060185184906</v>
      </c>
      <c r="AB780">
        <f t="shared" si="124"/>
        <v>404.26060185184906</v>
      </c>
      <c r="AC780">
        <f>IFERROR(_xlfn.XLOOKUP(B780, HoldSummary!$A:$A, HoldSummary!B:B), 0)</f>
        <v>0</v>
      </c>
      <c r="AD780">
        <f>IFERROR(_xlfn.XLOOKUP(B780, HoldSummary!$A:$A, HoldSummary!C:C), 0)</f>
        <v>0</v>
      </c>
      <c r="AE780">
        <f>IFERROR(_xlfn.XLOOKUP(B780, HoldSummary!$A:$A, HoldSummary!D:D), 0)</f>
        <v>0</v>
      </c>
      <c r="AF780">
        <f>IFERROR(_xlfn.XLOOKUP(B780, HoldSummary!$A:$A, HoldSummary!E:E), 0)</f>
        <v>0</v>
      </c>
      <c r="AG780">
        <f>IFERROR(_xlfn.XLOOKUP(B780, HoldSummary!$A:$A, HoldSummary!F:F), 0)</f>
        <v>0</v>
      </c>
      <c r="AH780">
        <f>IFERROR(_xlfn.XLOOKUP(B780, HoldSummary!$A:$A, HoldSummary!G:G), 0)</f>
        <v>0</v>
      </c>
      <c r="AI780">
        <f>IFERROR(_xlfn.XLOOKUP(B780, HoldSummary!$A:$A, HoldSummary!H:H), 0)</f>
        <v>0</v>
      </c>
      <c r="AJ780">
        <f>IFERROR(_xlfn.XLOOKUP(B780, HoldSummary!$A:$A, HoldSummary!I:I), 0)</f>
        <v>0</v>
      </c>
      <c r="AK780">
        <f t="shared" si="125"/>
        <v>0</v>
      </c>
      <c r="AL780">
        <f t="shared" si="126"/>
        <v>404.26060185184906</v>
      </c>
      <c r="AM780">
        <f t="shared" si="127"/>
        <v>404.26060185184906</v>
      </c>
      <c r="AN780" s="12">
        <f t="shared" si="128"/>
        <v>45617</v>
      </c>
      <c r="AO780">
        <f t="shared" si="129"/>
        <v>1</v>
      </c>
    </row>
    <row r="781" spans="1:41" x14ac:dyDescent="0.35">
      <c r="A781" t="s">
        <v>23</v>
      </c>
      <c r="B781" t="s">
        <v>1739</v>
      </c>
      <c r="C781" t="s">
        <v>43</v>
      </c>
      <c r="D781" t="s">
        <v>44</v>
      </c>
      <c r="E781" t="s">
        <v>45</v>
      </c>
      <c r="F781" t="s">
        <v>1719</v>
      </c>
      <c r="H781" t="s">
        <v>1740</v>
      </c>
      <c r="I781" t="s">
        <v>30</v>
      </c>
      <c r="J781" t="s">
        <v>300</v>
      </c>
      <c r="K781" t="s">
        <v>57</v>
      </c>
      <c r="L781" t="s">
        <v>53</v>
      </c>
      <c r="N781" s="2">
        <v>45202.728206018517</v>
      </c>
      <c r="O781" s="2"/>
      <c r="P781" s="2"/>
      <c r="Q781" s="2">
        <v>45328</v>
      </c>
      <c r="R781" s="2">
        <v>45328.621422152777</v>
      </c>
      <c r="S781" t="s">
        <v>121</v>
      </c>
      <c r="T781" s="2">
        <v>45226.166666666664</v>
      </c>
      <c r="U781" s="2">
        <v>45272.208333333336</v>
      </c>
      <c r="V781" s="2">
        <v>45272.208333333336</v>
      </c>
      <c r="W781" s="2">
        <v>45274.208333333336</v>
      </c>
      <c r="X781" s="3">
        <f t="shared" si="120"/>
        <v>46.041666666671517</v>
      </c>
      <c r="Y781">
        <f t="shared" si="121"/>
        <v>2</v>
      </c>
      <c r="Z781">
        <f t="shared" si="122"/>
        <v>48.041666666671517</v>
      </c>
      <c r="AA781">
        <f t="shared" si="123"/>
        <v>125.27179398148292</v>
      </c>
      <c r="AB781">
        <f t="shared" si="124"/>
        <v>77.230127314811398</v>
      </c>
      <c r="AC781">
        <f>IFERROR(_xlfn.XLOOKUP(B781, HoldSummary!$A:$A, HoldSummary!B:B), 0)</f>
        <v>0</v>
      </c>
      <c r="AD781">
        <f>IFERROR(_xlfn.XLOOKUP(B781, HoldSummary!$A:$A, HoldSummary!C:C), 0)</f>
        <v>0</v>
      </c>
      <c r="AE781">
        <f>IFERROR(_xlfn.XLOOKUP(B781, HoldSummary!$A:$A, HoldSummary!D:D), 0)</f>
        <v>0</v>
      </c>
      <c r="AF781">
        <f>IFERROR(_xlfn.XLOOKUP(B781, HoldSummary!$A:$A, HoldSummary!E:E), 0)</f>
        <v>0</v>
      </c>
      <c r="AG781">
        <f>IFERROR(_xlfn.XLOOKUP(B781, HoldSummary!$A:$A, HoldSummary!F:F), 0)</f>
        <v>0</v>
      </c>
      <c r="AH781">
        <f>IFERROR(_xlfn.XLOOKUP(B781, HoldSummary!$A:$A, HoldSummary!G:G), 0)</f>
        <v>0</v>
      </c>
      <c r="AI781">
        <f>IFERROR(_xlfn.XLOOKUP(B781, HoldSummary!$A:$A, HoldSummary!H:H), 0)</f>
        <v>0</v>
      </c>
      <c r="AJ781">
        <f>IFERROR(_xlfn.XLOOKUP(B781, HoldSummary!$A:$A, HoldSummary!I:I), 0)</f>
        <v>0</v>
      </c>
      <c r="AK781">
        <f t="shared" si="125"/>
        <v>0</v>
      </c>
      <c r="AL781">
        <f t="shared" si="126"/>
        <v>125.27179398148292</v>
      </c>
      <c r="AM781">
        <f t="shared" si="127"/>
        <v>77.230127314811398</v>
      </c>
      <c r="AN781" s="12">
        <f t="shared" si="128"/>
        <v>45328</v>
      </c>
      <c r="AO781">
        <f t="shared" si="129"/>
        <v>1</v>
      </c>
    </row>
    <row r="782" spans="1:41" x14ac:dyDescent="0.35">
      <c r="A782" t="s">
        <v>23</v>
      </c>
      <c r="B782" t="s">
        <v>1741</v>
      </c>
      <c r="C782" t="s">
        <v>43</v>
      </c>
      <c r="D782" t="s">
        <v>44</v>
      </c>
      <c r="E782" t="s">
        <v>45</v>
      </c>
      <c r="F782" t="s">
        <v>1719</v>
      </c>
      <c r="H782" t="s">
        <v>1742</v>
      </c>
      <c r="I782" t="s">
        <v>30</v>
      </c>
      <c r="J782" t="s">
        <v>70</v>
      </c>
      <c r="K782" t="s">
        <v>48</v>
      </c>
      <c r="L782" t="s">
        <v>49</v>
      </c>
      <c r="N782" s="2">
        <v>45223.605092592596</v>
      </c>
      <c r="O782" s="2"/>
      <c r="P782" s="2"/>
      <c r="Q782" s="2">
        <v>45358</v>
      </c>
      <c r="R782" s="2">
        <v>45358.867548912036</v>
      </c>
      <c r="S782" t="s">
        <v>1492</v>
      </c>
      <c r="T782" s="2"/>
      <c r="U782" s="2"/>
      <c r="V782" s="2"/>
      <c r="W782" s="2"/>
      <c r="X782" s="3" t="str">
        <f t="shared" si="120"/>
        <v/>
      </c>
      <c r="Y782" t="str">
        <f t="shared" si="121"/>
        <v/>
      </c>
      <c r="Z782">
        <f t="shared" si="122"/>
        <v>0</v>
      </c>
      <c r="AA782">
        <f t="shared" si="123"/>
        <v>134.39490740740439</v>
      </c>
      <c r="AB782">
        <f t="shared" si="124"/>
        <v>134.39490740740439</v>
      </c>
      <c r="AC782">
        <f>IFERROR(_xlfn.XLOOKUP(B782, HoldSummary!$A:$A, HoldSummary!B:B), 0)</f>
        <v>0</v>
      </c>
      <c r="AD782">
        <f>IFERROR(_xlfn.XLOOKUP(B782, HoldSummary!$A:$A, HoldSummary!C:C), 0)</f>
        <v>0</v>
      </c>
      <c r="AE782">
        <f>IFERROR(_xlfn.XLOOKUP(B782, HoldSummary!$A:$A, HoldSummary!D:D), 0)</f>
        <v>0</v>
      </c>
      <c r="AF782">
        <f>IFERROR(_xlfn.XLOOKUP(B782, HoldSummary!$A:$A, HoldSummary!E:E), 0)</f>
        <v>0</v>
      </c>
      <c r="AG782">
        <f>IFERROR(_xlfn.XLOOKUP(B782, HoldSummary!$A:$A, HoldSummary!F:F), 0)</f>
        <v>0</v>
      </c>
      <c r="AH782">
        <f>IFERROR(_xlfn.XLOOKUP(B782, HoldSummary!$A:$A, HoldSummary!G:G), 0)</f>
        <v>0</v>
      </c>
      <c r="AI782">
        <f>IFERROR(_xlfn.XLOOKUP(B782, HoldSummary!$A:$A, HoldSummary!H:H), 0)</f>
        <v>0</v>
      </c>
      <c r="AJ782">
        <f>IFERROR(_xlfn.XLOOKUP(B782, HoldSummary!$A:$A, HoldSummary!I:I), 0)</f>
        <v>0</v>
      </c>
      <c r="AK782">
        <f t="shared" si="125"/>
        <v>0</v>
      </c>
      <c r="AL782">
        <f t="shared" si="126"/>
        <v>134.39490740740439</v>
      </c>
      <c r="AM782">
        <f t="shared" si="127"/>
        <v>134.39490740740439</v>
      </c>
      <c r="AN782" s="12">
        <f t="shared" si="128"/>
        <v>45358</v>
      </c>
      <c r="AO782">
        <f t="shared" si="129"/>
        <v>1</v>
      </c>
    </row>
    <row r="783" spans="1:41" x14ac:dyDescent="0.35">
      <c r="A783" t="s">
        <v>23</v>
      </c>
      <c r="B783" t="s">
        <v>1743</v>
      </c>
      <c r="C783" t="s">
        <v>43</v>
      </c>
      <c r="D783" t="s">
        <v>44</v>
      </c>
      <c r="E783" t="s">
        <v>45</v>
      </c>
      <c r="F783" t="s">
        <v>1719</v>
      </c>
      <c r="H783" t="s">
        <v>1744</v>
      </c>
      <c r="I783" t="s">
        <v>30</v>
      </c>
      <c r="J783" t="s">
        <v>70</v>
      </c>
      <c r="K783" t="s">
        <v>48</v>
      </c>
      <c r="L783" t="s">
        <v>49</v>
      </c>
      <c r="N783" s="2">
        <v>45224.348055555558</v>
      </c>
      <c r="O783" s="2"/>
      <c r="P783" s="2"/>
      <c r="Q783" s="2">
        <v>45464</v>
      </c>
      <c r="R783" s="2">
        <v>45467.5415278125</v>
      </c>
      <c r="S783" t="s">
        <v>306</v>
      </c>
      <c r="T783" s="2"/>
      <c r="U783" s="2"/>
      <c r="V783" s="2"/>
      <c r="W783" s="2"/>
      <c r="X783" s="3" t="str">
        <f t="shared" si="120"/>
        <v/>
      </c>
      <c r="Y783" t="str">
        <f t="shared" si="121"/>
        <v/>
      </c>
      <c r="Z783">
        <f t="shared" si="122"/>
        <v>0</v>
      </c>
      <c r="AA783">
        <f t="shared" si="123"/>
        <v>239.65194444444205</v>
      </c>
      <c r="AB783">
        <f t="shared" si="124"/>
        <v>239.65194444444205</v>
      </c>
      <c r="AC783">
        <f>IFERROR(_xlfn.XLOOKUP(B783, HoldSummary!$A:$A, HoldSummary!B:B), 0)</f>
        <v>0</v>
      </c>
      <c r="AD783">
        <f>IFERROR(_xlfn.XLOOKUP(B783, HoldSummary!$A:$A, HoldSummary!C:C), 0)</f>
        <v>0</v>
      </c>
      <c r="AE783">
        <f>IFERROR(_xlfn.XLOOKUP(B783, HoldSummary!$A:$A, HoldSummary!D:D), 0)</f>
        <v>0</v>
      </c>
      <c r="AF783">
        <f>IFERROR(_xlfn.XLOOKUP(B783, HoldSummary!$A:$A, HoldSummary!E:E), 0)</f>
        <v>0</v>
      </c>
      <c r="AG783">
        <f>IFERROR(_xlfn.XLOOKUP(B783, HoldSummary!$A:$A, HoldSummary!F:F), 0)</f>
        <v>0</v>
      </c>
      <c r="AH783">
        <f>IFERROR(_xlfn.XLOOKUP(B783, HoldSummary!$A:$A, HoldSummary!G:G), 0)</f>
        <v>0</v>
      </c>
      <c r="AI783">
        <f>IFERROR(_xlfn.XLOOKUP(B783, HoldSummary!$A:$A, HoldSummary!H:H), 0)</f>
        <v>0</v>
      </c>
      <c r="AJ783">
        <f>IFERROR(_xlfn.XLOOKUP(B783, HoldSummary!$A:$A, HoldSummary!I:I), 0)</f>
        <v>0</v>
      </c>
      <c r="AK783">
        <f t="shared" si="125"/>
        <v>0</v>
      </c>
      <c r="AL783">
        <f t="shared" si="126"/>
        <v>239.65194444444205</v>
      </c>
      <c r="AM783">
        <f t="shared" si="127"/>
        <v>239.65194444444205</v>
      </c>
      <c r="AN783" s="12">
        <f t="shared" si="128"/>
        <v>45464</v>
      </c>
      <c r="AO783">
        <f t="shared" si="129"/>
        <v>1</v>
      </c>
    </row>
    <row r="784" spans="1:41" x14ac:dyDescent="0.35">
      <c r="A784" t="s">
        <v>23</v>
      </c>
      <c r="B784" t="s">
        <v>1745</v>
      </c>
      <c r="C784" t="s">
        <v>43</v>
      </c>
      <c r="D784" t="s">
        <v>44</v>
      </c>
      <c r="E784" t="s">
        <v>45</v>
      </c>
      <c r="F784" t="s">
        <v>1719</v>
      </c>
      <c r="H784" t="s">
        <v>1746</v>
      </c>
      <c r="I784" t="s">
        <v>30</v>
      </c>
      <c r="J784" t="s">
        <v>31</v>
      </c>
      <c r="K784" t="s">
        <v>38</v>
      </c>
      <c r="L784" t="s">
        <v>53</v>
      </c>
      <c r="N784" s="2">
        <v>45236.848009259258</v>
      </c>
      <c r="O784" s="2"/>
      <c r="P784" s="2"/>
      <c r="Q784" s="2">
        <v>45348</v>
      </c>
      <c r="R784" s="2">
        <v>45349.599132268515</v>
      </c>
      <c r="S784" t="s">
        <v>1727</v>
      </c>
      <c r="T784" s="2"/>
      <c r="U784" s="2"/>
      <c r="V784" s="2"/>
      <c r="W784" s="2"/>
      <c r="X784" s="3" t="str">
        <f t="shared" si="120"/>
        <v/>
      </c>
      <c r="Y784" t="str">
        <f t="shared" si="121"/>
        <v/>
      </c>
      <c r="Z784">
        <f t="shared" si="122"/>
        <v>0</v>
      </c>
      <c r="AA784">
        <f t="shared" si="123"/>
        <v>111.15199074074189</v>
      </c>
      <c r="AB784">
        <f t="shared" si="124"/>
        <v>111.15199074074189</v>
      </c>
      <c r="AC784">
        <f>IFERROR(_xlfn.XLOOKUP(B784, HoldSummary!$A:$A, HoldSummary!B:B), 0)</f>
        <v>0</v>
      </c>
      <c r="AD784">
        <f>IFERROR(_xlfn.XLOOKUP(B784, HoldSummary!$A:$A, HoldSummary!C:C), 0)</f>
        <v>0</v>
      </c>
      <c r="AE784">
        <f>IFERROR(_xlfn.XLOOKUP(B784, HoldSummary!$A:$A, HoldSummary!D:D), 0)</f>
        <v>0</v>
      </c>
      <c r="AF784">
        <f>IFERROR(_xlfn.XLOOKUP(B784, HoldSummary!$A:$A, HoldSummary!E:E), 0)</f>
        <v>0</v>
      </c>
      <c r="AG784">
        <f>IFERROR(_xlfn.XLOOKUP(B784, HoldSummary!$A:$A, HoldSummary!F:F), 0)</f>
        <v>0</v>
      </c>
      <c r="AH784">
        <f>IFERROR(_xlfn.XLOOKUP(B784, HoldSummary!$A:$A, HoldSummary!G:G), 0)</f>
        <v>0</v>
      </c>
      <c r="AI784">
        <f>IFERROR(_xlfn.XLOOKUP(B784, HoldSummary!$A:$A, HoldSummary!H:H), 0)</f>
        <v>0</v>
      </c>
      <c r="AJ784">
        <f>IFERROR(_xlfn.XLOOKUP(B784, HoldSummary!$A:$A, HoldSummary!I:I), 0)</f>
        <v>0</v>
      </c>
      <c r="AK784">
        <f t="shared" si="125"/>
        <v>0</v>
      </c>
      <c r="AL784">
        <f t="shared" si="126"/>
        <v>111.15199074074189</v>
      </c>
      <c r="AM784">
        <f t="shared" si="127"/>
        <v>111.15199074074189</v>
      </c>
      <c r="AN784" s="12">
        <f t="shared" si="128"/>
        <v>45348</v>
      </c>
      <c r="AO784">
        <f t="shared" si="129"/>
        <v>1</v>
      </c>
    </row>
    <row r="785" spans="1:41" x14ac:dyDescent="0.35">
      <c r="A785" t="s">
        <v>23</v>
      </c>
      <c r="B785" t="s">
        <v>1747</v>
      </c>
      <c r="C785" t="s">
        <v>76</v>
      </c>
      <c r="D785" t="s">
        <v>44</v>
      </c>
      <c r="E785" t="s">
        <v>45</v>
      </c>
      <c r="F785" t="s">
        <v>1719</v>
      </c>
      <c r="H785" t="s">
        <v>1748</v>
      </c>
      <c r="I785" t="s">
        <v>30</v>
      </c>
      <c r="J785" t="s">
        <v>31</v>
      </c>
      <c r="K785" t="s">
        <v>38</v>
      </c>
      <c r="L785" t="s">
        <v>39</v>
      </c>
      <c r="N785" s="2">
        <v>45252.868692129632</v>
      </c>
      <c r="O785" s="2"/>
      <c r="P785" s="2"/>
      <c r="Q785" s="2">
        <v>45327</v>
      </c>
      <c r="R785" s="2">
        <v>45328.589943865743</v>
      </c>
      <c r="S785" t="s">
        <v>383</v>
      </c>
      <c r="T785" s="2">
        <v>45265.208333333336</v>
      </c>
      <c r="U785" s="2">
        <v>45268.208333333336</v>
      </c>
      <c r="V785" s="2">
        <v>45268.208333333336</v>
      </c>
      <c r="W785" s="2">
        <v>45272.208333333336</v>
      </c>
      <c r="X785" s="3">
        <f t="shared" si="120"/>
        <v>3</v>
      </c>
      <c r="Y785">
        <f t="shared" si="121"/>
        <v>4</v>
      </c>
      <c r="Z785">
        <f t="shared" si="122"/>
        <v>7</v>
      </c>
      <c r="AA785">
        <f t="shared" si="123"/>
        <v>74.131307870367891</v>
      </c>
      <c r="AB785">
        <f t="shared" si="124"/>
        <v>67.131307870367891</v>
      </c>
      <c r="AC785">
        <f>IFERROR(_xlfn.XLOOKUP(B785, HoldSummary!$A:$A, HoldSummary!B:B), 0)</f>
        <v>0</v>
      </c>
      <c r="AD785">
        <f>IFERROR(_xlfn.XLOOKUP(B785, HoldSummary!$A:$A, HoldSummary!C:C), 0)</f>
        <v>0</v>
      </c>
      <c r="AE785">
        <f>IFERROR(_xlfn.XLOOKUP(B785, HoldSummary!$A:$A, HoldSummary!D:D), 0)</f>
        <v>0</v>
      </c>
      <c r="AF785">
        <f>IFERROR(_xlfn.XLOOKUP(B785, HoldSummary!$A:$A, HoldSummary!E:E), 0)</f>
        <v>0</v>
      </c>
      <c r="AG785">
        <f>IFERROR(_xlfn.XLOOKUP(B785, HoldSummary!$A:$A, HoldSummary!F:F), 0)</f>
        <v>0</v>
      </c>
      <c r="AH785">
        <f>IFERROR(_xlfn.XLOOKUP(B785, HoldSummary!$A:$A, HoldSummary!G:G), 0)</f>
        <v>0</v>
      </c>
      <c r="AI785">
        <f>IFERROR(_xlfn.XLOOKUP(B785, HoldSummary!$A:$A, HoldSummary!H:H), 0)</f>
        <v>0</v>
      </c>
      <c r="AJ785">
        <f>IFERROR(_xlfn.XLOOKUP(B785, HoldSummary!$A:$A, HoldSummary!I:I), 0)</f>
        <v>0</v>
      </c>
      <c r="AK785">
        <f t="shared" si="125"/>
        <v>0</v>
      </c>
      <c r="AL785">
        <f t="shared" si="126"/>
        <v>74.131307870367891</v>
      </c>
      <c r="AM785">
        <f t="shared" si="127"/>
        <v>67.131307870367891</v>
      </c>
      <c r="AN785" s="12">
        <f t="shared" si="128"/>
        <v>45327</v>
      </c>
      <c r="AO785">
        <f t="shared" si="129"/>
        <v>1</v>
      </c>
    </row>
    <row r="786" spans="1:41" x14ac:dyDescent="0.35">
      <c r="A786" t="s">
        <v>23</v>
      </c>
      <c r="B786" t="s">
        <v>1749</v>
      </c>
      <c r="C786" t="s">
        <v>43</v>
      </c>
      <c r="D786" t="s">
        <v>44</v>
      </c>
      <c r="E786" t="s">
        <v>45</v>
      </c>
      <c r="F786" t="s">
        <v>1719</v>
      </c>
      <c r="H786" t="s">
        <v>1750</v>
      </c>
      <c r="I786" t="s">
        <v>30</v>
      </c>
      <c r="J786" t="s">
        <v>31</v>
      </c>
      <c r="K786" t="s">
        <v>38</v>
      </c>
      <c r="L786" t="s">
        <v>53</v>
      </c>
      <c r="N786" s="2">
        <v>45266.583124999997</v>
      </c>
      <c r="O786" s="2"/>
      <c r="P786" s="2"/>
      <c r="Q786" s="2">
        <v>45293</v>
      </c>
      <c r="R786" s="2">
        <v>45300.618987245369</v>
      </c>
      <c r="S786" t="s">
        <v>1727</v>
      </c>
      <c r="T786" s="2"/>
      <c r="U786" s="2"/>
      <c r="V786" s="2"/>
      <c r="W786" s="2"/>
      <c r="X786" s="3" t="str">
        <f t="shared" si="120"/>
        <v/>
      </c>
      <c r="Y786" t="str">
        <f t="shared" si="121"/>
        <v/>
      </c>
      <c r="Z786">
        <f t="shared" si="122"/>
        <v>0</v>
      </c>
      <c r="AA786">
        <f t="shared" si="123"/>
        <v>26.416875000002619</v>
      </c>
      <c r="AB786">
        <f t="shared" si="124"/>
        <v>26.416875000002619</v>
      </c>
      <c r="AC786">
        <f>IFERROR(_xlfn.XLOOKUP(B786, HoldSummary!$A:$A, HoldSummary!B:B), 0)</f>
        <v>0</v>
      </c>
      <c r="AD786">
        <f>IFERROR(_xlfn.XLOOKUP(B786, HoldSummary!$A:$A, HoldSummary!C:C), 0)</f>
        <v>0</v>
      </c>
      <c r="AE786">
        <f>IFERROR(_xlfn.XLOOKUP(B786, HoldSummary!$A:$A, HoldSummary!D:D), 0)</f>
        <v>0</v>
      </c>
      <c r="AF786">
        <f>IFERROR(_xlfn.XLOOKUP(B786, HoldSummary!$A:$A, HoldSummary!E:E), 0)</f>
        <v>0</v>
      </c>
      <c r="AG786">
        <f>IFERROR(_xlfn.XLOOKUP(B786, HoldSummary!$A:$A, HoldSummary!F:F), 0)</f>
        <v>0</v>
      </c>
      <c r="AH786">
        <f>IFERROR(_xlfn.XLOOKUP(B786, HoldSummary!$A:$A, HoldSummary!G:G), 0)</f>
        <v>0</v>
      </c>
      <c r="AI786">
        <f>IFERROR(_xlfn.XLOOKUP(B786, HoldSummary!$A:$A, HoldSummary!H:H), 0)</f>
        <v>0</v>
      </c>
      <c r="AJ786">
        <f>IFERROR(_xlfn.XLOOKUP(B786, HoldSummary!$A:$A, HoldSummary!I:I), 0)</f>
        <v>0</v>
      </c>
      <c r="AK786">
        <f t="shared" si="125"/>
        <v>0</v>
      </c>
      <c r="AL786">
        <f t="shared" si="126"/>
        <v>26.416875000002619</v>
      </c>
      <c r="AM786">
        <f t="shared" si="127"/>
        <v>26.416875000002619</v>
      </c>
      <c r="AN786" s="12">
        <f t="shared" si="128"/>
        <v>45293</v>
      </c>
      <c r="AO786">
        <f t="shared" si="129"/>
        <v>1</v>
      </c>
    </row>
    <row r="787" spans="1:41" x14ac:dyDescent="0.35">
      <c r="A787" t="s">
        <v>23</v>
      </c>
      <c r="B787" t="s">
        <v>1751</v>
      </c>
      <c r="C787" t="s">
        <v>43</v>
      </c>
      <c r="D787" t="s">
        <v>44</v>
      </c>
      <c r="E787" t="s">
        <v>45</v>
      </c>
      <c r="F787" t="s">
        <v>1719</v>
      </c>
      <c r="H787" t="s">
        <v>1752</v>
      </c>
      <c r="I787" t="s">
        <v>30</v>
      </c>
      <c r="J787" t="s">
        <v>31</v>
      </c>
      <c r="K787" t="s">
        <v>48</v>
      </c>
      <c r="N787" s="2">
        <v>45272.538807870369</v>
      </c>
      <c r="O787" s="2"/>
      <c r="P787" s="2"/>
      <c r="Q787" s="2">
        <v>45322</v>
      </c>
      <c r="R787" s="2">
        <v>45322.852331562499</v>
      </c>
      <c r="S787" t="s">
        <v>121</v>
      </c>
      <c r="T787" s="2">
        <v>45278.208333333336</v>
      </c>
      <c r="U787" s="2">
        <v>45278.208333333336</v>
      </c>
      <c r="V787" s="2">
        <v>45278.208333333336</v>
      </c>
      <c r="W787" s="2">
        <v>45278.208333333336</v>
      </c>
      <c r="X787" s="3">
        <f t="shared" si="120"/>
        <v>0</v>
      </c>
      <c r="Y787">
        <f t="shared" si="121"/>
        <v>0</v>
      </c>
      <c r="Z787">
        <f t="shared" si="122"/>
        <v>0</v>
      </c>
      <c r="AA787">
        <f t="shared" si="123"/>
        <v>49.461192129630945</v>
      </c>
      <c r="AB787">
        <f t="shared" si="124"/>
        <v>49.461192129630945</v>
      </c>
      <c r="AC787">
        <f>IFERROR(_xlfn.XLOOKUP(B787, HoldSummary!$A:$A, HoldSummary!B:B), 0)</f>
        <v>0</v>
      </c>
      <c r="AD787">
        <f>IFERROR(_xlfn.XLOOKUP(B787, HoldSummary!$A:$A, HoldSummary!C:C), 0)</f>
        <v>0</v>
      </c>
      <c r="AE787">
        <f>IFERROR(_xlfn.XLOOKUP(B787, HoldSummary!$A:$A, HoldSummary!D:D), 0)</f>
        <v>0</v>
      </c>
      <c r="AF787">
        <f>IFERROR(_xlfn.XLOOKUP(B787, HoldSummary!$A:$A, HoldSummary!E:E), 0)</f>
        <v>0</v>
      </c>
      <c r="AG787">
        <f>IFERROR(_xlfn.XLOOKUP(B787, HoldSummary!$A:$A, HoldSummary!F:F), 0)</f>
        <v>0</v>
      </c>
      <c r="AH787">
        <f>IFERROR(_xlfn.XLOOKUP(B787, HoldSummary!$A:$A, HoldSummary!G:G), 0)</f>
        <v>0</v>
      </c>
      <c r="AI787">
        <f>IFERROR(_xlfn.XLOOKUP(B787, HoldSummary!$A:$A, HoldSummary!H:H), 0)</f>
        <v>0</v>
      </c>
      <c r="AJ787">
        <f>IFERROR(_xlfn.XLOOKUP(B787, HoldSummary!$A:$A, HoldSummary!I:I), 0)</f>
        <v>0</v>
      </c>
      <c r="AK787">
        <f t="shared" si="125"/>
        <v>0</v>
      </c>
      <c r="AL787">
        <f t="shared" si="126"/>
        <v>49.461192129630945</v>
      </c>
      <c r="AM787">
        <f t="shared" si="127"/>
        <v>49.461192129630945</v>
      </c>
      <c r="AN787" s="12">
        <f t="shared" si="128"/>
        <v>45322</v>
      </c>
      <c r="AO787">
        <f t="shared" si="129"/>
        <v>1</v>
      </c>
    </row>
    <row r="788" spans="1:41" x14ac:dyDescent="0.35">
      <c r="A788" t="s">
        <v>23</v>
      </c>
      <c r="B788" t="s">
        <v>1753</v>
      </c>
      <c r="C788" t="s">
        <v>43</v>
      </c>
      <c r="D788" t="s">
        <v>44</v>
      </c>
      <c r="E788" t="s">
        <v>44</v>
      </c>
      <c r="F788" t="s">
        <v>1719</v>
      </c>
      <c r="H788" t="s">
        <v>1754</v>
      </c>
      <c r="I788" t="s">
        <v>30</v>
      </c>
      <c r="J788" t="s">
        <v>70</v>
      </c>
      <c r="K788" t="s">
        <v>48</v>
      </c>
      <c r="L788" t="s">
        <v>49</v>
      </c>
      <c r="N788" s="2">
        <v>45280.208333333336</v>
      </c>
      <c r="O788" s="2"/>
      <c r="P788" s="2"/>
      <c r="Q788" s="2">
        <v>45378</v>
      </c>
      <c r="R788" s="2">
        <v>45378.863758657404</v>
      </c>
      <c r="S788" t="s">
        <v>386</v>
      </c>
      <c r="T788" s="2"/>
      <c r="U788" s="2"/>
      <c r="V788" s="2"/>
      <c r="W788" s="2"/>
      <c r="X788" s="3" t="str">
        <f t="shared" si="120"/>
        <v/>
      </c>
      <c r="Y788" t="str">
        <f t="shared" si="121"/>
        <v/>
      </c>
      <c r="Z788">
        <f t="shared" si="122"/>
        <v>0</v>
      </c>
      <c r="AA788">
        <f t="shared" si="123"/>
        <v>97.791666666664241</v>
      </c>
      <c r="AB788">
        <f t="shared" si="124"/>
        <v>97.791666666664241</v>
      </c>
      <c r="AC788">
        <f>IFERROR(_xlfn.XLOOKUP(B788, HoldSummary!$A:$A, HoldSummary!B:B), 0)</f>
        <v>0</v>
      </c>
      <c r="AD788">
        <f>IFERROR(_xlfn.XLOOKUP(B788, HoldSummary!$A:$A, HoldSummary!C:C), 0)</f>
        <v>0</v>
      </c>
      <c r="AE788">
        <f>IFERROR(_xlfn.XLOOKUP(B788, HoldSummary!$A:$A, HoldSummary!D:D), 0)</f>
        <v>0</v>
      </c>
      <c r="AF788">
        <f>IFERROR(_xlfn.XLOOKUP(B788, HoldSummary!$A:$A, HoldSummary!E:E), 0)</f>
        <v>0</v>
      </c>
      <c r="AG788">
        <f>IFERROR(_xlfn.XLOOKUP(B788, HoldSummary!$A:$A, HoldSummary!F:F), 0)</f>
        <v>0</v>
      </c>
      <c r="AH788">
        <f>IFERROR(_xlfn.XLOOKUP(B788, HoldSummary!$A:$A, HoldSummary!G:G), 0)</f>
        <v>0</v>
      </c>
      <c r="AI788">
        <f>IFERROR(_xlfn.XLOOKUP(B788, HoldSummary!$A:$A, HoldSummary!H:H), 0)</f>
        <v>0</v>
      </c>
      <c r="AJ788">
        <f>IFERROR(_xlfn.XLOOKUP(B788, HoldSummary!$A:$A, HoldSummary!I:I), 0)</f>
        <v>0</v>
      </c>
      <c r="AK788">
        <f t="shared" si="125"/>
        <v>0</v>
      </c>
      <c r="AL788">
        <f t="shared" si="126"/>
        <v>97.791666666664241</v>
      </c>
      <c r="AM788">
        <f t="shared" si="127"/>
        <v>97.791666666664241</v>
      </c>
      <c r="AN788" s="12">
        <f t="shared" si="128"/>
        <v>45378</v>
      </c>
      <c r="AO788">
        <f t="shared" si="129"/>
        <v>1</v>
      </c>
    </row>
    <row r="789" spans="1:41" x14ac:dyDescent="0.35">
      <c r="A789" t="s">
        <v>23</v>
      </c>
      <c r="B789" t="s">
        <v>1755</v>
      </c>
      <c r="C789" t="s">
        <v>43</v>
      </c>
      <c r="D789" t="s">
        <v>44</v>
      </c>
      <c r="E789" t="s">
        <v>45</v>
      </c>
      <c r="F789" t="s">
        <v>1719</v>
      </c>
      <c r="H789" t="s">
        <v>1756</v>
      </c>
      <c r="I789" t="s">
        <v>30</v>
      </c>
      <c r="J789" t="s">
        <v>31</v>
      </c>
      <c r="K789" t="s">
        <v>48</v>
      </c>
      <c r="L789" t="s">
        <v>695</v>
      </c>
      <c r="N789" s="2">
        <v>45281.613437499997</v>
      </c>
      <c r="O789" s="2"/>
      <c r="P789" s="2"/>
      <c r="Q789" s="2">
        <v>45335</v>
      </c>
      <c r="R789" s="2">
        <v>45335.902457372686</v>
      </c>
      <c r="S789" t="s">
        <v>1453</v>
      </c>
      <c r="T789" s="2">
        <v>45282.208333333336</v>
      </c>
      <c r="U789" s="2">
        <v>45310.208333333336</v>
      </c>
      <c r="V789" s="2">
        <v>45310.208333333336</v>
      </c>
      <c r="W789" s="2">
        <v>45310.208333333336</v>
      </c>
      <c r="X789" s="3">
        <f t="shared" si="120"/>
        <v>28</v>
      </c>
      <c r="Y789">
        <f t="shared" si="121"/>
        <v>0</v>
      </c>
      <c r="Z789">
        <f t="shared" si="122"/>
        <v>28</v>
      </c>
      <c r="AA789">
        <f t="shared" si="123"/>
        <v>53.386562500003492</v>
      </c>
      <c r="AB789">
        <f t="shared" si="124"/>
        <v>25.386562500003492</v>
      </c>
      <c r="AC789">
        <f>IFERROR(_xlfn.XLOOKUP(B789, HoldSummary!$A:$A, HoldSummary!B:B), 0)</f>
        <v>0</v>
      </c>
      <c r="AD789">
        <f>IFERROR(_xlfn.XLOOKUP(B789, HoldSummary!$A:$A, HoldSummary!C:C), 0)</f>
        <v>0</v>
      </c>
      <c r="AE789">
        <f>IFERROR(_xlfn.XLOOKUP(B789, HoldSummary!$A:$A, HoldSummary!D:D), 0)</f>
        <v>0</v>
      </c>
      <c r="AF789">
        <f>IFERROR(_xlfn.XLOOKUP(B789, HoldSummary!$A:$A, HoldSummary!E:E), 0)</f>
        <v>0</v>
      </c>
      <c r="AG789">
        <f>IFERROR(_xlfn.XLOOKUP(B789, HoldSummary!$A:$A, HoldSummary!F:F), 0)</f>
        <v>0</v>
      </c>
      <c r="AH789">
        <f>IFERROR(_xlfn.XLOOKUP(B789, HoldSummary!$A:$A, HoldSummary!G:G), 0)</f>
        <v>0</v>
      </c>
      <c r="AI789">
        <f>IFERROR(_xlfn.XLOOKUP(B789, HoldSummary!$A:$A, HoldSummary!H:H), 0)</f>
        <v>0</v>
      </c>
      <c r="AJ789">
        <f>IFERROR(_xlfn.XLOOKUP(B789, HoldSummary!$A:$A, HoldSummary!I:I), 0)</f>
        <v>0</v>
      </c>
      <c r="AK789">
        <f t="shared" si="125"/>
        <v>0</v>
      </c>
      <c r="AL789">
        <f t="shared" si="126"/>
        <v>53.386562500003492</v>
      </c>
      <c r="AM789">
        <f t="shared" si="127"/>
        <v>25.386562500003492</v>
      </c>
      <c r="AN789" s="12">
        <f t="shared" si="128"/>
        <v>45335</v>
      </c>
      <c r="AO789">
        <f t="shared" si="129"/>
        <v>1</v>
      </c>
    </row>
    <row r="790" spans="1:41" x14ac:dyDescent="0.35">
      <c r="A790" t="s">
        <v>23</v>
      </c>
      <c r="B790" t="s">
        <v>1757</v>
      </c>
      <c r="C790" t="s">
        <v>43</v>
      </c>
      <c r="D790" t="s">
        <v>44</v>
      </c>
      <c r="E790" t="s">
        <v>45</v>
      </c>
      <c r="F790" t="s">
        <v>1719</v>
      </c>
      <c r="H790" t="s">
        <v>1758</v>
      </c>
      <c r="I790" t="s">
        <v>30</v>
      </c>
      <c r="J790" t="s">
        <v>31</v>
      </c>
      <c r="K790" t="s">
        <v>48</v>
      </c>
      <c r="L790" t="s">
        <v>192</v>
      </c>
      <c r="N790" s="2">
        <v>45279.862928240742</v>
      </c>
      <c r="O790" s="2"/>
      <c r="P790" s="2"/>
      <c r="Q790" s="2">
        <v>45317</v>
      </c>
      <c r="R790" s="2">
        <v>45317.642960462967</v>
      </c>
      <c r="T790" s="2">
        <v>45302.208333333336</v>
      </c>
      <c r="U790" s="2">
        <v>45302.208333333336</v>
      </c>
      <c r="V790" s="2">
        <v>45302.208333333336</v>
      </c>
      <c r="W790" s="2">
        <v>45302.208333333336</v>
      </c>
      <c r="X790" s="3">
        <f t="shared" si="120"/>
        <v>0</v>
      </c>
      <c r="Y790">
        <f t="shared" si="121"/>
        <v>0</v>
      </c>
      <c r="Z790">
        <f t="shared" si="122"/>
        <v>0</v>
      </c>
      <c r="AA790">
        <f t="shared" si="123"/>
        <v>37.137071759258106</v>
      </c>
      <c r="AB790">
        <f t="shared" si="124"/>
        <v>37.137071759258106</v>
      </c>
      <c r="AC790">
        <f>IFERROR(_xlfn.XLOOKUP(B790, HoldSummary!$A:$A, HoldSummary!B:B), 0)</f>
        <v>0</v>
      </c>
      <c r="AD790">
        <f>IFERROR(_xlfn.XLOOKUP(B790, HoldSummary!$A:$A, HoldSummary!C:C), 0)</f>
        <v>0</v>
      </c>
      <c r="AE790">
        <f>IFERROR(_xlfn.XLOOKUP(B790, HoldSummary!$A:$A, HoldSummary!D:D), 0)</f>
        <v>0</v>
      </c>
      <c r="AF790">
        <f>IFERROR(_xlfn.XLOOKUP(B790, HoldSummary!$A:$A, HoldSummary!E:E), 0)</f>
        <v>0</v>
      </c>
      <c r="AG790">
        <f>IFERROR(_xlfn.XLOOKUP(B790, HoldSummary!$A:$A, HoldSummary!F:F), 0)</f>
        <v>0</v>
      </c>
      <c r="AH790">
        <f>IFERROR(_xlfn.XLOOKUP(B790, HoldSummary!$A:$A, HoldSummary!G:G), 0)</f>
        <v>0</v>
      </c>
      <c r="AI790">
        <f>IFERROR(_xlfn.XLOOKUP(B790, HoldSummary!$A:$A, HoldSummary!H:H), 0)</f>
        <v>0</v>
      </c>
      <c r="AJ790">
        <f>IFERROR(_xlfn.XLOOKUP(B790, HoldSummary!$A:$A, HoldSummary!I:I), 0)</f>
        <v>0</v>
      </c>
      <c r="AK790">
        <f t="shared" si="125"/>
        <v>0</v>
      </c>
      <c r="AL790">
        <f t="shared" si="126"/>
        <v>37.137071759258106</v>
      </c>
      <c r="AM790">
        <f t="shared" si="127"/>
        <v>37.137071759258106</v>
      </c>
      <c r="AN790" s="12">
        <f t="shared" si="128"/>
        <v>45317</v>
      </c>
      <c r="AO790">
        <f t="shared" si="129"/>
        <v>1</v>
      </c>
    </row>
    <row r="791" spans="1:41" x14ac:dyDescent="0.35">
      <c r="A791" t="s">
        <v>23</v>
      </c>
      <c r="B791" t="s">
        <v>1759</v>
      </c>
      <c r="C791" t="s">
        <v>43</v>
      </c>
      <c r="D791" t="s">
        <v>44</v>
      </c>
      <c r="E791" t="s">
        <v>45</v>
      </c>
      <c r="F791" t="s">
        <v>1719</v>
      </c>
      <c r="H791" t="s">
        <v>1760</v>
      </c>
      <c r="I791" t="s">
        <v>30</v>
      </c>
      <c r="J791" t="s">
        <v>31</v>
      </c>
      <c r="K791" t="s">
        <v>38</v>
      </c>
      <c r="L791" t="s">
        <v>53</v>
      </c>
      <c r="N791" s="2">
        <v>45282.340289351851</v>
      </c>
      <c r="O791" s="2"/>
      <c r="P791" s="2"/>
      <c r="Q791" s="2">
        <v>45407</v>
      </c>
      <c r="R791" s="2">
        <v>45407.528912337963</v>
      </c>
      <c r="S791" t="s">
        <v>1727</v>
      </c>
      <c r="T791" s="2"/>
      <c r="U791" s="2"/>
      <c r="V791" s="2"/>
      <c r="W791" s="2"/>
      <c r="X791" s="3" t="str">
        <f t="shared" si="120"/>
        <v/>
      </c>
      <c r="Y791" t="str">
        <f t="shared" si="121"/>
        <v/>
      </c>
      <c r="Z791">
        <f t="shared" si="122"/>
        <v>0</v>
      </c>
      <c r="AA791">
        <f t="shared" si="123"/>
        <v>124.65971064814948</v>
      </c>
      <c r="AB791">
        <f t="shared" si="124"/>
        <v>124.65971064814948</v>
      </c>
      <c r="AC791">
        <f>IFERROR(_xlfn.XLOOKUP(B791, HoldSummary!$A:$A, HoldSummary!B:B), 0)</f>
        <v>0</v>
      </c>
      <c r="AD791">
        <f>IFERROR(_xlfn.XLOOKUP(B791, HoldSummary!$A:$A, HoldSummary!C:C), 0)</f>
        <v>0</v>
      </c>
      <c r="AE791">
        <f>IFERROR(_xlfn.XLOOKUP(B791, HoldSummary!$A:$A, HoldSummary!D:D), 0)</f>
        <v>0</v>
      </c>
      <c r="AF791">
        <f>IFERROR(_xlfn.XLOOKUP(B791, HoldSummary!$A:$A, HoldSummary!E:E), 0)</f>
        <v>0</v>
      </c>
      <c r="AG791">
        <f>IFERROR(_xlfn.XLOOKUP(B791, HoldSummary!$A:$A, HoldSummary!F:F), 0)</f>
        <v>0</v>
      </c>
      <c r="AH791">
        <f>IFERROR(_xlfn.XLOOKUP(B791, HoldSummary!$A:$A, HoldSummary!G:G), 0)</f>
        <v>0</v>
      </c>
      <c r="AI791">
        <f>IFERROR(_xlfn.XLOOKUP(B791, HoldSummary!$A:$A, HoldSummary!H:H), 0)</f>
        <v>0</v>
      </c>
      <c r="AJ791">
        <f>IFERROR(_xlfn.XLOOKUP(B791, HoldSummary!$A:$A, HoldSummary!I:I), 0)</f>
        <v>0</v>
      </c>
      <c r="AK791">
        <f t="shared" si="125"/>
        <v>0</v>
      </c>
      <c r="AL791">
        <f t="shared" si="126"/>
        <v>124.65971064814948</v>
      </c>
      <c r="AM791">
        <f t="shared" si="127"/>
        <v>124.65971064814948</v>
      </c>
      <c r="AN791" s="12">
        <f t="shared" si="128"/>
        <v>45407</v>
      </c>
      <c r="AO791">
        <f t="shared" si="129"/>
        <v>1</v>
      </c>
    </row>
    <row r="792" spans="1:41" x14ac:dyDescent="0.35">
      <c r="A792" t="s">
        <v>23</v>
      </c>
      <c r="B792" t="s">
        <v>1761</v>
      </c>
      <c r="C792" t="s">
        <v>43</v>
      </c>
      <c r="D792" t="s">
        <v>44</v>
      </c>
      <c r="E792" t="s">
        <v>45</v>
      </c>
      <c r="F792" t="s">
        <v>1719</v>
      </c>
      <c r="H792" t="s">
        <v>1762</v>
      </c>
      <c r="I792" t="s">
        <v>30</v>
      </c>
      <c r="J792" t="s">
        <v>31</v>
      </c>
      <c r="K792" t="s">
        <v>38</v>
      </c>
      <c r="L792" t="s">
        <v>53</v>
      </c>
      <c r="N792" s="2">
        <v>45297.054884259262</v>
      </c>
      <c r="O792" s="2"/>
      <c r="P792" s="2"/>
      <c r="Q792" s="2">
        <v>45335</v>
      </c>
      <c r="R792" s="2">
        <v>45341.624157060185</v>
      </c>
      <c r="S792" t="s">
        <v>1727</v>
      </c>
      <c r="T792" s="2"/>
      <c r="U792" s="2"/>
      <c r="V792" s="2"/>
      <c r="W792" s="2"/>
      <c r="X792" s="3" t="str">
        <f t="shared" si="120"/>
        <v/>
      </c>
      <c r="Y792" t="str">
        <f t="shared" si="121"/>
        <v/>
      </c>
      <c r="Z792">
        <f t="shared" si="122"/>
        <v>0</v>
      </c>
      <c r="AA792">
        <f t="shared" si="123"/>
        <v>37.945115740738402</v>
      </c>
      <c r="AB792">
        <f t="shared" si="124"/>
        <v>37.945115740738402</v>
      </c>
      <c r="AC792">
        <f>IFERROR(_xlfn.XLOOKUP(B792, HoldSummary!$A:$A, HoldSummary!B:B), 0)</f>
        <v>0</v>
      </c>
      <c r="AD792">
        <f>IFERROR(_xlfn.XLOOKUP(B792, HoldSummary!$A:$A, HoldSummary!C:C), 0)</f>
        <v>0</v>
      </c>
      <c r="AE792">
        <f>IFERROR(_xlfn.XLOOKUP(B792, HoldSummary!$A:$A, HoldSummary!D:D), 0)</f>
        <v>0</v>
      </c>
      <c r="AF792">
        <f>IFERROR(_xlfn.XLOOKUP(B792, HoldSummary!$A:$A, HoldSummary!E:E), 0)</f>
        <v>0</v>
      </c>
      <c r="AG792">
        <f>IFERROR(_xlfn.XLOOKUP(B792, HoldSummary!$A:$A, HoldSummary!F:F), 0)</f>
        <v>0</v>
      </c>
      <c r="AH792">
        <f>IFERROR(_xlfn.XLOOKUP(B792, HoldSummary!$A:$A, HoldSummary!G:G), 0)</f>
        <v>0</v>
      </c>
      <c r="AI792">
        <f>IFERROR(_xlfn.XLOOKUP(B792, HoldSummary!$A:$A, HoldSummary!H:H), 0)</f>
        <v>0</v>
      </c>
      <c r="AJ792">
        <f>IFERROR(_xlfn.XLOOKUP(B792, HoldSummary!$A:$A, HoldSummary!I:I), 0)</f>
        <v>0</v>
      </c>
      <c r="AK792">
        <f t="shared" si="125"/>
        <v>0</v>
      </c>
      <c r="AL792">
        <f t="shared" si="126"/>
        <v>37.945115740738402</v>
      </c>
      <c r="AM792">
        <f t="shared" si="127"/>
        <v>37.945115740738402</v>
      </c>
      <c r="AN792" s="12">
        <f t="shared" si="128"/>
        <v>45335</v>
      </c>
      <c r="AO792">
        <f t="shared" si="129"/>
        <v>1</v>
      </c>
    </row>
    <row r="793" spans="1:41" x14ac:dyDescent="0.35">
      <c r="A793" t="s">
        <v>23</v>
      </c>
      <c r="B793" t="s">
        <v>1763</v>
      </c>
      <c r="C793" t="s">
        <v>43</v>
      </c>
      <c r="D793" t="s">
        <v>44</v>
      </c>
      <c r="E793" t="s">
        <v>45</v>
      </c>
      <c r="F793" t="s">
        <v>1719</v>
      </c>
      <c r="H793" t="s">
        <v>1764</v>
      </c>
      <c r="I793" t="s">
        <v>30</v>
      </c>
      <c r="J793" t="s">
        <v>70</v>
      </c>
      <c r="K793" t="s">
        <v>57</v>
      </c>
      <c r="L793" t="s">
        <v>53</v>
      </c>
      <c r="N793" s="2">
        <v>45264.578125</v>
      </c>
      <c r="O793" s="2"/>
      <c r="P793" s="2"/>
      <c r="Q793" s="2">
        <v>45308</v>
      </c>
      <c r="R793" s="2">
        <v>45308.914926701385</v>
      </c>
      <c r="T793" s="2"/>
      <c r="U793" s="2"/>
      <c r="V793" s="2"/>
      <c r="W793" s="2"/>
      <c r="X793" s="3" t="str">
        <f t="shared" si="120"/>
        <v/>
      </c>
      <c r="Y793" t="str">
        <f t="shared" si="121"/>
        <v/>
      </c>
      <c r="Z793">
        <f t="shared" si="122"/>
        <v>0</v>
      </c>
      <c r="AA793">
        <f t="shared" si="123"/>
        <v>43.421875</v>
      </c>
      <c r="AB793">
        <f t="shared" si="124"/>
        <v>43.421875</v>
      </c>
      <c r="AC793">
        <f>IFERROR(_xlfn.XLOOKUP(B793, HoldSummary!$A:$A, HoldSummary!B:B), 0)</f>
        <v>0</v>
      </c>
      <c r="AD793">
        <f>IFERROR(_xlfn.XLOOKUP(B793, HoldSummary!$A:$A, HoldSummary!C:C), 0)</f>
        <v>0</v>
      </c>
      <c r="AE793">
        <f>IFERROR(_xlfn.XLOOKUP(B793, HoldSummary!$A:$A, HoldSummary!D:D), 0)</f>
        <v>0</v>
      </c>
      <c r="AF793">
        <f>IFERROR(_xlfn.XLOOKUP(B793, HoldSummary!$A:$A, HoldSummary!E:E), 0)</f>
        <v>0</v>
      </c>
      <c r="AG793">
        <f>IFERROR(_xlfn.XLOOKUP(B793, HoldSummary!$A:$A, HoldSummary!F:F), 0)</f>
        <v>0</v>
      </c>
      <c r="AH793">
        <f>IFERROR(_xlfn.XLOOKUP(B793, HoldSummary!$A:$A, HoldSummary!G:G), 0)</f>
        <v>0</v>
      </c>
      <c r="AI793">
        <f>IFERROR(_xlfn.XLOOKUP(B793, HoldSummary!$A:$A, HoldSummary!H:H), 0)</f>
        <v>0</v>
      </c>
      <c r="AJ793">
        <f>IFERROR(_xlfn.XLOOKUP(B793, HoldSummary!$A:$A, HoldSummary!I:I), 0)</f>
        <v>0</v>
      </c>
      <c r="AK793">
        <f t="shared" si="125"/>
        <v>0</v>
      </c>
      <c r="AL793">
        <f t="shared" si="126"/>
        <v>43.421875</v>
      </c>
      <c r="AM793">
        <f t="shared" si="127"/>
        <v>43.421875</v>
      </c>
      <c r="AN793" s="12">
        <f t="shared" si="128"/>
        <v>45308</v>
      </c>
      <c r="AO793">
        <f t="shared" si="129"/>
        <v>1</v>
      </c>
    </row>
    <row r="794" spans="1:41" x14ac:dyDescent="0.35">
      <c r="A794" t="s">
        <v>23</v>
      </c>
      <c r="B794" t="s">
        <v>1765</v>
      </c>
      <c r="C794" t="s">
        <v>43</v>
      </c>
      <c r="D794" t="s">
        <v>44</v>
      </c>
      <c r="E794" t="s">
        <v>45</v>
      </c>
      <c r="F794" t="s">
        <v>1719</v>
      </c>
      <c r="H794" t="s">
        <v>1766</v>
      </c>
      <c r="I794" t="s">
        <v>30</v>
      </c>
      <c r="J794" t="s">
        <v>70</v>
      </c>
      <c r="K794" t="s">
        <v>38</v>
      </c>
      <c r="L794" t="s">
        <v>39</v>
      </c>
      <c r="N794" s="2">
        <v>45307.681157407409</v>
      </c>
      <c r="O794" s="2"/>
      <c r="P794" s="2"/>
      <c r="Q794" s="2">
        <v>45310</v>
      </c>
      <c r="R794" s="2">
        <v>45310.700190694442</v>
      </c>
      <c r="T794" s="2"/>
      <c r="U794" s="2"/>
      <c r="V794" s="2"/>
      <c r="W794" s="2"/>
      <c r="X794" s="3" t="str">
        <f t="shared" si="120"/>
        <v/>
      </c>
      <c r="Y794" t="str">
        <f t="shared" si="121"/>
        <v/>
      </c>
      <c r="Z794">
        <f t="shared" si="122"/>
        <v>0</v>
      </c>
      <c r="AA794">
        <f t="shared" si="123"/>
        <v>2.3188425925909542</v>
      </c>
      <c r="AB794">
        <f t="shared" si="124"/>
        <v>2.3188425925909542</v>
      </c>
      <c r="AC794">
        <f>IFERROR(_xlfn.XLOOKUP(B794, HoldSummary!$A:$A, HoldSummary!B:B), 0)</f>
        <v>0</v>
      </c>
      <c r="AD794">
        <f>IFERROR(_xlfn.XLOOKUP(B794, HoldSummary!$A:$A, HoldSummary!C:C), 0)</f>
        <v>0</v>
      </c>
      <c r="AE794">
        <f>IFERROR(_xlfn.XLOOKUP(B794, HoldSummary!$A:$A, HoldSummary!D:D), 0)</f>
        <v>0</v>
      </c>
      <c r="AF794">
        <f>IFERROR(_xlfn.XLOOKUP(B794, HoldSummary!$A:$A, HoldSummary!E:E), 0)</f>
        <v>0</v>
      </c>
      <c r="AG794">
        <f>IFERROR(_xlfn.XLOOKUP(B794, HoldSummary!$A:$A, HoldSummary!F:F), 0)</f>
        <v>0</v>
      </c>
      <c r="AH794">
        <f>IFERROR(_xlfn.XLOOKUP(B794, HoldSummary!$A:$A, HoldSummary!G:G), 0)</f>
        <v>0</v>
      </c>
      <c r="AI794">
        <f>IFERROR(_xlfn.XLOOKUP(B794, HoldSummary!$A:$A, HoldSummary!H:H), 0)</f>
        <v>0</v>
      </c>
      <c r="AJ794">
        <f>IFERROR(_xlfn.XLOOKUP(B794, HoldSummary!$A:$A, HoldSummary!I:I), 0)</f>
        <v>0</v>
      </c>
      <c r="AK794">
        <f t="shared" si="125"/>
        <v>0</v>
      </c>
      <c r="AL794">
        <f t="shared" si="126"/>
        <v>2.3188425925909542</v>
      </c>
      <c r="AM794">
        <f t="shared" si="127"/>
        <v>2.3188425925909542</v>
      </c>
      <c r="AN794" s="12">
        <f t="shared" si="128"/>
        <v>45310</v>
      </c>
      <c r="AO794">
        <f t="shared" si="129"/>
        <v>1</v>
      </c>
    </row>
    <row r="795" spans="1:41" x14ac:dyDescent="0.35">
      <c r="A795" t="s">
        <v>23</v>
      </c>
      <c r="B795" t="s">
        <v>1767</v>
      </c>
      <c r="C795" t="s">
        <v>1768</v>
      </c>
      <c r="D795" t="s">
        <v>44</v>
      </c>
      <c r="E795" t="s">
        <v>44</v>
      </c>
      <c r="F795" t="s">
        <v>1719</v>
      </c>
      <c r="H795" t="s">
        <v>1769</v>
      </c>
      <c r="I795" t="s">
        <v>30</v>
      </c>
      <c r="J795" t="s">
        <v>31</v>
      </c>
      <c r="K795" t="s">
        <v>32</v>
      </c>
      <c r="N795" s="2">
        <v>45414.166666666664</v>
      </c>
      <c r="O795" s="2"/>
      <c r="P795" s="2"/>
      <c r="Q795" s="2">
        <v>45313</v>
      </c>
      <c r="R795" s="2">
        <v>45414.603417048609</v>
      </c>
      <c r="T795" s="2"/>
      <c r="U795" s="2"/>
      <c r="V795" s="2"/>
      <c r="W795" s="2"/>
      <c r="X795" s="3" t="str">
        <f t="shared" si="120"/>
        <v/>
      </c>
      <c r="Y795" t="str">
        <f t="shared" si="121"/>
        <v/>
      </c>
      <c r="Z795">
        <f t="shared" si="122"/>
        <v>0</v>
      </c>
      <c r="AA795">
        <f t="shared" si="123"/>
        <v>-101.16666666666424</v>
      </c>
      <c r="AB795">
        <f t="shared" si="124"/>
        <v>-101.16666666666424</v>
      </c>
      <c r="AC795">
        <f>IFERROR(_xlfn.XLOOKUP(B795, HoldSummary!$A:$A, HoldSummary!B:B), 0)</f>
        <v>0</v>
      </c>
      <c r="AD795">
        <f>IFERROR(_xlfn.XLOOKUP(B795, HoldSummary!$A:$A, HoldSummary!C:C), 0)</f>
        <v>0</v>
      </c>
      <c r="AE795">
        <f>IFERROR(_xlfn.XLOOKUP(B795, HoldSummary!$A:$A, HoldSummary!D:D), 0)</f>
        <v>0</v>
      </c>
      <c r="AF795">
        <f>IFERROR(_xlfn.XLOOKUP(B795, HoldSummary!$A:$A, HoldSummary!E:E), 0)</f>
        <v>0</v>
      </c>
      <c r="AG795">
        <f>IFERROR(_xlfn.XLOOKUP(B795, HoldSummary!$A:$A, HoldSummary!F:F), 0)</f>
        <v>0</v>
      </c>
      <c r="AH795">
        <f>IFERROR(_xlfn.XLOOKUP(B795, HoldSummary!$A:$A, HoldSummary!G:G), 0)</f>
        <v>0</v>
      </c>
      <c r="AI795">
        <f>IFERROR(_xlfn.XLOOKUP(B795, HoldSummary!$A:$A, HoldSummary!H:H), 0)</f>
        <v>0</v>
      </c>
      <c r="AJ795">
        <f>IFERROR(_xlfn.XLOOKUP(B795, HoldSummary!$A:$A, HoldSummary!I:I), 0)</f>
        <v>0</v>
      </c>
      <c r="AK795">
        <f t="shared" si="125"/>
        <v>0</v>
      </c>
      <c r="AL795">
        <f t="shared" si="126"/>
        <v>-101.16666666666424</v>
      </c>
      <c r="AM795">
        <f t="shared" si="127"/>
        <v>-101.16666666666424</v>
      </c>
      <c r="AN795" s="12">
        <f t="shared" si="128"/>
        <v>45313</v>
      </c>
      <c r="AO795">
        <f t="shared" si="129"/>
        <v>1</v>
      </c>
    </row>
    <row r="796" spans="1:41" x14ac:dyDescent="0.35">
      <c r="A796" t="s">
        <v>23</v>
      </c>
      <c r="B796" t="s">
        <v>1770</v>
      </c>
      <c r="C796" t="s">
        <v>1768</v>
      </c>
      <c r="D796" t="s">
        <v>44</v>
      </c>
      <c r="E796" t="s">
        <v>44</v>
      </c>
      <c r="F796" t="s">
        <v>1719</v>
      </c>
      <c r="H796" t="s">
        <v>1771</v>
      </c>
      <c r="I796" t="s">
        <v>30</v>
      </c>
      <c r="J796" t="s">
        <v>31</v>
      </c>
      <c r="K796" t="s">
        <v>32</v>
      </c>
      <c r="N796" s="2">
        <v>45414.166666666664</v>
      </c>
      <c r="O796" s="2"/>
      <c r="P796" s="2"/>
      <c r="Q796" s="2">
        <v>45313</v>
      </c>
      <c r="R796" s="2">
        <v>45414.604552638892</v>
      </c>
      <c r="T796" s="2"/>
      <c r="U796" s="2"/>
      <c r="V796" s="2"/>
      <c r="W796" s="2"/>
      <c r="X796" s="3" t="str">
        <f t="shared" si="120"/>
        <v/>
      </c>
      <c r="Y796" t="str">
        <f t="shared" si="121"/>
        <v/>
      </c>
      <c r="Z796">
        <f t="shared" si="122"/>
        <v>0</v>
      </c>
      <c r="AA796">
        <f t="shared" si="123"/>
        <v>-101.16666666666424</v>
      </c>
      <c r="AB796">
        <f t="shared" si="124"/>
        <v>-101.16666666666424</v>
      </c>
      <c r="AC796">
        <f>IFERROR(_xlfn.XLOOKUP(B796, HoldSummary!$A:$A, HoldSummary!B:B), 0)</f>
        <v>0</v>
      </c>
      <c r="AD796">
        <f>IFERROR(_xlfn.XLOOKUP(B796, HoldSummary!$A:$A, HoldSummary!C:C), 0)</f>
        <v>0</v>
      </c>
      <c r="AE796">
        <f>IFERROR(_xlfn.XLOOKUP(B796, HoldSummary!$A:$A, HoldSummary!D:D), 0)</f>
        <v>0</v>
      </c>
      <c r="AF796">
        <f>IFERROR(_xlfn.XLOOKUP(B796, HoldSummary!$A:$A, HoldSummary!E:E), 0)</f>
        <v>0</v>
      </c>
      <c r="AG796">
        <f>IFERROR(_xlfn.XLOOKUP(B796, HoldSummary!$A:$A, HoldSummary!F:F), 0)</f>
        <v>0</v>
      </c>
      <c r="AH796">
        <f>IFERROR(_xlfn.XLOOKUP(B796, HoldSummary!$A:$A, HoldSummary!G:G), 0)</f>
        <v>0</v>
      </c>
      <c r="AI796">
        <f>IFERROR(_xlfn.XLOOKUP(B796, HoldSummary!$A:$A, HoldSummary!H:H), 0)</f>
        <v>0</v>
      </c>
      <c r="AJ796">
        <f>IFERROR(_xlfn.XLOOKUP(B796, HoldSummary!$A:$A, HoldSummary!I:I), 0)</f>
        <v>0</v>
      </c>
      <c r="AK796">
        <f t="shared" si="125"/>
        <v>0</v>
      </c>
      <c r="AL796">
        <f t="shared" si="126"/>
        <v>-101.16666666666424</v>
      </c>
      <c r="AM796">
        <f t="shared" si="127"/>
        <v>-101.16666666666424</v>
      </c>
      <c r="AN796" s="12">
        <f t="shared" si="128"/>
        <v>45313</v>
      </c>
      <c r="AO796">
        <f t="shared" si="129"/>
        <v>1</v>
      </c>
    </row>
    <row r="797" spans="1:41" x14ac:dyDescent="0.35">
      <c r="A797" t="s">
        <v>23</v>
      </c>
      <c r="B797" t="s">
        <v>1772</v>
      </c>
      <c r="C797" t="s">
        <v>43</v>
      </c>
      <c r="D797" t="s">
        <v>44</v>
      </c>
      <c r="E797" t="s">
        <v>45</v>
      </c>
      <c r="F797" t="s">
        <v>1719</v>
      </c>
      <c r="H797" t="s">
        <v>1773</v>
      </c>
      <c r="I797" t="s">
        <v>30</v>
      </c>
      <c r="J797" t="s">
        <v>31</v>
      </c>
      <c r="K797" t="s">
        <v>48</v>
      </c>
      <c r="L797" t="s">
        <v>39</v>
      </c>
      <c r="N797" s="2">
        <v>45303.759571759256</v>
      </c>
      <c r="O797" s="2"/>
      <c r="P797" s="2"/>
      <c r="Q797" s="2">
        <v>45346</v>
      </c>
      <c r="R797" s="2">
        <v>45348.61359429398</v>
      </c>
      <c r="T797" s="2">
        <v>45327.208333333336</v>
      </c>
      <c r="U797" s="2">
        <v>45329.208333333336</v>
      </c>
      <c r="V797" s="2">
        <v>45329.208333333336</v>
      </c>
      <c r="W797" s="2">
        <v>45336.208333333336</v>
      </c>
      <c r="X797" s="3">
        <f t="shared" si="120"/>
        <v>2</v>
      </c>
      <c r="Y797">
        <f t="shared" si="121"/>
        <v>7</v>
      </c>
      <c r="Z797">
        <f t="shared" si="122"/>
        <v>9</v>
      </c>
      <c r="AA797">
        <f t="shared" si="123"/>
        <v>42.240428240744222</v>
      </c>
      <c r="AB797">
        <f t="shared" si="124"/>
        <v>33.240428240744222</v>
      </c>
      <c r="AC797">
        <f>IFERROR(_xlfn.XLOOKUP(B797, HoldSummary!$A:$A, HoldSummary!B:B), 0)</f>
        <v>0</v>
      </c>
      <c r="AD797">
        <f>IFERROR(_xlfn.XLOOKUP(B797, HoldSummary!$A:$A, HoldSummary!C:C), 0)</f>
        <v>0</v>
      </c>
      <c r="AE797">
        <f>IFERROR(_xlfn.XLOOKUP(B797, HoldSummary!$A:$A, HoldSummary!D:D), 0)</f>
        <v>0</v>
      </c>
      <c r="AF797">
        <f>IFERROR(_xlfn.XLOOKUP(B797, HoldSummary!$A:$A, HoldSummary!E:E), 0)</f>
        <v>0</v>
      </c>
      <c r="AG797">
        <f>IFERROR(_xlfn.XLOOKUP(B797, HoldSummary!$A:$A, HoldSummary!F:F), 0)</f>
        <v>0</v>
      </c>
      <c r="AH797">
        <f>IFERROR(_xlfn.XLOOKUP(B797, HoldSummary!$A:$A, HoldSummary!G:G), 0)</f>
        <v>0</v>
      </c>
      <c r="AI797">
        <f>IFERROR(_xlfn.XLOOKUP(B797, HoldSummary!$A:$A, HoldSummary!H:H), 0)</f>
        <v>0</v>
      </c>
      <c r="AJ797">
        <f>IFERROR(_xlfn.XLOOKUP(B797, HoldSummary!$A:$A, HoldSummary!I:I), 0)</f>
        <v>0</v>
      </c>
      <c r="AK797">
        <f t="shared" si="125"/>
        <v>0</v>
      </c>
      <c r="AL797">
        <f t="shared" si="126"/>
        <v>42.240428240744222</v>
      </c>
      <c r="AM797">
        <f t="shared" si="127"/>
        <v>33.240428240744222</v>
      </c>
      <c r="AN797" s="12">
        <f t="shared" si="128"/>
        <v>45346</v>
      </c>
      <c r="AO797">
        <f t="shared" si="129"/>
        <v>1</v>
      </c>
    </row>
    <row r="798" spans="1:41" x14ac:dyDescent="0.35">
      <c r="A798" t="s">
        <v>23</v>
      </c>
      <c r="B798" t="s">
        <v>1774</v>
      </c>
      <c r="C798" t="s">
        <v>43</v>
      </c>
      <c r="D798" t="s">
        <v>44</v>
      </c>
      <c r="E798" t="s">
        <v>44</v>
      </c>
      <c r="F798" t="s">
        <v>1719</v>
      </c>
      <c r="H798" t="s">
        <v>1775</v>
      </c>
      <c r="I798" t="s">
        <v>30</v>
      </c>
      <c r="J798" t="s">
        <v>31</v>
      </c>
      <c r="K798" t="s">
        <v>48</v>
      </c>
      <c r="N798" s="2">
        <v>45321.208333333336</v>
      </c>
      <c r="O798" s="2"/>
      <c r="P798" s="2"/>
      <c r="Q798" s="2">
        <v>45322</v>
      </c>
      <c r="R798" s="2">
        <v>45322.852410729167</v>
      </c>
      <c r="S798" t="s">
        <v>1776</v>
      </c>
      <c r="T798" s="2"/>
      <c r="U798" s="2"/>
      <c r="V798" s="2"/>
      <c r="W798" s="2"/>
      <c r="X798" s="3" t="str">
        <f t="shared" si="120"/>
        <v/>
      </c>
      <c r="Y798" t="str">
        <f t="shared" si="121"/>
        <v/>
      </c>
      <c r="Z798">
        <f t="shared" si="122"/>
        <v>0</v>
      </c>
      <c r="AA798">
        <f t="shared" si="123"/>
        <v>0.79166666666424135</v>
      </c>
      <c r="AB798">
        <f t="shared" si="124"/>
        <v>0.79166666666424135</v>
      </c>
      <c r="AC798">
        <f>IFERROR(_xlfn.XLOOKUP(B798, HoldSummary!$A:$A, HoldSummary!B:B), 0)</f>
        <v>0</v>
      </c>
      <c r="AD798">
        <f>IFERROR(_xlfn.XLOOKUP(B798, HoldSummary!$A:$A, HoldSummary!C:C), 0)</f>
        <v>0</v>
      </c>
      <c r="AE798">
        <f>IFERROR(_xlfn.XLOOKUP(B798, HoldSummary!$A:$A, HoldSummary!D:D), 0)</f>
        <v>0</v>
      </c>
      <c r="AF798">
        <f>IFERROR(_xlfn.XLOOKUP(B798, HoldSummary!$A:$A, HoldSummary!E:E), 0)</f>
        <v>0</v>
      </c>
      <c r="AG798">
        <f>IFERROR(_xlfn.XLOOKUP(B798, HoldSummary!$A:$A, HoldSummary!F:F), 0)</f>
        <v>0</v>
      </c>
      <c r="AH798">
        <f>IFERROR(_xlfn.XLOOKUP(B798, HoldSummary!$A:$A, HoldSummary!G:G), 0)</f>
        <v>0</v>
      </c>
      <c r="AI798">
        <f>IFERROR(_xlfn.XLOOKUP(B798, HoldSummary!$A:$A, HoldSummary!H:H), 0)</f>
        <v>0</v>
      </c>
      <c r="AJ798">
        <f>IFERROR(_xlfn.XLOOKUP(B798, HoldSummary!$A:$A, HoldSummary!I:I), 0)</f>
        <v>0</v>
      </c>
      <c r="AK798">
        <f t="shared" si="125"/>
        <v>0</v>
      </c>
      <c r="AL798">
        <f t="shared" si="126"/>
        <v>0.79166666666424135</v>
      </c>
      <c r="AM798">
        <f t="shared" si="127"/>
        <v>0.79166666666424135</v>
      </c>
      <c r="AN798" s="12">
        <f t="shared" si="128"/>
        <v>45322</v>
      </c>
      <c r="AO798">
        <f t="shared" si="129"/>
        <v>1</v>
      </c>
    </row>
    <row r="799" spans="1:41" x14ac:dyDescent="0.35">
      <c r="A799" t="s">
        <v>23</v>
      </c>
      <c r="B799" t="s">
        <v>1777</v>
      </c>
      <c r="C799" t="s">
        <v>43</v>
      </c>
      <c r="D799" t="s">
        <v>44</v>
      </c>
      <c r="E799" t="s">
        <v>45</v>
      </c>
      <c r="F799" t="s">
        <v>1719</v>
      </c>
      <c r="H799" t="s">
        <v>1778</v>
      </c>
      <c r="I799" t="s">
        <v>30</v>
      </c>
      <c r="J799" t="s">
        <v>31</v>
      </c>
      <c r="K799" t="s">
        <v>48</v>
      </c>
      <c r="N799" s="2">
        <v>45322.662662037037</v>
      </c>
      <c r="O799" s="2"/>
      <c r="P799" s="2"/>
      <c r="Q799" s="2">
        <v>45335</v>
      </c>
      <c r="R799" s="2">
        <v>45335.899154062499</v>
      </c>
      <c r="S799" t="s">
        <v>1453</v>
      </c>
      <c r="T799" s="2"/>
      <c r="U799" s="2"/>
      <c r="V799" s="2"/>
      <c r="W799" s="2"/>
      <c r="X799" s="3" t="str">
        <f t="shared" si="120"/>
        <v/>
      </c>
      <c r="Y799" t="str">
        <f t="shared" si="121"/>
        <v/>
      </c>
      <c r="Z799">
        <f t="shared" si="122"/>
        <v>0</v>
      </c>
      <c r="AA799">
        <f t="shared" si="123"/>
        <v>12.33733796296292</v>
      </c>
      <c r="AB799">
        <f t="shared" si="124"/>
        <v>12.33733796296292</v>
      </c>
      <c r="AC799">
        <f>IFERROR(_xlfn.XLOOKUP(B799, HoldSummary!$A:$A, HoldSummary!B:B), 0)</f>
        <v>0</v>
      </c>
      <c r="AD799">
        <f>IFERROR(_xlfn.XLOOKUP(B799, HoldSummary!$A:$A, HoldSummary!C:C), 0)</f>
        <v>0</v>
      </c>
      <c r="AE799">
        <f>IFERROR(_xlfn.XLOOKUP(B799, HoldSummary!$A:$A, HoldSummary!D:D), 0)</f>
        <v>0</v>
      </c>
      <c r="AF799">
        <f>IFERROR(_xlfn.XLOOKUP(B799, HoldSummary!$A:$A, HoldSummary!E:E), 0)</f>
        <v>0</v>
      </c>
      <c r="AG799">
        <f>IFERROR(_xlfn.XLOOKUP(B799, HoldSummary!$A:$A, HoldSummary!F:F), 0)</f>
        <v>0</v>
      </c>
      <c r="AH799">
        <f>IFERROR(_xlfn.XLOOKUP(B799, HoldSummary!$A:$A, HoldSummary!G:G), 0)</f>
        <v>0</v>
      </c>
      <c r="AI799">
        <f>IFERROR(_xlfn.XLOOKUP(B799, HoldSummary!$A:$A, HoldSummary!H:H), 0)</f>
        <v>0</v>
      </c>
      <c r="AJ799">
        <f>IFERROR(_xlfn.XLOOKUP(B799, HoldSummary!$A:$A, HoldSummary!I:I), 0)</f>
        <v>0</v>
      </c>
      <c r="AK799">
        <f t="shared" si="125"/>
        <v>0</v>
      </c>
      <c r="AL799">
        <f t="shared" si="126"/>
        <v>12.33733796296292</v>
      </c>
      <c r="AM799">
        <f t="shared" si="127"/>
        <v>12.33733796296292</v>
      </c>
      <c r="AN799" s="12">
        <f t="shared" si="128"/>
        <v>45335</v>
      </c>
      <c r="AO799">
        <f t="shared" si="129"/>
        <v>1</v>
      </c>
    </row>
    <row r="800" spans="1:41" x14ac:dyDescent="0.35">
      <c r="A800" t="s">
        <v>23</v>
      </c>
      <c r="B800" t="s">
        <v>1779</v>
      </c>
      <c r="C800" t="s">
        <v>43</v>
      </c>
      <c r="D800" t="s">
        <v>44</v>
      </c>
      <c r="E800" t="s">
        <v>45</v>
      </c>
      <c r="F800" t="s">
        <v>1719</v>
      </c>
      <c r="H800" t="s">
        <v>1780</v>
      </c>
      <c r="I800" t="s">
        <v>30</v>
      </c>
      <c r="J800" t="s">
        <v>31</v>
      </c>
      <c r="K800" t="s">
        <v>38</v>
      </c>
      <c r="L800" t="s">
        <v>53</v>
      </c>
      <c r="N800" s="2">
        <v>45322.381296296298</v>
      </c>
      <c r="O800" s="2"/>
      <c r="P800" s="2"/>
      <c r="Q800" s="2">
        <v>45392</v>
      </c>
      <c r="R800" s="2">
        <v>45392.56075744213</v>
      </c>
      <c r="S800" t="s">
        <v>1727</v>
      </c>
      <c r="T800" s="2"/>
      <c r="U800" s="2"/>
      <c r="V800" s="2"/>
      <c r="W800" s="2"/>
      <c r="X800" s="3" t="str">
        <f t="shared" si="120"/>
        <v/>
      </c>
      <c r="Y800" t="str">
        <f t="shared" si="121"/>
        <v/>
      </c>
      <c r="Z800">
        <f t="shared" si="122"/>
        <v>0</v>
      </c>
      <c r="AA800">
        <f t="shared" si="123"/>
        <v>69.618703703701613</v>
      </c>
      <c r="AB800">
        <f t="shared" si="124"/>
        <v>69.618703703701613</v>
      </c>
      <c r="AC800">
        <f>IFERROR(_xlfn.XLOOKUP(B800, HoldSummary!$A:$A, HoldSummary!B:B), 0)</f>
        <v>0</v>
      </c>
      <c r="AD800">
        <f>IFERROR(_xlfn.XLOOKUP(B800, HoldSummary!$A:$A, HoldSummary!C:C), 0)</f>
        <v>0</v>
      </c>
      <c r="AE800">
        <f>IFERROR(_xlfn.XLOOKUP(B800, HoldSummary!$A:$A, HoldSummary!D:D), 0)</f>
        <v>0</v>
      </c>
      <c r="AF800">
        <f>IFERROR(_xlfn.XLOOKUP(B800, HoldSummary!$A:$A, HoldSummary!E:E), 0)</f>
        <v>0</v>
      </c>
      <c r="AG800">
        <f>IFERROR(_xlfn.XLOOKUP(B800, HoldSummary!$A:$A, HoldSummary!F:F), 0)</f>
        <v>0</v>
      </c>
      <c r="AH800">
        <f>IFERROR(_xlfn.XLOOKUP(B800, HoldSummary!$A:$A, HoldSummary!G:G), 0)</f>
        <v>0</v>
      </c>
      <c r="AI800">
        <f>IFERROR(_xlfn.XLOOKUP(B800, HoldSummary!$A:$A, HoldSummary!H:H), 0)</f>
        <v>0</v>
      </c>
      <c r="AJ800">
        <f>IFERROR(_xlfn.XLOOKUP(B800, HoldSummary!$A:$A, HoldSummary!I:I), 0)</f>
        <v>0</v>
      </c>
      <c r="AK800">
        <f t="shared" si="125"/>
        <v>0</v>
      </c>
      <c r="AL800">
        <f t="shared" si="126"/>
        <v>69.618703703701613</v>
      </c>
      <c r="AM800">
        <f t="shared" si="127"/>
        <v>69.618703703701613</v>
      </c>
      <c r="AN800" s="12">
        <f t="shared" si="128"/>
        <v>45392</v>
      </c>
      <c r="AO800">
        <f t="shared" si="129"/>
        <v>1</v>
      </c>
    </row>
    <row r="801" spans="1:41" x14ac:dyDescent="0.35">
      <c r="A801" t="s">
        <v>23</v>
      </c>
      <c r="B801" t="s">
        <v>1781</v>
      </c>
      <c r="C801" t="s">
        <v>43</v>
      </c>
      <c r="D801" t="s">
        <v>44</v>
      </c>
      <c r="E801" t="s">
        <v>44</v>
      </c>
      <c r="F801" t="s">
        <v>1719</v>
      </c>
      <c r="H801" t="s">
        <v>1782</v>
      </c>
      <c r="I801" t="s">
        <v>30</v>
      </c>
      <c r="J801" t="s">
        <v>70</v>
      </c>
      <c r="K801" t="s">
        <v>57</v>
      </c>
      <c r="L801" t="s">
        <v>53</v>
      </c>
      <c r="N801" s="2">
        <v>45323.208333333336</v>
      </c>
      <c r="O801" s="2"/>
      <c r="P801" s="2"/>
      <c r="Q801" s="2">
        <v>45358</v>
      </c>
      <c r="R801" s="2">
        <v>45358.663209502316</v>
      </c>
      <c r="S801" t="s">
        <v>1783</v>
      </c>
      <c r="T801" s="2"/>
      <c r="U801" s="2"/>
      <c r="V801" s="2"/>
      <c r="W801" s="2"/>
      <c r="X801" s="3" t="str">
        <f t="shared" si="120"/>
        <v/>
      </c>
      <c r="Y801" t="str">
        <f t="shared" si="121"/>
        <v/>
      </c>
      <c r="Z801">
        <f t="shared" si="122"/>
        <v>0</v>
      </c>
      <c r="AA801">
        <f t="shared" si="123"/>
        <v>34.791666666664241</v>
      </c>
      <c r="AB801">
        <f t="shared" si="124"/>
        <v>34.791666666664241</v>
      </c>
      <c r="AC801">
        <f>IFERROR(_xlfn.XLOOKUP(B801, HoldSummary!$A:$A, HoldSummary!B:B), 0)</f>
        <v>0</v>
      </c>
      <c r="AD801">
        <f>IFERROR(_xlfn.XLOOKUP(B801, HoldSummary!$A:$A, HoldSummary!C:C), 0)</f>
        <v>0</v>
      </c>
      <c r="AE801">
        <f>IFERROR(_xlfn.XLOOKUP(B801, HoldSummary!$A:$A, HoldSummary!D:D), 0)</f>
        <v>0</v>
      </c>
      <c r="AF801">
        <f>IFERROR(_xlfn.XLOOKUP(B801, HoldSummary!$A:$A, HoldSummary!E:E), 0)</f>
        <v>0</v>
      </c>
      <c r="AG801">
        <f>IFERROR(_xlfn.XLOOKUP(B801, HoldSummary!$A:$A, HoldSummary!F:F), 0)</f>
        <v>0</v>
      </c>
      <c r="AH801">
        <f>IFERROR(_xlfn.XLOOKUP(B801, HoldSummary!$A:$A, HoldSummary!G:G), 0)</f>
        <v>0</v>
      </c>
      <c r="AI801">
        <f>IFERROR(_xlfn.XLOOKUP(B801, HoldSummary!$A:$A, HoldSummary!H:H), 0)</f>
        <v>0</v>
      </c>
      <c r="AJ801">
        <f>IFERROR(_xlfn.XLOOKUP(B801, HoldSummary!$A:$A, HoldSummary!I:I), 0)</f>
        <v>0</v>
      </c>
      <c r="AK801">
        <f t="shared" si="125"/>
        <v>0</v>
      </c>
      <c r="AL801">
        <f t="shared" si="126"/>
        <v>34.791666666664241</v>
      </c>
      <c r="AM801">
        <f t="shared" si="127"/>
        <v>34.791666666664241</v>
      </c>
      <c r="AN801" s="12">
        <f t="shared" si="128"/>
        <v>45358</v>
      </c>
      <c r="AO801">
        <f t="shared" si="129"/>
        <v>1</v>
      </c>
    </row>
    <row r="802" spans="1:41" x14ac:dyDescent="0.35">
      <c r="A802" t="s">
        <v>23</v>
      </c>
      <c r="B802" t="s">
        <v>1784</v>
      </c>
      <c r="C802" t="s">
        <v>43</v>
      </c>
      <c r="D802" t="s">
        <v>44</v>
      </c>
      <c r="E802" t="s">
        <v>45</v>
      </c>
      <c r="F802" t="s">
        <v>1719</v>
      </c>
      <c r="H802" t="s">
        <v>1785</v>
      </c>
      <c r="I802" t="s">
        <v>30</v>
      </c>
      <c r="J802" t="s">
        <v>31</v>
      </c>
      <c r="K802" t="s">
        <v>48</v>
      </c>
      <c r="L802" t="s">
        <v>192</v>
      </c>
      <c r="N802" s="2">
        <v>45327.85565972222</v>
      </c>
      <c r="O802" s="2"/>
      <c r="P802" s="2"/>
      <c r="Q802" s="2">
        <v>45630</v>
      </c>
      <c r="R802" s="2">
        <v>45630.902286342593</v>
      </c>
      <c r="S802" t="s">
        <v>1545</v>
      </c>
      <c r="T802" s="2">
        <v>45595.166666666664</v>
      </c>
      <c r="U802" s="2">
        <v>45607.208333333336</v>
      </c>
      <c r="V802" s="2">
        <v>45607.208333333336</v>
      </c>
      <c r="W802" s="2">
        <v>45611.208333333336</v>
      </c>
      <c r="X802" s="3">
        <f t="shared" si="120"/>
        <v>12.041666666671517</v>
      </c>
      <c r="Y802">
        <f t="shared" si="121"/>
        <v>4</v>
      </c>
      <c r="Z802">
        <f t="shared" si="122"/>
        <v>16.041666666671517</v>
      </c>
      <c r="AA802">
        <f t="shared" si="123"/>
        <v>302.14434027778043</v>
      </c>
      <c r="AB802">
        <f t="shared" si="124"/>
        <v>286.10267361110891</v>
      </c>
      <c r="AC802">
        <f>IFERROR(_xlfn.XLOOKUP(B802, HoldSummary!$A:$A, HoldSummary!B:B), 0)</f>
        <v>0</v>
      </c>
      <c r="AD802">
        <f>IFERROR(_xlfn.XLOOKUP(B802, HoldSummary!$A:$A, HoldSummary!C:C), 0)</f>
        <v>0</v>
      </c>
      <c r="AE802">
        <f>IFERROR(_xlfn.XLOOKUP(B802, HoldSummary!$A:$A, HoldSummary!D:D), 0)</f>
        <v>0</v>
      </c>
      <c r="AF802">
        <f>IFERROR(_xlfn.XLOOKUP(B802, HoldSummary!$A:$A, HoldSummary!E:E), 0)</f>
        <v>0</v>
      </c>
      <c r="AG802">
        <f>IFERROR(_xlfn.XLOOKUP(B802, HoldSummary!$A:$A, HoldSummary!F:F), 0)</f>
        <v>0</v>
      </c>
      <c r="AH802">
        <f>IFERROR(_xlfn.XLOOKUP(B802, HoldSummary!$A:$A, HoldSummary!G:G), 0)</f>
        <v>195.98075018518284</v>
      </c>
      <c r="AI802">
        <f>IFERROR(_xlfn.XLOOKUP(B802, HoldSummary!$A:$A, HoldSummary!H:H), 0)</f>
        <v>0</v>
      </c>
      <c r="AJ802">
        <f>IFERROR(_xlfn.XLOOKUP(B802, HoldSummary!$A:$A, HoldSummary!I:I), 0)</f>
        <v>0</v>
      </c>
      <c r="AK802">
        <f t="shared" si="125"/>
        <v>195.98075018518284</v>
      </c>
      <c r="AL802">
        <f t="shared" si="126"/>
        <v>106.16359009259759</v>
      </c>
      <c r="AM802">
        <f t="shared" si="127"/>
        <v>90.12192342592607</v>
      </c>
      <c r="AN802" s="12">
        <f t="shared" si="128"/>
        <v>45630</v>
      </c>
      <c r="AO802">
        <f t="shared" si="129"/>
        <v>1</v>
      </c>
    </row>
    <row r="803" spans="1:41" x14ac:dyDescent="0.35">
      <c r="A803" t="s">
        <v>23</v>
      </c>
      <c r="B803" t="s">
        <v>1786</v>
      </c>
      <c r="C803" t="s">
        <v>43</v>
      </c>
      <c r="D803" t="s">
        <v>44</v>
      </c>
      <c r="E803" t="s">
        <v>45</v>
      </c>
      <c r="F803" t="s">
        <v>1719</v>
      </c>
      <c r="H803" t="s">
        <v>1787</v>
      </c>
      <c r="I803" t="s">
        <v>30</v>
      </c>
      <c r="J803" t="s">
        <v>31</v>
      </c>
      <c r="K803" t="s">
        <v>48</v>
      </c>
      <c r="L803" t="s">
        <v>695</v>
      </c>
      <c r="N803" s="2">
        <v>45330.731192129628</v>
      </c>
      <c r="O803" s="2"/>
      <c r="P803" s="2"/>
      <c r="Q803" s="2">
        <v>45348</v>
      </c>
      <c r="R803" s="2">
        <v>45349.654855706016</v>
      </c>
      <c r="T803" s="2">
        <v>45334.208333333336</v>
      </c>
      <c r="U803" s="2">
        <v>45336.208333333336</v>
      </c>
      <c r="V803" s="2">
        <v>45336.208333333336</v>
      </c>
      <c r="W803" s="2">
        <v>45336.208333333336</v>
      </c>
      <c r="X803" s="3">
        <f t="shared" si="120"/>
        <v>2</v>
      </c>
      <c r="Y803">
        <f t="shared" si="121"/>
        <v>0</v>
      </c>
      <c r="Z803">
        <f t="shared" si="122"/>
        <v>2</v>
      </c>
      <c r="AA803">
        <f t="shared" si="123"/>
        <v>17.268807870372257</v>
      </c>
      <c r="AB803">
        <f t="shared" si="124"/>
        <v>15.268807870372257</v>
      </c>
      <c r="AC803">
        <f>IFERROR(_xlfn.XLOOKUP(B803, HoldSummary!$A:$A, HoldSummary!B:B), 0)</f>
        <v>0</v>
      </c>
      <c r="AD803">
        <f>IFERROR(_xlfn.XLOOKUP(B803, HoldSummary!$A:$A, HoldSummary!C:C), 0)</f>
        <v>0</v>
      </c>
      <c r="AE803">
        <f>IFERROR(_xlfn.XLOOKUP(B803, HoldSummary!$A:$A, HoldSummary!D:D), 0)</f>
        <v>0</v>
      </c>
      <c r="AF803">
        <f>IFERROR(_xlfn.XLOOKUP(B803, HoldSummary!$A:$A, HoldSummary!E:E), 0)</f>
        <v>0</v>
      </c>
      <c r="AG803">
        <f>IFERROR(_xlfn.XLOOKUP(B803, HoldSummary!$A:$A, HoldSummary!F:F), 0)</f>
        <v>0</v>
      </c>
      <c r="AH803">
        <f>IFERROR(_xlfn.XLOOKUP(B803, HoldSummary!$A:$A, HoldSummary!G:G), 0)</f>
        <v>0</v>
      </c>
      <c r="AI803">
        <f>IFERROR(_xlfn.XLOOKUP(B803, HoldSummary!$A:$A, HoldSummary!H:H), 0)</f>
        <v>0</v>
      </c>
      <c r="AJ803">
        <f>IFERROR(_xlfn.XLOOKUP(B803, HoldSummary!$A:$A, HoldSummary!I:I), 0)</f>
        <v>0</v>
      </c>
      <c r="AK803">
        <f t="shared" si="125"/>
        <v>0</v>
      </c>
      <c r="AL803">
        <f t="shared" si="126"/>
        <v>17.268807870372257</v>
      </c>
      <c r="AM803">
        <f t="shared" si="127"/>
        <v>15.268807870372257</v>
      </c>
      <c r="AN803" s="12">
        <f t="shared" si="128"/>
        <v>45348</v>
      </c>
      <c r="AO803">
        <f t="shared" si="129"/>
        <v>1</v>
      </c>
    </row>
    <row r="804" spans="1:41" x14ac:dyDescent="0.35">
      <c r="A804" t="s">
        <v>23</v>
      </c>
      <c r="B804" t="s">
        <v>1788</v>
      </c>
      <c r="C804" t="s">
        <v>76</v>
      </c>
      <c r="D804" t="s">
        <v>44</v>
      </c>
      <c r="E804" t="s">
        <v>45</v>
      </c>
      <c r="F804" t="s">
        <v>1719</v>
      </c>
      <c r="H804" t="s">
        <v>1789</v>
      </c>
      <c r="I804" t="s">
        <v>30</v>
      </c>
      <c r="J804" t="s">
        <v>31</v>
      </c>
      <c r="K804" t="s">
        <v>38</v>
      </c>
      <c r="L804" t="s">
        <v>39</v>
      </c>
      <c r="N804" s="2">
        <v>45331.905798611115</v>
      </c>
      <c r="O804" s="2"/>
      <c r="P804" s="2"/>
      <c r="Q804" s="2">
        <v>45378</v>
      </c>
      <c r="R804" s="2">
        <v>45378.875925706016</v>
      </c>
      <c r="S804" t="s">
        <v>1487</v>
      </c>
      <c r="T804" s="2">
        <v>45336.208333333336</v>
      </c>
      <c r="U804" s="2">
        <v>45338.208333333336</v>
      </c>
      <c r="V804" s="2">
        <v>45338.208333333336</v>
      </c>
      <c r="W804" s="2">
        <v>45338.208333333336</v>
      </c>
      <c r="X804" s="3">
        <f t="shared" si="120"/>
        <v>2</v>
      </c>
      <c r="Y804">
        <f t="shared" si="121"/>
        <v>0</v>
      </c>
      <c r="Z804">
        <f t="shared" si="122"/>
        <v>2</v>
      </c>
      <c r="AA804">
        <f t="shared" si="123"/>
        <v>46.094201388885267</v>
      </c>
      <c r="AB804">
        <f t="shared" si="124"/>
        <v>44.094201388885267</v>
      </c>
      <c r="AC804">
        <f>IFERROR(_xlfn.XLOOKUP(B804, HoldSummary!$A:$A, HoldSummary!B:B), 0)</f>
        <v>0</v>
      </c>
      <c r="AD804">
        <f>IFERROR(_xlfn.XLOOKUP(B804, HoldSummary!$A:$A, HoldSummary!C:C), 0)</f>
        <v>0</v>
      </c>
      <c r="AE804">
        <f>IFERROR(_xlfn.XLOOKUP(B804, HoldSummary!$A:$A, HoldSummary!D:D), 0)</f>
        <v>0</v>
      </c>
      <c r="AF804">
        <f>IFERROR(_xlfn.XLOOKUP(B804, HoldSummary!$A:$A, HoldSummary!E:E), 0)</f>
        <v>0</v>
      </c>
      <c r="AG804">
        <f>IFERROR(_xlfn.XLOOKUP(B804, HoldSummary!$A:$A, HoldSummary!F:F), 0)</f>
        <v>0</v>
      </c>
      <c r="AH804">
        <f>IFERROR(_xlfn.XLOOKUP(B804, HoldSummary!$A:$A, HoldSummary!G:G), 0)</f>
        <v>0</v>
      </c>
      <c r="AI804">
        <f>IFERROR(_xlfn.XLOOKUP(B804, HoldSummary!$A:$A, HoldSummary!H:H), 0)</f>
        <v>0</v>
      </c>
      <c r="AJ804">
        <f>IFERROR(_xlfn.XLOOKUP(B804, HoldSummary!$A:$A, HoldSummary!I:I), 0)</f>
        <v>0</v>
      </c>
      <c r="AK804">
        <f t="shared" si="125"/>
        <v>0</v>
      </c>
      <c r="AL804">
        <f t="shared" si="126"/>
        <v>46.094201388885267</v>
      </c>
      <c r="AM804">
        <f t="shared" si="127"/>
        <v>44.094201388885267</v>
      </c>
      <c r="AN804" s="12">
        <f t="shared" si="128"/>
        <v>45378</v>
      </c>
      <c r="AO804">
        <f t="shared" si="129"/>
        <v>1</v>
      </c>
    </row>
    <row r="805" spans="1:41" x14ac:dyDescent="0.35">
      <c r="A805" t="s">
        <v>23</v>
      </c>
      <c r="B805" t="s">
        <v>1790</v>
      </c>
      <c r="C805" t="s">
        <v>43</v>
      </c>
      <c r="D805" t="s">
        <v>44</v>
      </c>
      <c r="E805" t="s">
        <v>45</v>
      </c>
      <c r="F805" t="s">
        <v>1719</v>
      </c>
      <c r="H805" t="s">
        <v>1791</v>
      </c>
      <c r="I805" t="s">
        <v>30</v>
      </c>
      <c r="J805" t="s">
        <v>31</v>
      </c>
      <c r="K805" t="s">
        <v>48</v>
      </c>
      <c r="N805" s="2">
        <v>45337.579224537039</v>
      </c>
      <c r="O805" s="2"/>
      <c r="P805" s="2"/>
      <c r="Q805" s="2">
        <v>45358</v>
      </c>
      <c r="R805" s="2">
        <v>45358.874514432871</v>
      </c>
      <c r="S805" t="s">
        <v>1492</v>
      </c>
      <c r="T805" s="2">
        <v>45342.208333333336</v>
      </c>
      <c r="U805" s="2">
        <v>45342.208333333336</v>
      </c>
      <c r="V805" s="2">
        <v>45342.208333333336</v>
      </c>
      <c r="W805" s="2">
        <v>45342.208333333336</v>
      </c>
      <c r="X805" s="3">
        <f t="shared" si="120"/>
        <v>0</v>
      </c>
      <c r="Y805">
        <f t="shared" si="121"/>
        <v>0</v>
      </c>
      <c r="Z805">
        <f t="shared" si="122"/>
        <v>0</v>
      </c>
      <c r="AA805">
        <f t="shared" si="123"/>
        <v>20.420775462960592</v>
      </c>
      <c r="AB805">
        <f t="shared" si="124"/>
        <v>20.420775462960592</v>
      </c>
      <c r="AC805">
        <f>IFERROR(_xlfn.XLOOKUP(B805, HoldSummary!$A:$A, HoldSummary!B:B), 0)</f>
        <v>0</v>
      </c>
      <c r="AD805">
        <f>IFERROR(_xlfn.XLOOKUP(B805, HoldSummary!$A:$A, HoldSummary!C:C), 0)</f>
        <v>0</v>
      </c>
      <c r="AE805">
        <f>IFERROR(_xlfn.XLOOKUP(B805, HoldSummary!$A:$A, HoldSummary!D:D), 0)</f>
        <v>0</v>
      </c>
      <c r="AF805">
        <f>IFERROR(_xlfn.XLOOKUP(B805, HoldSummary!$A:$A, HoldSummary!E:E), 0)</f>
        <v>0</v>
      </c>
      <c r="AG805">
        <f>IFERROR(_xlfn.XLOOKUP(B805, HoldSummary!$A:$A, HoldSummary!F:F), 0)</f>
        <v>0</v>
      </c>
      <c r="AH805">
        <f>IFERROR(_xlfn.XLOOKUP(B805, HoldSummary!$A:$A, HoldSummary!G:G), 0)</f>
        <v>0</v>
      </c>
      <c r="AI805">
        <f>IFERROR(_xlfn.XLOOKUP(B805, HoldSummary!$A:$A, HoldSummary!H:H), 0)</f>
        <v>0</v>
      </c>
      <c r="AJ805">
        <f>IFERROR(_xlfn.XLOOKUP(B805, HoldSummary!$A:$A, HoldSummary!I:I), 0)</f>
        <v>0</v>
      </c>
      <c r="AK805">
        <f t="shared" si="125"/>
        <v>0</v>
      </c>
      <c r="AL805">
        <f t="shared" si="126"/>
        <v>20.420775462960592</v>
      </c>
      <c r="AM805">
        <f t="shared" si="127"/>
        <v>20.420775462960592</v>
      </c>
      <c r="AN805" s="12">
        <f t="shared" si="128"/>
        <v>45358</v>
      </c>
      <c r="AO805">
        <f t="shared" si="129"/>
        <v>1</v>
      </c>
    </row>
    <row r="806" spans="1:41" x14ac:dyDescent="0.35">
      <c r="A806" t="s">
        <v>23</v>
      </c>
      <c r="B806">
        <v>104000</v>
      </c>
      <c r="C806" t="s">
        <v>43</v>
      </c>
      <c r="D806" t="s">
        <v>44</v>
      </c>
      <c r="E806" t="s">
        <v>55</v>
      </c>
      <c r="F806" t="s">
        <v>1719</v>
      </c>
      <c r="H806" t="s">
        <v>1792</v>
      </c>
      <c r="I806" t="s">
        <v>30</v>
      </c>
      <c r="J806" t="s">
        <v>31</v>
      </c>
      <c r="K806" t="s">
        <v>57</v>
      </c>
      <c r="L806" t="s">
        <v>39</v>
      </c>
      <c r="N806" s="2">
        <v>45331.208333333336</v>
      </c>
      <c r="O806" s="2"/>
      <c r="P806" s="2"/>
      <c r="Q806" s="2">
        <v>45350</v>
      </c>
      <c r="R806" s="2">
        <v>45350.739344629626</v>
      </c>
      <c r="T806" s="2">
        <v>45342.208333333336</v>
      </c>
      <c r="U806" s="2">
        <v>45344.208333333336</v>
      </c>
      <c r="V806" s="2">
        <v>45344.208333333336</v>
      </c>
      <c r="W806" s="2">
        <v>45349.208333333336</v>
      </c>
      <c r="X806" s="3">
        <f t="shared" si="120"/>
        <v>2</v>
      </c>
      <c r="Y806">
        <f t="shared" si="121"/>
        <v>5</v>
      </c>
      <c r="Z806">
        <f t="shared" si="122"/>
        <v>7</v>
      </c>
      <c r="AA806">
        <f t="shared" si="123"/>
        <v>18.791666666664241</v>
      </c>
      <c r="AB806">
        <f t="shared" si="124"/>
        <v>11.791666666664241</v>
      </c>
      <c r="AC806">
        <f>IFERROR(_xlfn.XLOOKUP(B806, HoldSummary!$A:$A, HoldSummary!B:B), 0)</f>
        <v>0</v>
      </c>
      <c r="AD806">
        <f>IFERROR(_xlfn.XLOOKUP(B806, HoldSummary!$A:$A, HoldSummary!C:C), 0)</f>
        <v>0</v>
      </c>
      <c r="AE806">
        <f>IFERROR(_xlfn.XLOOKUP(B806, HoldSummary!$A:$A, HoldSummary!D:D), 0)</f>
        <v>0</v>
      </c>
      <c r="AF806">
        <f>IFERROR(_xlfn.XLOOKUP(B806, HoldSummary!$A:$A, HoldSummary!E:E), 0)</f>
        <v>0</v>
      </c>
      <c r="AG806">
        <f>IFERROR(_xlfn.XLOOKUP(B806, HoldSummary!$A:$A, HoldSummary!F:F), 0)</f>
        <v>0</v>
      </c>
      <c r="AH806">
        <f>IFERROR(_xlfn.XLOOKUP(B806, HoldSummary!$A:$A, HoldSummary!G:G), 0)</f>
        <v>0</v>
      </c>
      <c r="AI806">
        <f>IFERROR(_xlfn.XLOOKUP(B806, HoldSummary!$A:$A, HoldSummary!H:H), 0)</f>
        <v>0</v>
      </c>
      <c r="AJ806">
        <f>IFERROR(_xlfn.XLOOKUP(B806, HoldSummary!$A:$A, HoldSummary!I:I), 0)</f>
        <v>0</v>
      </c>
      <c r="AK806">
        <f t="shared" si="125"/>
        <v>0</v>
      </c>
      <c r="AL806">
        <f t="shared" si="126"/>
        <v>18.791666666664241</v>
      </c>
      <c r="AM806">
        <f t="shared" si="127"/>
        <v>11.791666666664241</v>
      </c>
      <c r="AN806" s="12">
        <f t="shared" si="128"/>
        <v>45350</v>
      </c>
      <c r="AO806">
        <f t="shared" si="129"/>
        <v>1</v>
      </c>
    </row>
    <row r="807" spans="1:41" x14ac:dyDescent="0.35">
      <c r="A807" t="s">
        <v>23</v>
      </c>
      <c r="B807" t="s">
        <v>1793</v>
      </c>
      <c r="C807" t="s">
        <v>43</v>
      </c>
      <c r="D807" t="s">
        <v>44</v>
      </c>
      <c r="E807" t="s">
        <v>45</v>
      </c>
      <c r="F807" t="s">
        <v>1719</v>
      </c>
      <c r="H807" t="s">
        <v>1794</v>
      </c>
      <c r="I807" t="s">
        <v>30</v>
      </c>
      <c r="J807" t="s">
        <v>31</v>
      </c>
      <c r="K807" t="s">
        <v>48</v>
      </c>
      <c r="L807" t="s">
        <v>695</v>
      </c>
      <c r="N807" s="2">
        <v>45337.872997685183</v>
      </c>
      <c r="O807" s="2"/>
      <c r="P807" s="2"/>
      <c r="Q807" s="2">
        <v>45351</v>
      </c>
      <c r="R807" s="2">
        <v>45351.840124270835</v>
      </c>
      <c r="T807" s="2">
        <v>45342.208333333336</v>
      </c>
      <c r="U807" s="2">
        <v>45342.208333333336</v>
      </c>
      <c r="V807" s="2">
        <v>45342.208333333336</v>
      </c>
      <c r="W807" s="2">
        <v>45342.208333333336</v>
      </c>
      <c r="X807" s="3">
        <f t="shared" si="120"/>
        <v>0</v>
      </c>
      <c r="Y807">
        <f t="shared" si="121"/>
        <v>0</v>
      </c>
      <c r="Z807">
        <f t="shared" si="122"/>
        <v>0</v>
      </c>
      <c r="AA807">
        <f t="shared" si="123"/>
        <v>13.127002314817219</v>
      </c>
      <c r="AB807">
        <f t="shared" si="124"/>
        <v>13.127002314817219</v>
      </c>
      <c r="AC807">
        <f>IFERROR(_xlfn.XLOOKUP(B807, HoldSummary!$A:$A, HoldSummary!B:B), 0)</f>
        <v>0</v>
      </c>
      <c r="AD807">
        <f>IFERROR(_xlfn.XLOOKUP(B807, HoldSummary!$A:$A, HoldSummary!C:C), 0)</f>
        <v>0</v>
      </c>
      <c r="AE807">
        <f>IFERROR(_xlfn.XLOOKUP(B807, HoldSummary!$A:$A, HoldSummary!D:D), 0)</f>
        <v>0</v>
      </c>
      <c r="AF807">
        <f>IFERROR(_xlfn.XLOOKUP(B807, HoldSummary!$A:$A, HoldSummary!E:E), 0)</f>
        <v>0</v>
      </c>
      <c r="AG807">
        <f>IFERROR(_xlfn.XLOOKUP(B807, HoldSummary!$A:$A, HoldSummary!F:F), 0)</f>
        <v>0</v>
      </c>
      <c r="AH807">
        <f>IFERROR(_xlfn.XLOOKUP(B807, HoldSummary!$A:$A, HoldSummary!G:G), 0)</f>
        <v>0</v>
      </c>
      <c r="AI807">
        <f>IFERROR(_xlfn.XLOOKUP(B807, HoldSummary!$A:$A, HoldSummary!H:H), 0)</f>
        <v>0</v>
      </c>
      <c r="AJ807">
        <f>IFERROR(_xlfn.XLOOKUP(B807, HoldSummary!$A:$A, HoldSummary!I:I), 0)</f>
        <v>0</v>
      </c>
      <c r="AK807">
        <f t="shared" si="125"/>
        <v>0</v>
      </c>
      <c r="AL807">
        <f t="shared" si="126"/>
        <v>13.127002314817219</v>
      </c>
      <c r="AM807">
        <f t="shared" si="127"/>
        <v>13.127002314817219</v>
      </c>
      <c r="AN807" s="12">
        <f t="shared" si="128"/>
        <v>45351</v>
      </c>
      <c r="AO807">
        <f t="shared" si="129"/>
        <v>1</v>
      </c>
    </row>
    <row r="808" spans="1:41" x14ac:dyDescent="0.35">
      <c r="A808" t="s">
        <v>23</v>
      </c>
      <c r="B808" t="s">
        <v>1795</v>
      </c>
      <c r="C808" t="s">
        <v>43</v>
      </c>
      <c r="D808" t="s">
        <v>44</v>
      </c>
      <c r="E808" t="s">
        <v>45</v>
      </c>
      <c r="F808" t="s">
        <v>1719</v>
      </c>
      <c r="H808" t="s">
        <v>1796</v>
      </c>
      <c r="I808" t="s">
        <v>30</v>
      </c>
      <c r="J808" t="s">
        <v>31</v>
      </c>
      <c r="K808" t="s">
        <v>48</v>
      </c>
      <c r="L808" t="s">
        <v>695</v>
      </c>
      <c r="N808" s="2">
        <v>45349.707870370374</v>
      </c>
      <c r="O808" s="2"/>
      <c r="P808" s="2"/>
      <c r="Q808" s="2">
        <v>45364</v>
      </c>
      <c r="R808" s="2">
        <v>45364.872834618058</v>
      </c>
      <c r="S808" t="s">
        <v>1492</v>
      </c>
      <c r="T808" s="2">
        <v>45355.208333333336</v>
      </c>
      <c r="U808" s="2">
        <v>45355.208333333336</v>
      </c>
      <c r="V808" s="2">
        <v>45355.208333333336</v>
      </c>
      <c r="W808" s="2">
        <v>45355.208333333336</v>
      </c>
      <c r="X808" s="3">
        <f t="shared" si="120"/>
        <v>0</v>
      </c>
      <c r="Y808">
        <f t="shared" si="121"/>
        <v>0</v>
      </c>
      <c r="Z808">
        <f t="shared" si="122"/>
        <v>0</v>
      </c>
      <c r="AA808">
        <f t="shared" si="123"/>
        <v>14.292129629626288</v>
      </c>
      <c r="AB808">
        <f t="shared" si="124"/>
        <v>14.292129629626288</v>
      </c>
      <c r="AC808">
        <f>IFERROR(_xlfn.XLOOKUP(B808, HoldSummary!$A:$A, HoldSummary!B:B), 0)</f>
        <v>0</v>
      </c>
      <c r="AD808">
        <f>IFERROR(_xlfn.XLOOKUP(B808, HoldSummary!$A:$A, HoldSummary!C:C), 0)</f>
        <v>0</v>
      </c>
      <c r="AE808">
        <f>IFERROR(_xlfn.XLOOKUP(B808, HoldSummary!$A:$A, HoldSummary!D:D), 0)</f>
        <v>0</v>
      </c>
      <c r="AF808">
        <f>IFERROR(_xlfn.XLOOKUP(B808, HoldSummary!$A:$A, HoldSummary!E:E), 0)</f>
        <v>0</v>
      </c>
      <c r="AG808">
        <f>IFERROR(_xlfn.XLOOKUP(B808, HoldSummary!$A:$A, HoldSummary!F:F), 0)</f>
        <v>0</v>
      </c>
      <c r="AH808">
        <f>IFERROR(_xlfn.XLOOKUP(B808, HoldSummary!$A:$A, HoldSummary!G:G), 0)</f>
        <v>0</v>
      </c>
      <c r="AI808">
        <f>IFERROR(_xlfn.XLOOKUP(B808, HoldSummary!$A:$A, HoldSummary!H:H), 0)</f>
        <v>0</v>
      </c>
      <c r="AJ808">
        <f>IFERROR(_xlfn.XLOOKUP(B808, HoldSummary!$A:$A, HoldSummary!I:I), 0)</f>
        <v>0</v>
      </c>
      <c r="AK808">
        <f t="shared" si="125"/>
        <v>0</v>
      </c>
      <c r="AL808">
        <f t="shared" si="126"/>
        <v>14.292129629626288</v>
      </c>
      <c r="AM808">
        <f t="shared" si="127"/>
        <v>14.292129629626288</v>
      </c>
      <c r="AN808" s="12">
        <f t="shared" si="128"/>
        <v>45364</v>
      </c>
      <c r="AO808">
        <f t="shared" si="129"/>
        <v>1</v>
      </c>
    </row>
    <row r="809" spans="1:41" x14ac:dyDescent="0.35">
      <c r="A809" t="s">
        <v>23</v>
      </c>
      <c r="B809" t="s">
        <v>1797</v>
      </c>
      <c r="C809" t="s">
        <v>43</v>
      </c>
      <c r="D809" t="s">
        <v>44</v>
      </c>
      <c r="E809" t="s">
        <v>45</v>
      </c>
      <c r="F809" t="s">
        <v>1719</v>
      </c>
      <c r="H809" t="s">
        <v>1798</v>
      </c>
      <c r="I809" t="s">
        <v>30</v>
      </c>
      <c r="J809" t="s">
        <v>70</v>
      </c>
      <c r="K809" t="s">
        <v>38</v>
      </c>
      <c r="L809" t="s">
        <v>39</v>
      </c>
      <c r="N809" s="2">
        <v>45349.850578703707</v>
      </c>
      <c r="O809" s="2"/>
      <c r="P809" s="2"/>
      <c r="Q809" s="2">
        <v>45540</v>
      </c>
      <c r="R809" s="2">
        <v>45544.678639988429</v>
      </c>
      <c r="S809" t="s">
        <v>231</v>
      </c>
      <c r="T809" s="2"/>
      <c r="U809" s="2"/>
      <c r="V809" s="2"/>
      <c r="W809" s="2"/>
      <c r="X809" s="3" t="str">
        <f t="shared" si="120"/>
        <v/>
      </c>
      <c r="Y809" t="str">
        <f t="shared" si="121"/>
        <v/>
      </c>
      <c r="Z809">
        <f t="shared" si="122"/>
        <v>0</v>
      </c>
      <c r="AA809">
        <f t="shared" si="123"/>
        <v>190.14942129629344</v>
      </c>
      <c r="AB809">
        <f t="shared" si="124"/>
        <v>190.14942129629344</v>
      </c>
      <c r="AC809">
        <f>IFERROR(_xlfn.XLOOKUP(B809, HoldSummary!$A:$A, HoldSummary!B:B), 0)</f>
        <v>0</v>
      </c>
      <c r="AD809">
        <f>IFERROR(_xlfn.XLOOKUP(B809, HoldSummary!$A:$A, HoldSummary!C:C), 0)</f>
        <v>0</v>
      </c>
      <c r="AE809">
        <f>IFERROR(_xlfn.XLOOKUP(B809, HoldSummary!$A:$A, HoldSummary!D:D), 0)</f>
        <v>0</v>
      </c>
      <c r="AF809">
        <f>IFERROR(_xlfn.XLOOKUP(B809, HoldSummary!$A:$A, HoldSummary!E:E), 0)</f>
        <v>0</v>
      </c>
      <c r="AG809">
        <f>IFERROR(_xlfn.XLOOKUP(B809, HoldSummary!$A:$A, HoldSummary!F:F), 0)</f>
        <v>0</v>
      </c>
      <c r="AH809">
        <f>IFERROR(_xlfn.XLOOKUP(B809, HoldSummary!$A:$A, HoldSummary!G:G), 0)</f>
        <v>0</v>
      </c>
      <c r="AI809">
        <f>IFERROR(_xlfn.XLOOKUP(B809, HoldSummary!$A:$A, HoldSummary!H:H), 0)</f>
        <v>0</v>
      </c>
      <c r="AJ809">
        <f>IFERROR(_xlfn.XLOOKUP(B809, HoldSummary!$A:$A, HoldSummary!I:I), 0)</f>
        <v>0</v>
      </c>
      <c r="AK809">
        <f t="shared" si="125"/>
        <v>0</v>
      </c>
      <c r="AL809">
        <f t="shared" si="126"/>
        <v>190.14942129629344</v>
      </c>
      <c r="AM809">
        <f t="shared" si="127"/>
        <v>190.14942129629344</v>
      </c>
      <c r="AN809" s="12">
        <f t="shared" si="128"/>
        <v>45540</v>
      </c>
      <c r="AO809">
        <f t="shared" si="129"/>
        <v>1</v>
      </c>
    </row>
    <row r="810" spans="1:41" x14ac:dyDescent="0.35">
      <c r="A810" t="s">
        <v>23</v>
      </c>
      <c r="B810" t="s">
        <v>1799</v>
      </c>
      <c r="C810" t="s">
        <v>43</v>
      </c>
      <c r="D810" t="s">
        <v>44</v>
      </c>
      <c r="E810" t="s">
        <v>45</v>
      </c>
      <c r="F810" t="s">
        <v>1719</v>
      </c>
      <c r="H810" t="s">
        <v>1800</v>
      </c>
      <c r="I810" t="s">
        <v>30</v>
      </c>
      <c r="J810" t="s">
        <v>70</v>
      </c>
      <c r="K810" t="s">
        <v>48</v>
      </c>
      <c r="L810" t="s">
        <v>192</v>
      </c>
      <c r="N810" s="2">
        <v>45369.799780092595</v>
      </c>
      <c r="O810" s="2"/>
      <c r="P810" s="2"/>
      <c r="Q810" s="2">
        <v>45468</v>
      </c>
      <c r="R810" s="2">
        <v>45470.446802696759</v>
      </c>
      <c r="S810" t="s">
        <v>335</v>
      </c>
      <c r="T810" s="2"/>
      <c r="U810" s="2"/>
      <c r="V810" s="2"/>
      <c r="W810" s="2"/>
      <c r="X810" s="3" t="str">
        <f t="shared" si="120"/>
        <v/>
      </c>
      <c r="Y810" t="str">
        <f t="shared" si="121"/>
        <v/>
      </c>
      <c r="Z810">
        <f t="shared" si="122"/>
        <v>0</v>
      </c>
      <c r="AA810">
        <f t="shared" si="123"/>
        <v>98.200219907404971</v>
      </c>
      <c r="AB810">
        <f t="shared" si="124"/>
        <v>98.200219907404971</v>
      </c>
      <c r="AC810">
        <f>IFERROR(_xlfn.XLOOKUP(B810, HoldSummary!$A:$A, HoldSummary!B:B), 0)</f>
        <v>0</v>
      </c>
      <c r="AD810">
        <f>IFERROR(_xlfn.XLOOKUP(B810, HoldSummary!$A:$A, HoldSummary!C:C), 0)</f>
        <v>0</v>
      </c>
      <c r="AE810">
        <f>IFERROR(_xlfn.XLOOKUP(B810, HoldSummary!$A:$A, HoldSummary!D:D), 0)</f>
        <v>0</v>
      </c>
      <c r="AF810">
        <f>IFERROR(_xlfn.XLOOKUP(B810, HoldSummary!$A:$A, HoldSummary!E:E), 0)</f>
        <v>0</v>
      </c>
      <c r="AG810">
        <f>IFERROR(_xlfn.XLOOKUP(B810, HoldSummary!$A:$A, HoldSummary!F:F), 0)</f>
        <v>0</v>
      </c>
      <c r="AH810">
        <f>IFERROR(_xlfn.XLOOKUP(B810, HoldSummary!$A:$A, HoldSummary!G:G), 0)</f>
        <v>0</v>
      </c>
      <c r="AI810">
        <f>IFERROR(_xlfn.XLOOKUP(B810, HoldSummary!$A:$A, HoldSummary!H:H), 0)</f>
        <v>0</v>
      </c>
      <c r="AJ810">
        <f>IFERROR(_xlfn.XLOOKUP(B810, HoldSummary!$A:$A, HoldSummary!I:I), 0)</f>
        <v>0</v>
      </c>
      <c r="AK810">
        <f t="shared" si="125"/>
        <v>0</v>
      </c>
      <c r="AL810">
        <f t="shared" si="126"/>
        <v>98.200219907404971</v>
      </c>
      <c r="AM810">
        <f t="shared" si="127"/>
        <v>98.200219907404971</v>
      </c>
      <c r="AN810" s="12">
        <f t="shared" si="128"/>
        <v>45468</v>
      </c>
      <c r="AO810">
        <f t="shared" si="129"/>
        <v>1</v>
      </c>
    </row>
    <row r="811" spans="1:41" x14ac:dyDescent="0.35">
      <c r="A811" t="s">
        <v>23</v>
      </c>
      <c r="B811" t="s">
        <v>1801</v>
      </c>
      <c r="C811" t="s">
        <v>43</v>
      </c>
      <c r="D811" t="s">
        <v>44</v>
      </c>
      <c r="E811" t="s">
        <v>45</v>
      </c>
      <c r="F811" t="s">
        <v>1719</v>
      </c>
      <c r="H811" t="s">
        <v>1802</v>
      </c>
      <c r="I811" t="s">
        <v>30</v>
      </c>
      <c r="J811" t="s">
        <v>70</v>
      </c>
      <c r="K811" t="s">
        <v>57</v>
      </c>
      <c r="L811" t="s">
        <v>53</v>
      </c>
      <c r="N811" s="2">
        <v>45363.609826388885</v>
      </c>
      <c r="O811" s="2"/>
      <c r="P811" s="2"/>
      <c r="Q811" s="2">
        <v>45399</v>
      </c>
      <c r="R811" s="2">
        <v>45400.826938321756</v>
      </c>
      <c r="S811" t="s">
        <v>198</v>
      </c>
      <c r="T811" s="2"/>
      <c r="U811" s="2"/>
      <c r="V811" s="2"/>
      <c r="W811" s="2"/>
      <c r="X811" s="3" t="str">
        <f t="shared" si="120"/>
        <v/>
      </c>
      <c r="Y811" t="str">
        <f t="shared" si="121"/>
        <v/>
      </c>
      <c r="Z811">
        <f t="shared" si="122"/>
        <v>0</v>
      </c>
      <c r="AA811">
        <f t="shared" si="123"/>
        <v>35.390173611114733</v>
      </c>
      <c r="AB811">
        <f t="shared" si="124"/>
        <v>35.390173611114733</v>
      </c>
      <c r="AC811">
        <f>IFERROR(_xlfn.XLOOKUP(B811, HoldSummary!$A:$A, HoldSummary!B:B), 0)</f>
        <v>0</v>
      </c>
      <c r="AD811">
        <f>IFERROR(_xlfn.XLOOKUP(B811, HoldSummary!$A:$A, HoldSummary!C:C), 0)</f>
        <v>0</v>
      </c>
      <c r="AE811">
        <f>IFERROR(_xlfn.XLOOKUP(B811, HoldSummary!$A:$A, HoldSummary!D:D), 0)</f>
        <v>0</v>
      </c>
      <c r="AF811">
        <f>IFERROR(_xlfn.XLOOKUP(B811, HoldSummary!$A:$A, HoldSummary!E:E), 0)</f>
        <v>0</v>
      </c>
      <c r="AG811">
        <f>IFERROR(_xlfn.XLOOKUP(B811, HoldSummary!$A:$A, HoldSummary!F:F), 0)</f>
        <v>0</v>
      </c>
      <c r="AH811">
        <f>IFERROR(_xlfn.XLOOKUP(B811, HoldSummary!$A:$A, HoldSummary!G:G), 0)</f>
        <v>0</v>
      </c>
      <c r="AI811">
        <f>IFERROR(_xlfn.XLOOKUP(B811, HoldSummary!$A:$A, HoldSummary!H:H), 0)</f>
        <v>0</v>
      </c>
      <c r="AJ811">
        <f>IFERROR(_xlfn.XLOOKUP(B811, HoldSummary!$A:$A, HoldSummary!I:I), 0)</f>
        <v>0</v>
      </c>
      <c r="AK811">
        <f t="shared" si="125"/>
        <v>0</v>
      </c>
      <c r="AL811">
        <f t="shared" si="126"/>
        <v>35.390173611114733</v>
      </c>
      <c r="AM811">
        <f t="shared" si="127"/>
        <v>35.390173611114733</v>
      </c>
      <c r="AN811" s="12">
        <f t="shared" si="128"/>
        <v>45399</v>
      </c>
      <c r="AO811">
        <f t="shared" si="129"/>
        <v>1</v>
      </c>
    </row>
    <row r="812" spans="1:41" x14ac:dyDescent="0.35">
      <c r="A812" t="s">
        <v>23</v>
      </c>
      <c r="B812" t="s">
        <v>1803</v>
      </c>
      <c r="C812" t="s">
        <v>43</v>
      </c>
      <c r="D812" t="s">
        <v>44</v>
      </c>
      <c r="E812" t="s">
        <v>45</v>
      </c>
      <c r="F812" t="s">
        <v>1719</v>
      </c>
      <c r="H812" t="s">
        <v>1804</v>
      </c>
      <c r="I812" t="s">
        <v>30</v>
      </c>
      <c r="J812" t="s">
        <v>31</v>
      </c>
      <c r="K812" t="s">
        <v>48</v>
      </c>
      <c r="L812" t="s">
        <v>192</v>
      </c>
      <c r="N812" s="2">
        <v>45369.823877314811</v>
      </c>
      <c r="O812" s="2"/>
      <c r="P812" s="2"/>
      <c r="Q812" s="2">
        <v>45421</v>
      </c>
      <c r="R812" s="2">
        <v>45425.525139398145</v>
      </c>
      <c r="S812" t="s">
        <v>1805</v>
      </c>
      <c r="T812" s="2"/>
      <c r="U812" s="2"/>
      <c r="V812" s="2"/>
      <c r="W812" s="2"/>
      <c r="X812" s="3" t="str">
        <f t="shared" si="120"/>
        <v/>
      </c>
      <c r="Y812" t="str">
        <f t="shared" si="121"/>
        <v/>
      </c>
      <c r="Z812">
        <f t="shared" si="122"/>
        <v>0</v>
      </c>
      <c r="AA812">
        <f t="shared" si="123"/>
        <v>51.176122685188602</v>
      </c>
      <c r="AB812">
        <f t="shared" si="124"/>
        <v>51.176122685188602</v>
      </c>
      <c r="AC812">
        <f>IFERROR(_xlfn.XLOOKUP(B812, HoldSummary!$A:$A, HoldSummary!B:B), 0)</f>
        <v>0</v>
      </c>
      <c r="AD812">
        <f>IFERROR(_xlfn.XLOOKUP(B812, HoldSummary!$A:$A, HoldSummary!C:C), 0)</f>
        <v>0</v>
      </c>
      <c r="AE812">
        <f>IFERROR(_xlfn.XLOOKUP(B812, HoldSummary!$A:$A, HoldSummary!D:D), 0)</f>
        <v>0</v>
      </c>
      <c r="AF812">
        <f>IFERROR(_xlfn.XLOOKUP(B812, HoldSummary!$A:$A, HoldSummary!E:E), 0)</f>
        <v>0</v>
      </c>
      <c r="AG812">
        <f>IFERROR(_xlfn.XLOOKUP(B812, HoldSummary!$A:$A, HoldSummary!F:F), 0)</f>
        <v>0</v>
      </c>
      <c r="AH812">
        <f>IFERROR(_xlfn.XLOOKUP(B812, HoldSummary!$A:$A, HoldSummary!G:G), 0)</f>
        <v>0</v>
      </c>
      <c r="AI812">
        <f>IFERROR(_xlfn.XLOOKUP(B812, HoldSummary!$A:$A, HoldSummary!H:H), 0)</f>
        <v>0</v>
      </c>
      <c r="AJ812">
        <f>IFERROR(_xlfn.XLOOKUP(B812, HoldSummary!$A:$A, HoldSummary!I:I), 0)</f>
        <v>0</v>
      </c>
      <c r="AK812">
        <f t="shared" si="125"/>
        <v>0</v>
      </c>
      <c r="AL812">
        <f t="shared" si="126"/>
        <v>51.176122685188602</v>
      </c>
      <c r="AM812">
        <f t="shared" si="127"/>
        <v>51.176122685188602</v>
      </c>
      <c r="AN812" s="12">
        <f t="shared" si="128"/>
        <v>45421</v>
      </c>
      <c r="AO812">
        <f t="shared" si="129"/>
        <v>1</v>
      </c>
    </row>
    <row r="813" spans="1:41" x14ac:dyDescent="0.35">
      <c r="A813" t="s">
        <v>23</v>
      </c>
      <c r="B813" t="s">
        <v>1806</v>
      </c>
      <c r="C813" t="s">
        <v>43</v>
      </c>
      <c r="D813" t="s">
        <v>44</v>
      </c>
      <c r="E813" t="s">
        <v>45</v>
      </c>
      <c r="F813" t="s">
        <v>1719</v>
      </c>
      <c r="H813" t="s">
        <v>1807</v>
      </c>
      <c r="I813" t="s">
        <v>30</v>
      </c>
      <c r="J813" t="s">
        <v>70</v>
      </c>
      <c r="K813" t="s">
        <v>48</v>
      </c>
      <c r="L813" t="s">
        <v>49</v>
      </c>
      <c r="N813" s="2">
        <v>45370.885995370372</v>
      </c>
      <c r="O813" s="2"/>
      <c r="P813" s="2"/>
      <c r="Q813" s="2">
        <v>45471</v>
      </c>
      <c r="R813" s="2">
        <v>45471.821032546293</v>
      </c>
      <c r="S813" t="s">
        <v>306</v>
      </c>
      <c r="T813" s="2"/>
      <c r="U813" s="2"/>
      <c r="V813" s="2"/>
      <c r="W813" s="2"/>
      <c r="X813" s="3" t="str">
        <f t="shared" si="120"/>
        <v/>
      </c>
      <c r="Y813" t="str">
        <f t="shared" si="121"/>
        <v/>
      </c>
      <c r="Z813">
        <f t="shared" si="122"/>
        <v>0</v>
      </c>
      <c r="AA813">
        <f t="shared" si="123"/>
        <v>100.11400462962774</v>
      </c>
      <c r="AB813">
        <f t="shared" si="124"/>
        <v>100.11400462962774</v>
      </c>
      <c r="AC813">
        <f>IFERROR(_xlfn.XLOOKUP(B813, HoldSummary!$A:$A, HoldSummary!B:B), 0)</f>
        <v>0</v>
      </c>
      <c r="AD813">
        <f>IFERROR(_xlfn.XLOOKUP(B813, HoldSummary!$A:$A, HoldSummary!C:C), 0)</f>
        <v>0</v>
      </c>
      <c r="AE813">
        <f>IFERROR(_xlfn.XLOOKUP(B813, HoldSummary!$A:$A, HoldSummary!D:D), 0)</f>
        <v>0</v>
      </c>
      <c r="AF813">
        <f>IFERROR(_xlfn.XLOOKUP(B813, HoldSummary!$A:$A, HoldSummary!E:E), 0)</f>
        <v>0</v>
      </c>
      <c r="AG813">
        <f>IFERROR(_xlfn.XLOOKUP(B813, HoldSummary!$A:$A, HoldSummary!F:F), 0)</f>
        <v>0</v>
      </c>
      <c r="AH813">
        <f>IFERROR(_xlfn.XLOOKUP(B813, HoldSummary!$A:$A, HoldSummary!G:G), 0)</f>
        <v>0</v>
      </c>
      <c r="AI813">
        <f>IFERROR(_xlfn.XLOOKUP(B813, HoldSummary!$A:$A, HoldSummary!H:H), 0)</f>
        <v>0</v>
      </c>
      <c r="AJ813">
        <f>IFERROR(_xlfn.XLOOKUP(B813, HoldSummary!$A:$A, HoldSummary!I:I), 0)</f>
        <v>0</v>
      </c>
      <c r="AK813">
        <f t="shared" si="125"/>
        <v>0</v>
      </c>
      <c r="AL813">
        <f t="shared" si="126"/>
        <v>100.11400462962774</v>
      </c>
      <c r="AM813">
        <f t="shared" si="127"/>
        <v>100.11400462962774</v>
      </c>
      <c r="AN813" s="12">
        <f t="shared" si="128"/>
        <v>45471</v>
      </c>
      <c r="AO813">
        <f t="shared" si="129"/>
        <v>1</v>
      </c>
    </row>
    <row r="814" spans="1:41" x14ac:dyDescent="0.35">
      <c r="A814" t="s">
        <v>23</v>
      </c>
      <c r="B814" t="s">
        <v>1808</v>
      </c>
      <c r="C814" t="s">
        <v>43</v>
      </c>
      <c r="D814" t="s">
        <v>44</v>
      </c>
      <c r="E814" t="s">
        <v>45</v>
      </c>
      <c r="F814" t="s">
        <v>1719</v>
      </c>
      <c r="H814" t="s">
        <v>1809</v>
      </c>
      <c r="I814" t="s">
        <v>30</v>
      </c>
      <c r="J814" t="s">
        <v>300</v>
      </c>
      <c r="K814" t="s">
        <v>38</v>
      </c>
      <c r="L814" t="s">
        <v>39</v>
      </c>
      <c r="N814" s="2">
        <v>45371.802222222221</v>
      </c>
      <c r="O814" s="2"/>
      <c r="P814" s="2"/>
      <c r="Q814" s="2">
        <v>45505</v>
      </c>
      <c r="R814" s="2">
        <v>45505.745603298608</v>
      </c>
      <c r="S814" t="s">
        <v>63</v>
      </c>
      <c r="T814" s="2">
        <v>45384.166666666664</v>
      </c>
      <c r="U814" s="2">
        <v>45490.166666666664</v>
      </c>
      <c r="V814" s="2">
        <v>45490.166666666664</v>
      </c>
      <c r="W814" s="2">
        <v>45502.166666666664</v>
      </c>
      <c r="X814" s="3">
        <f t="shared" si="120"/>
        <v>106</v>
      </c>
      <c r="Y814">
        <f t="shared" si="121"/>
        <v>12</v>
      </c>
      <c r="Z814">
        <f t="shared" si="122"/>
        <v>118</v>
      </c>
      <c r="AA814">
        <f t="shared" si="123"/>
        <v>133.19777777777927</v>
      </c>
      <c r="AB814">
        <f t="shared" si="124"/>
        <v>15.197777777779265</v>
      </c>
      <c r="AC814">
        <f>IFERROR(_xlfn.XLOOKUP(B814, HoldSummary!$A:$A, HoldSummary!B:B), 0)</f>
        <v>0</v>
      </c>
      <c r="AD814">
        <f>IFERROR(_xlfn.XLOOKUP(B814, HoldSummary!$A:$A, HoldSummary!C:C), 0)</f>
        <v>0</v>
      </c>
      <c r="AE814">
        <f>IFERROR(_xlfn.XLOOKUP(B814, HoldSummary!$A:$A, HoldSummary!D:D), 0)</f>
        <v>0</v>
      </c>
      <c r="AF814">
        <f>IFERROR(_xlfn.XLOOKUP(B814, HoldSummary!$A:$A, HoldSummary!E:E), 0)</f>
        <v>0</v>
      </c>
      <c r="AG814">
        <f>IFERROR(_xlfn.XLOOKUP(B814, HoldSummary!$A:$A, HoldSummary!F:F), 0)</f>
        <v>0</v>
      </c>
      <c r="AH814">
        <f>IFERROR(_xlfn.XLOOKUP(B814, HoldSummary!$A:$A, HoldSummary!G:G), 0)</f>
        <v>1</v>
      </c>
      <c r="AI814">
        <f>IFERROR(_xlfn.XLOOKUP(B814, HoldSummary!$A:$A, HoldSummary!H:H), 0)</f>
        <v>0</v>
      </c>
      <c r="AJ814">
        <f>IFERROR(_xlfn.XLOOKUP(B814, HoldSummary!$A:$A, HoldSummary!I:I), 0)</f>
        <v>0</v>
      </c>
      <c r="AK814">
        <f t="shared" si="125"/>
        <v>1</v>
      </c>
      <c r="AL814">
        <f t="shared" si="126"/>
        <v>132.19777777777927</v>
      </c>
      <c r="AM814">
        <f t="shared" si="127"/>
        <v>14.197777777779265</v>
      </c>
      <c r="AN814" s="12">
        <f t="shared" si="128"/>
        <v>45505</v>
      </c>
      <c r="AO814">
        <f t="shared" si="129"/>
        <v>1</v>
      </c>
    </row>
    <row r="815" spans="1:41" x14ac:dyDescent="0.35">
      <c r="A815" t="s">
        <v>23</v>
      </c>
      <c r="B815" t="s">
        <v>1810</v>
      </c>
      <c r="C815" t="s">
        <v>43</v>
      </c>
      <c r="D815" t="s">
        <v>44</v>
      </c>
      <c r="E815" t="s">
        <v>45</v>
      </c>
      <c r="F815" t="s">
        <v>1719</v>
      </c>
      <c r="H815" t="s">
        <v>1811</v>
      </c>
      <c r="I815" t="s">
        <v>30</v>
      </c>
      <c r="J815" t="s">
        <v>300</v>
      </c>
      <c r="K815" t="s">
        <v>38</v>
      </c>
      <c r="L815" t="s">
        <v>39</v>
      </c>
      <c r="N815" s="2">
        <v>45383.561331018522</v>
      </c>
      <c r="O815" s="2"/>
      <c r="P815" s="2"/>
      <c r="Q815" s="2">
        <v>45442</v>
      </c>
      <c r="R815" s="2">
        <v>45442.851226562503</v>
      </c>
      <c r="T815" s="2"/>
      <c r="U815" s="2"/>
      <c r="V815" s="2"/>
      <c r="W815" s="2"/>
      <c r="X815" s="3" t="str">
        <f t="shared" si="120"/>
        <v/>
      </c>
      <c r="Y815" t="str">
        <f t="shared" si="121"/>
        <v/>
      </c>
      <c r="Z815">
        <f t="shared" si="122"/>
        <v>0</v>
      </c>
      <c r="AA815">
        <f t="shared" si="123"/>
        <v>58.438668981478259</v>
      </c>
      <c r="AB815">
        <f t="shared" si="124"/>
        <v>58.438668981478259</v>
      </c>
      <c r="AC815">
        <f>IFERROR(_xlfn.XLOOKUP(B815, HoldSummary!$A:$A, HoldSummary!B:B), 0)</f>
        <v>0</v>
      </c>
      <c r="AD815">
        <f>IFERROR(_xlfn.XLOOKUP(B815, HoldSummary!$A:$A, HoldSummary!C:C), 0)</f>
        <v>0</v>
      </c>
      <c r="AE815">
        <f>IFERROR(_xlfn.XLOOKUP(B815, HoldSummary!$A:$A, HoldSummary!D:D), 0)</f>
        <v>0</v>
      </c>
      <c r="AF815">
        <f>IFERROR(_xlfn.XLOOKUP(B815, HoldSummary!$A:$A, HoldSummary!E:E), 0)</f>
        <v>0</v>
      </c>
      <c r="AG815">
        <f>IFERROR(_xlfn.XLOOKUP(B815, HoldSummary!$A:$A, HoldSummary!F:F), 0)</f>
        <v>0</v>
      </c>
      <c r="AH815">
        <f>IFERROR(_xlfn.XLOOKUP(B815, HoldSummary!$A:$A, HoldSummary!G:G), 0)</f>
        <v>0</v>
      </c>
      <c r="AI815">
        <f>IFERROR(_xlfn.XLOOKUP(B815, HoldSummary!$A:$A, HoldSummary!H:H), 0)</f>
        <v>0</v>
      </c>
      <c r="AJ815">
        <f>IFERROR(_xlfn.XLOOKUP(B815, HoldSummary!$A:$A, HoldSummary!I:I), 0)</f>
        <v>0</v>
      </c>
      <c r="AK815">
        <f t="shared" si="125"/>
        <v>0</v>
      </c>
      <c r="AL815">
        <f t="shared" si="126"/>
        <v>58.438668981478259</v>
      </c>
      <c r="AM815">
        <f t="shared" si="127"/>
        <v>58.438668981478259</v>
      </c>
      <c r="AN815" s="12">
        <f t="shared" si="128"/>
        <v>45442</v>
      </c>
      <c r="AO815">
        <f t="shared" si="129"/>
        <v>1</v>
      </c>
    </row>
    <row r="816" spans="1:41" x14ac:dyDescent="0.35">
      <c r="A816" t="s">
        <v>23</v>
      </c>
      <c r="B816" t="s">
        <v>1812</v>
      </c>
      <c r="C816" t="s">
        <v>43</v>
      </c>
      <c r="D816" t="s">
        <v>44</v>
      </c>
      <c r="E816" t="s">
        <v>45</v>
      </c>
      <c r="F816" t="s">
        <v>1719</v>
      </c>
      <c r="H816" t="s">
        <v>1813</v>
      </c>
      <c r="I816" t="s">
        <v>30</v>
      </c>
      <c r="J816" t="s">
        <v>70</v>
      </c>
      <c r="K816" t="s">
        <v>38</v>
      </c>
      <c r="L816" t="s">
        <v>39</v>
      </c>
      <c r="N816" s="2">
        <v>45383.569756944446</v>
      </c>
      <c r="O816" s="2"/>
      <c r="P816" s="2"/>
      <c r="Q816" s="2">
        <v>45454</v>
      </c>
      <c r="R816" s="2">
        <v>45461.690933668979</v>
      </c>
      <c r="S816" t="s">
        <v>306</v>
      </c>
      <c r="T816" s="2">
        <v>45398.166666666664</v>
      </c>
      <c r="U816" s="2">
        <v>45398.166666666664</v>
      </c>
      <c r="V816" s="2">
        <v>45398.166666666664</v>
      </c>
      <c r="W816" s="2">
        <v>45426.166666666664</v>
      </c>
      <c r="X816" s="3">
        <f t="shared" si="120"/>
        <v>0</v>
      </c>
      <c r="Y816">
        <f t="shared" si="121"/>
        <v>28</v>
      </c>
      <c r="Z816">
        <f t="shared" si="122"/>
        <v>28</v>
      </c>
      <c r="AA816">
        <f t="shared" si="123"/>
        <v>70.430243055554456</v>
      </c>
      <c r="AB816">
        <f t="shared" si="124"/>
        <v>42.430243055554456</v>
      </c>
      <c r="AC816">
        <f>IFERROR(_xlfn.XLOOKUP(B816, HoldSummary!$A:$A, HoldSummary!B:B), 0)</f>
        <v>0</v>
      </c>
      <c r="AD816">
        <f>IFERROR(_xlfn.XLOOKUP(B816, HoldSummary!$A:$A, HoldSummary!C:C), 0)</f>
        <v>0</v>
      </c>
      <c r="AE816">
        <f>IFERROR(_xlfn.XLOOKUP(B816, HoldSummary!$A:$A, HoldSummary!D:D), 0)</f>
        <v>0</v>
      </c>
      <c r="AF816">
        <f>IFERROR(_xlfn.XLOOKUP(B816, HoldSummary!$A:$A, HoldSummary!E:E), 0)</f>
        <v>0</v>
      </c>
      <c r="AG816">
        <f>IFERROR(_xlfn.XLOOKUP(B816, HoldSummary!$A:$A, HoldSummary!F:F), 0)</f>
        <v>0</v>
      </c>
      <c r="AH816">
        <f>IFERROR(_xlfn.XLOOKUP(B816, HoldSummary!$A:$A, HoldSummary!G:G), 0)</f>
        <v>0</v>
      </c>
      <c r="AI816">
        <f>IFERROR(_xlfn.XLOOKUP(B816, HoldSummary!$A:$A, HoldSummary!H:H), 0)</f>
        <v>0</v>
      </c>
      <c r="AJ816">
        <f>IFERROR(_xlfn.XLOOKUP(B816, HoldSummary!$A:$A, HoldSummary!I:I), 0)</f>
        <v>0</v>
      </c>
      <c r="AK816">
        <f t="shared" si="125"/>
        <v>0</v>
      </c>
      <c r="AL816">
        <f t="shared" si="126"/>
        <v>70.430243055554456</v>
      </c>
      <c r="AM816">
        <f t="shared" si="127"/>
        <v>42.430243055554456</v>
      </c>
      <c r="AN816" s="12">
        <f t="shared" si="128"/>
        <v>45454</v>
      </c>
      <c r="AO816">
        <f t="shared" si="129"/>
        <v>1</v>
      </c>
    </row>
    <row r="817" spans="1:41" x14ac:dyDescent="0.35">
      <c r="A817" t="s">
        <v>23</v>
      </c>
      <c r="B817" t="s">
        <v>1814</v>
      </c>
      <c r="C817" t="s">
        <v>43</v>
      </c>
      <c r="D817" t="s">
        <v>44</v>
      </c>
      <c r="E817" t="s">
        <v>45</v>
      </c>
      <c r="F817" t="s">
        <v>1719</v>
      </c>
      <c r="H817" t="s">
        <v>1815</v>
      </c>
      <c r="I817" t="s">
        <v>30</v>
      </c>
      <c r="J817" t="s">
        <v>31</v>
      </c>
      <c r="K817" t="s">
        <v>48</v>
      </c>
      <c r="N817" s="2">
        <v>45385.822615740741</v>
      </c>
      <c r="O817" s="2"/>
      <c r="P817" s="2"/>
      <c r="Q817" s="2">
        <v>45412</v>
      </c>
      <c r="R817" s="2">
        <v>45412.580327071759</v>
      </c>
      <c r="S817" t="s">
        <v>198</v>
      </c>
      <c r="T817" s="2">
        <v>45391.166666666664</v>
      </c>
      <c r="U817" s="2">
        <v>45394.166666666664</v>
      </c>
      <c r="V817" s="2">
        <v>45394.166666666664</v>
      </c>
      <c r="W817" s="2">
        <v>45394.166666666664</v>
      </c>
      <c r="X817" s="3">
        <f t="shared" si="120"/>
        <v>3</v>
      </c>
      <c r="Y817">
        <f t="shared" si="121"/>
        <v>0</v>
      </c>
      <c r="Z817">
        <f t="shared" si="122"/>
        <v>3</v>
      </c>
      <c r="AA817">
        <f t="shared" si="123"/>
        <v>26.17738425925927</v>
      </c>
      <c r="AB817">
        <f t="shared" si="124"/>
        <v>23.17738425925927</v>
      </c>
      <c r="AC817">
        <f>IFERROR(_xlfn.XLOOKUP(B817, HoldSummary!$A:$A, HoldSummary!B:B), 0)</f>
        <v>0</v>
      </c>
      <c r="AD817">
        <f>IFERROR(_xlfn.XLOOKUP(B817, HoldSummary!$A:$A, HoldSummary!C:C), 0)</f>
        <v>0</v>
      </c>
      <c r="AE817">
        <f>IFERROR(_xlfn.XLOOKUP(B817, HoldSummary!$A:$A, HoldSummary!D:D), 0)</f>
        <v>0</v>
      </c>
      <c r="AF817">
        <f>IFERROR(_xlfn.XLOOKUP(B817, HoldSummary!$A:$A, HoldSummary!E:E), 0)</f>
        <v>0</v>
      </c>
      <c r="AG817">
        <f>IFERROR(_xlfn.XLOOKUP(B817, HoldSummary!$A:$A, HoldSummary!F:F), 0)</f>
        <v>0</v>
      </c>
      <c r="AH817">
        <f>IFERROR(_xlfn.XLOOKUP(B817, HoldSummary!$A:$A, HoldSummary!G:G), 0)</f>
        <v>0</v>
      </c>
      <c r="AI817">
        <f>IFERROR(_xlfn.XLOOKUP(B817, HoldSummary!$A:$A, HoldSummary!H:H), 0)</f>
        <v>0</v>
      </c>
      <c r="AJ817">
        <f>IFERROR(_xlfn.XLOOKUP(B817, HoldSummary!$A:$A, HoldSummary!I:I), 0)</f>
        <v>0</v>
      </c>
      <c r="AK817">
        <f t="shared" si="125"/>
        <v>0</v>
      </c>
      <c r="AL817">
        <f t="shared" si="126"/>
        <v>26.17738425925927</v>
      </c>
      <c r="AM817">
        <f t="shared" si="127"/>
        <v>23.17738425925927</v>
      </c>
      <c r="AN817" s="12">
        <f t="shared" si="128"/>
        <v>45412</v>
      </c>
      <c r="AO817">
        <f t="shared" si="129"/>
        <v>1</v>
      </c>
    </row>
    <row r="818" spans="1:41" x14ac:dyDescent="0.35">
      <c r="A818" t="s">
        <v>23</v>
      </c>
      <c r="B818" t="s">
        <v>1816</v>
      </c>
      <c r="C818" t="s">
        <v>43</v>
      </c>
      <c r="D818" t="s">
        <v>44</v>
      </c>
      <c r="E818" t="s">
        <v>45</v>
      </c>
      <c r="F818" t="s">
        <v>1719</v>
      </c>
      <c r="H818" t="s">
        <v>1817</v>
      </c>
      <c r="I818" t="s">
        <v>30</v>
      </c>
      <c r="J818" t="s">
        <v>31</v>
      </c>
      <c r="K818" t="s">
        <v>48</v>
      </c>
      <c r="L818" t="s">
        <v>695</v>
      </c>
      <c r="N818" s="2">
        <v>45379.538043981483</v>
      </c>
      <c r="O818" s="2"/>
      <c r="P818" s="2"/>
      <c r="Q818" s="2">
        <v>45400</v>
      </c>
      <c r="R818" s="2">
        <v>45401.600939942131</v>
      </c>
      <c r="S818" t="s">
        <v>1818</v>
      </c>
      <c r="T818" s="2">
        <v>45392.166666666664</v>
      </c>
      <c r="U818" s="2">
        <v>45393.166666666664</v>
      </c>
      <c r="V818" s="2">
        <v>45393.166666666664</v>
      </c>
      <c r="W818" s="2">
        <v>45394.166666666664</v>
      </c>
      <c r="X818" s="3">
        <f t="shared" si="120"/>
        <v>1</v>
      </c>
      <c r="Y818">
        <f t="shared" si="121"/>
        <v>1</v>
      </c>
      <c r="Z818">
        <f t="shared" si="122"/>
        <v>2</v>
      </c>
      <c r="AA818">
        <f t="shared" si="123"/>
        <v>20.461956018516503</v>
      </c>
      <c r="AB818">
        <f t="shared" si="124"/>
        <v>18.461956018516503</v>
      </c>
      <c r="AC818">
        <f>IFERROR(_xlfn.XLOOKUP(B818, HoldSummary!$A:$A, HoldSummary!B:B), 0)</f>
        <v>0</v>
      </c>
      <c r="AD818">
        <f>IFERROR(_xlfn.XLOOKUP(B818, HoldSummary!$A:$A, HoldSummary!C:C), 0)</f>
        <v>0</v>
      </c>
      <c r="AE818">
        <f>IFERROR(_xlfn.XLOOKUP(B818, HoldSummary!$A:$A, HoldSummary!D:D), 0)</f>
        <v>0</v>
      </c>
      <c r="AF818">
        <f>IFERROR(_xlfn.XLOOKUP(B818, HoldSummary!$A:$A, HoldSummary!E:E), 0)</f>
        <v>0</v>
      </c>
      <c r="AG818">
        <f>IFERROR(_xlfn.XLOOKUP(B818, HoldSummary!$A:$A, HoldSummary!F:F), 0)</f>
        <v>0</v>
      </c>
      <c r="AH818">
        <f>IFERROR(_xlfn.XLOOKUP(B818, HoldSummary!$A:$A, HoldSummary!G:G), 0)</f>
        <v>0</v>
      </c>
      <c r="AI818">
        <f>IFERROR(_xlfn.XLOOKUP(B818, HoldSummary!$A:$A, HoldSummary!H:H), 0)</f>
        <v>0</v>
      </c>
      <c r="AJ818">
        <f>IFERROR(_xlfn.XLOOKUP(B818, HoldSummary!$A:$A, HoldSummary!I:I), 0)</f>
        <v>0</v>
      </c>
      <c r="AK818">
        <f t="shared" si="125"/>
        <v>0</v>
      </c>
      <c r="AL818">
        <f t="shared" si="126"/>
        <v>20.461956018516503</v>
      </c>
      <c r="AM818">
        <f t="shared" si="127"/>
        <v>18.461956018516503</v>
      </c>
      <c r="AN818" s="12">
        <f t="shared" si="128"/>
        <v>45400</v>
      </c>
      <c r="AO818">
        <f t="shared" si="129"/>
        <v>1</v>
      </c>
    </row>
    <row r="819" spans="1:41" x14ac:dyDescent="0.35">
      <c r="A819" t="s">
        <v>23</v>
      </c>
      <c r="B819" t="s">
        <v>1819</v>
      </c>
      <c r="C819" t="s">
        <v>76</v>
      </c>
      <c r="D819" t="s">
        <v>44</v>
      </c>
      <c r="E819" t="s">
        <v>45</v>
      </c>
      <c r="F819" t="s">
        <v>1719</v>
      </c>
      <c r="H819" t="s">
        <v>1820</v>
      </c>
      <c r="I819" t="s">
        <v>30</v>
      </c>
      <c r="J819" t="s">
        <v>70</v>
      </c>
      <c r="K819" t="s">
        <v>38</v>
      </c>
      <c r="L819" t="s">
        <v>39</v>
      </c>
      <c r="N819" s="2">
        <v>45391.874745370369</v>
      </c>
      <c r="O819" s="2"/>
      <c r="P819" s="2"/>
      <c r="Q819" s="2">
        <v>45460</v>
      </c>
      <c r="R819" s="2">
        <v>45460.77297460648</v>
      </c>
      <c r="S819" t="s">
        <v>306</v>
      </c>
      <c r="T819" s="2"/>
      <c r="U819" s="2"/>
      <c r="V819" s="2"/>
      <c r="W819" s="2"/>
      <c r="X819" s="3" t="str">
        <f t="shared" si="120"/>
        <v/>
      </c>
      <c r="Y819" t="str">
        <f t="shared" si="121"/>
        <v/>
      </c>
      <c r="Z819">
        <f t="shared" si="122"/>
        <v>0</v>
      </c>
      <c r="AA819">
        <f t="shared" si="123"/>
        <v>68.125254629630945</v>
      </c>
      <c r="AB819">
        <f t="shared" si="124"/>
        <v>68.125254629630945</v>
      </c>
      <c r="AC819">
        <f>IFERROR(_xlfn.XLOOKUP(B819, HoldSummary!$A:$A, HoldSummary!B:B), 0)</f>
        <v>0</v>
      </c>
      <c r="AD819">
        <f>IFERROR(_xlfn.XLOOKUP(B819, HoldSummary!$A:$A, HoldSummary!C:C), 0)</f>
        <v>0</v>
      </c>
      <c r="AE819">
        <f>IFERROR(_xlfn.XLOOKUP(B819, HoldSummary!$A:$A, HoldSummary!D:D), 0)</f>
        <v>0</v>
      </c>
      <c r="AF819">
        <f>IFERROR(_xlfn.XLOOKUP(B819, HoldSummary!$A:$A, HoldSummary!E:E), 0)</f>
        <v>0</v>
      </c>
      <c r="AG819">
        <f>IFERROR(_xlfn.XLOOKUP(B819, HoldSummary!$A:$A, HoldSummary!F:F), 0)</f>
        <v>0</v>
      </c>
      <c r="AH819">
        <f>IFERROR(_xlfn.XLOOKUP(B819, HoldSummary!$A:$A, HoldSummary!G:G), 0)</f>
        <v>0</v>
      </c>
      <c r="AI819">
        <f>IFERROR(_xlfn.XLOOKUP(B819, HoldSummary!$A:$A, HoldSummary!H:H), 0)</f>
        <v>0</v>
      </c>
      <c r="AJ819">
        <f>IFERROR(_xlfn.XLOOKUP(B819, HoldSummary!$A:$A, HoldSummary!I:I), 0)</f>
        <v>0</v>
      </c>
      <c r="AK819">
        <f t="shared" si="125"/>
        <v>0</v>
      </c>
      <c r="AL819">
        <f t="shared" si="126"/>
        <v>68.125254629630945</v>
      </c>
      <c r="AM819">
        <f t="shared" si="127"/>
        <v>68.125254629630945</v>
      </c>
      <c r="AN819" s="12">
        <f t="shared" si="128"/>
        <v>45460</v>
      </c>
      <c r="AO819">
        <f t="shared" si="129"/>
        <v>1</v>
      </c>
    </row>
    <row r="820" spans="1:41" x14ac:dyDescent="0.35">
      <c r="A820" t="s">
        <v>23</v>
      </c>
      <c r="B820" t="s">
        <v>1821</v>
      </c>
      <c r="C820" t="s">
        <v>113</v>
      </c>
      <c r="D820" t="s">
        <v>44</v>
      </c>
      <c r="E820" t="s">
        <v>45</v>
      </c>
      <c r="F820" t="s">
        <v>1719</v>
      </c>
      <c r="H820" t="s">
        <v>1822</v>
      </c>
      <c r="I820" t="s">
        <v>30</v>
      </c>
      <c r="J820" t="s">
        <v>31</v>
      </c>
      <c r="K820" t="s">
        <v>38</v>
      </c>
      <c r="L820" t="s">
        <v>39</v>
      </c>
      <c r="N820" s="2">
        <v>45394.811909722222</v>
      </c>
      <c r="O820" s="2"/>
      <c r="P820" s="2"/>
      <c r="Q820" s="2">
        <v>45544</v>
      </c>
      <c r="R820" s="2">
        <v>45545.537393287035</v>
      </c>
      <c r="S820" t="s">
        <v>1823</v>
      </c>
      <c r="T820" s="2">
        <v>45471.166666666664</v>
      </c>
      <c r="U820" s="2">
        <v>45490.166666666664</v>
      </c>
      <c r="V820" s="2">
        <v>45490.166666666664</v>
      </c>
      <c r="W820" s="2">
        <v>45492.166666666664</v>
      </c>
      <c r="X820" s="3">
        <f t="shared" si="120"/>
        <v>19</v>
      </c>
      <c r="Y820">
        <f t="shared" si="121"/>
        <v>2</v>
      </c>
      <c r="Z820">
        <f t="shared" si="122"/>
        <v>21</v>
      </c>
      <c r="AA820">
        <f t="shared" si="123"/>
        <v>149.18809027777752</v>
      </c>
      <c r="AB820">
        <f t="shared" si="124"/>
        <v>128.18809027777752</v>
      </c>
      <c r="AC820">
        <f>IFERROR(_xlfn.XLOOKUP(B820, HoldSummary!$A:$A, HoldSummary!B:B), 0)</f>
        <v>0</v>
      </c>
      <c r="AD820">
        <f>IFERROR(_xlfn.XLOOKUP(B820, HoldSummary!$A:$A, HoldSummary!C:C), 0)</f>
        <v>0</v>
      </c>
      <c r="AE820">
        <f>IFERROR(_xlfn.XLOOKUP(B820, HoldSummary!$A:$A, HoldSummary!D:D), 0)</f>
        <v>0</v>
      </c>
      <c r="AF820">
        <f>IFERROR(_xlfn.XLOOKUP(B820, HoldSummary!$A:$A, HoldSummary!E:E), 0)</f>
        <v>11</v>
      </c>
      <c r="AG820">
        <f>IFERROR(_xlfn.XLOOKUP(B820, HoldSummary!$A:$A, HoldSummary!F:F), 0)</f>
        <v>0</v>
      </c>
      <c r="AH820">
        <f>IFERROR(_xlfn.XLOOKUP(B820, HoldSummary!$A:$A, HoldSummary!G:G), 0)</f>
        <v>0</v>
      </c>
      <c r="AI820">
        <f>IFERROR(_xlfn.XLOOKUP(B820, HoldSummary!$A:$A, HoldSummary!H:H), 0)</f>
        <v>0</v>
      </c>
      <c r="AJ820">
        <f>IFERROR(_xlfn.XLOOKUP(B820, HoldSummary!$A:$A, HoldSummary!I:I), 0)</f>
        <v>0</v>
      </c>
      <c r="AK820">
        <f t="shared" si="125"/>
        <v>11</v>
      </c>
      <c r="AL820">
        <f t="shared" si="126"/>
        <v>138.18809027777752</v>
      </c>
      <c r="AM820">
        <f t="shared" si="127"/>
        <v>117.18809027777752</v>
      </c>
      <c r="AN820" s="12">
        <f t="shared" si="128"/>
        <v>45544</v>
      </c>
      <c r="AO820">
        <f t="shared" si="129"/>
        <v>1</v>
      </c>
    </row>
    <row r="821" spans="1:41" x14ac:dyDescent="0.35">
      <c r="A821" t="s">
        <v>23</v>
      </c>
      <c r="B821" t="s">
        <v>1824</v>
      </c>
      <c r="C821" t="s">
        <v>76</v>
      </c>
      <c r="D821" t="s">
        <v>44</v>
      </c>
      <c r="E821" t="s">
        <v>45</v>
      </c>
      <c r="F821" t="s">
        <v>1719</v>
      </c>
      <c r="H821" t="s">
        <v>1825</v>
      </c>
      <c r="I821" t="s">
        <v>30</v>
      </c>
      <c r="J821" t="s">
        <v>31</v>
      </c>
      <c r="K821" t="s">
        <v>38</v>
      </c>
      <c r="L821" t="s">
        <v>39</v>
      </c>
      <c r="N821" s="2">
        <v>45398.755752314813</v>
      </c>
      <c r="O821" s="2"/>
      <c r="P821" s="2"/>
      <c r="Q821" s="2">
        <v>45420</v>
      </c>
      <c r="R821" s="2">
        <v>45420.844889687498</v>
      </c>
      <c r="S821" t="s">
        <v>226</v>
      </c>
      <c r="T821" s="2"/>
      <c r="U821" s="2"/>
      <c r="V821" s="2"/>
      <c r="W821" s="2"/>
      <c r="X821" s="3" t="str">
        <f t="shared" si="120"/>
        <v/>
      </c>
      <c r="Y821" t="str">
        <f t="shared" si="121"/>
        <v/>
      </c>
      <c r="Z821">
        <f t="shared" si="122"/>
        <v>0</v>
      </c>
      <c r="AA821">
        <f t="shared" si="123"/>
        <v>21.244247685186565</v>
      </c>
      <c r="AB821">
        <f t="shared" si="124"/>
        <v>21.244247685186565</v>
      </c>
      <c r="AC821">
        <f>IFERROR(_xlfn.XLOOKUP(B821, HoldSummary!$A:$A, HoldSummary!B:B), 0)</f>
        <v>0</v>
      </c>
      <c r="AD821">
        <f>IFERROR(_xlfn.XLOOKUP(B821, HoldSummary!$A:$A, HoldSummary!C:C), 0)</f>
        <v>0</v>
      </c>
      <c r="AE821">
        <f>IFERROR(_xlfn.XLOOKUP(B821, HoldSummary!$A:$A, HoldSummary!D:D), 0)</f>
        <v>0</v>
      </c>
      <c r="AF821">
        <f>IFERROR(_xlfn.XLOOKUP(B821, HoldSummary!$A:$A, HoldSummary!E:E), 0)</f>
        <v>0</v>
      </c>
      <c r="AG821">
        <f>IFERROR(_xlfn.XLOOKUP(B821, HoldSummary!$A:$A, HoldSummary!F:F), 0)</f>
        <v>0</v>
      </c>
      <c r="AH821">
        <f>IFERROR(_xlfn.XLOOKUP(B821, HoldSummary!$A:$A, HoldSummary!G:G), 0)</f>
        <v>0</v>
      </c>
      <c r="AI821">
        <f>IFERROR(_xlfn.XLOOKUP(B821, HoldSummary!$A:$A, HoldSummary!H:H), 0)</f>
        <v>0</v>
      </c>
      <c r="AJ821">
        <f>IFERROR(_xlfn.XLOOKUP(B821, HoldSummary!$A:$A, HoldSummary!I:I), 0)</f>
        <v>0</v>
      </c>
      <c r="AK821">
        <f t="shared" si="125"/>
        <v>0</v>
      </c>
      <c r="AL821">
        <f t="shared" si="126"/>
        <v>21.244247685186565</v>
      </c>
      <c r="AM821">
        <f t="shared" si="127"/>
        <v>21.244247685186565</v>
      </c>
      <c r="AN821" s="12">
        <f t="shared" si="128"/>
        <v>45420</v>
      </c>
      <c r="AO821">
        <f t="shared" si="129"/>
        <v>1</v>
      </c>
    </row>
    <row r="822" spans="1:41" x14ac:dyDescent="0.35">
      <c r="A822" t="s">
        <v>23</v>
      </c>
      <c r="B822" t="s">
        <v>1826</v>
      </c>
      <c r="C822" t="s">
        <v>43</v>
      </c>
      <c r="D822" t="s">
        <v>44</v>
      </c>
      <c r="E822" t="s">
        <v>45</v>
      </c>
      <c r="F822" t="s">
        <v>1719</v>
      </c>
      <c r="H822" t="s">
        <v>1827</v>
      </c>
      <c r="I822" t="s">
        <v>30</v>
      </c>
      <c r="J822" t="s">
        <v>31</v>
      </c>
      <c r="K822" t="s">
        <v>48</v>
      </c>
      <c r="N822" s="2">
        <v>45400.571851851855</v>
      </c>
      <c r="O822" s="2"/>
      <c r="P822" s="2"/>
      <c r="Q822" s="2">
        <v>45411</v>
      </c>
      <c r="R822" s="2">
        <v>45411.77317453704</v>
      </c>
      <c r="S822" t="s">
        <v>1828</v>
      </c>
      <c r="T822" s="2"/>
      <c r="U822" s="2"/>
      <c r="V822" s="2"/>
      <c r="W822" s="2"/>
      <c r="X822" s="3" t="str">
        <f t="shared" si="120"/>
        <v/>
      </c>
      <c r="Y822" t="str">
        <f t="shared" si="121"/>
        <v/>
      </c>
      <c r="Z822">
        <f t="shared" si="122"/>
        <v>0</v>
      </c>
      <c r="AA822">
        <f t="shared" si="123"/>
        <v>10.428148148144828</v>
      </c>
      <c r="AB822">
        <f t="shared" si="124"/>
        <v>10.428148148144828</v>
      </c>
      <c r="AC822">
        <f>IFERROR(_xlfn.XLOOKUP(B822, HoldSummary!$A:$A, HoldSummary!B:B), 0)</f>
        <v>0</v>
      </c>
      <c r="AD822">
        <f>IFERROR(_xlfn.XLOOKUP(B822, HoldSummary!$A:$A, HoldSummary!C:C), 0)</f>
        <v>0</v>
      </c>
      <c r="AE822">
        <f>IFERROR(_xlfn.XLOOKUP(B822, HoldSummary!$A:$A, HoldSummary!D:D), 0)</f>
        <v>0</v>
      </c>
      <c r="AF822">
        <f>IFERROR(_xlfn.XLOOKUP(B822, HoldSummary!$A:$A, HoldSummary!E:E), 0)</f>
        <v>0</v>
      </c>
      <c r="AG822">
        <f>IFERROR(_xlfn.XLOOKUP(B822, HoldSummary!$A:$A, HoldSummary!F:F), 0)</f>
        <v>0</v>
      </c>
      <c r="AH822">
        <f>IFERROR(_xlfn.XLOOKUP(B822, HoldSummary!$A:$A, HoldSummary!G:G), 0)</f>
        <v>0</v>
      </c>
      <c r="AI822">
        <f>IFERROR(_xlfn.XLOOKUP(B822, HoldSummary!$A:$A, HoldSummary!H:H), 0)</f>
        <v>0</v>
      </c>
      <c r="AJ822">
        <f>IFERROR(_xlfn.XLOOKUP(B822, HoldSummary!$A:$A, HoldSummary!I:I), 0)</f>
        <v>0</v>
      </c>
      <c r="AK822">
        <f t="shared" si="125"/>
        <v>0</v>
      </c>
      <c r="AL822">
        <f t="shared" si="126"/>
        <v>10.428148148144828</v>
      </c>
      <c r="AM822">
        <f t="shared" si="127"/>
        <v>10.428148148144828</v>
      </c>
      <c r="AN822" s="12">
        <f t="shared" si="128"/>
        <v>45411</v>
      </c>
      <c r="AO822">
        <f t="shared" si="129"/>
        <v>1</v>
      </c>
    </row>
    <row r="823" spans="1:41" x14ac:dyDescent="0.35">
      <c r="A823" t="s">
        <v>23</v>
      </c>
      <c r="B823" t="s">
        <v>1829</v>
      </c>
      <c r="C823" t="s">
        <v>43</v>
      </c>
      <c r="D823" t="s">
        <v>44</v>
      </c>
      <c r="E823" t="s">
        <v>45</v>
      </c>
      <c r="F823" t="s">
        <v>1719</v>
      </c>
      <c r="H823" t="s">
        <v>1830</v>
      </c>
      <c r="I823" t="s">
        <v>30</v>
      </c>
      <c r="J823" t="s">
        <v>31</v>
      </c>
      <c r="K823" t="s">
        <v>48</v>
      </c>
      <c r="L823" t="s">
        <v>695</v>
      </c>
      <c r="M823" t="s">
        <v>33</v>
      </c>
      <c r="N823" s="2">
        <v>45413.508703703701</v>
      </c>
      <c r="O823" s="2"/>
      <c r="P823" s="2"/>
      <c r="Q823" s="2">
        <v>45425</v>
      </c>
      <c r="R823" s="2">
        <v>45426.47254855324</v>
      </c>
      <c r="T823" s="2">
        <v>45419.166666666664</v>
      </c>
      <c r="U823" s="2">
        <v>45420.166666666664</v>
      </c>
      <c r="V823" s="2">
        <v>45420.166666666664</v>
      </c>
      <c r="W823" s="2">
        <v>45420.166666666664</v>
      </c>
      <c r="X823" s="3">
        <f t="shared" si="120"/>
        <v>1</v>
      </c>
      <c r="Y823">
        <f t="shared" si="121"/>
        <v>0</v>
      </c>
      <c r="Z823">
        <f t="shared" si="122"/>
        <v>1</v>
      </c>
      <c r="AA823">
        <f t="shared" si="123"/>
        <v>11.49129629629897</v>
      </c>
      <c r="AB823">
        <f t="shared" si="124"/>
        <v>10.49129629629897</v>
      </c>
      <c r="AC823">
        <f>IFERROR(_xlfn.XLOOKUP(B823, HoldSummary!$A:$A, HoldSummary!B:B), 0)</f>
        <v>0</v>
      </c>
      <c r="AD823">
        <f>IFERROR(_xlfn.XLOOKUP(B823, HoldSummary!$A:$A, HoldSummary!C:C), 0)</f>
        <v>0</v>
      </c>
      <c r="AE823">
        <f>IFERROR(_xlfn.XLOOKUP(B823, HoldSummary!$A:$A, HoldSummary!D:D), 0)</f>
        <v>0</v>
      </c>
      <c r="AF823">
        <f>IFERROR(_xlfn.XLOOKUP(B823, HoldSummary!$A:$A, HoldSummary!E:E), 0)</f>
        <v>0</v>
      </c>
      <c r="AG823">
        <f>IFERROR(_xlfn.XLOOKUP(B823, HoldSummary!$A:$A, HoldSummary!F:F), 0)</f>
        <v>0</v>
      </c>
      <c r="AH823">
        <f>IFERROR(_xlfn.XLOOKUP(B823, HoldSummary!$A:$A, HoldSummary!G:G), 0)</f>
        <v>0</v>
      </c>
      <c r="AI823">
        <f>IFERROR(_xlfn.XLOOKUP(B823, HoldSummary!$A:$A, HoldSummary!H:H), 0)</f>
        <v>0</v>
      </c>
      <c r="AJ823">
        <f>IFERROR(_xlfn.XLOOKUP(B823, HoldSummary!$A:$A, HoldSummary!I:I), 0)</f>
        <v>0</v>
      </c>
      <c r="AK823">
        <f t="shared" si="125"/>
        <v>0</v>
      </c>
      <c r="AL823">
        <f t="shared" si="126"/>
        <v>11.49129629629897</v>
      </c>
      <c r="AM823">
        <f t="shared" si="127"/>
        <v>10.49129629629897</v>
      </c>
      <c r="AN823" s="12">
        <f t="shared" si="128"/>
        <v>45425</v>
      </c>
      <c r="AO823">
        <f t="shared" si="129"/>
        <v>1</v>
      </c>
    </row>
    <row r="824" spans="1:41" x14ac:dyDescent="0.35">
      <c r="A824" t="s">
        <v>23</v>
      </c>
      <c r="B824" t="s">
        <v>1831</v>
      </c>
      <c r="C824" t="s">
        <v>43</v>
      </c>
      <c r="D824" t="s">
        <v>44</v>
      </c>
      <c r="E824" t="s">
        <v>44</v>
      </c>
      <c r="F824" t="s">
        <v>1719</v>
      </c>
      <c r="H824" t="s">
        <v>1832</v>
      </c>
      <c r="I824" t="s">
        <v>30</v>
      </c>
      <c r="J824" t="s">
        <v>31</v>
      </c>
      <c r="K824" t="s">
        <v>38</v>
      </c>
      <c r="L824" t="s">
        <v>39</v>
      </c>
      <c r="M824" t="s">
        <v>33</v>
      </c>
      <c r="N824" s="2">
        <v>45415.166666666664</v>
      </c>
      <c r="O824" s="2"/>
      <c r="P824" s="2"/>
      <c r="Q824" s="2">
        <v>45418</v>
      </c>
      <c r="R824" s="2">
        <v>45418.570042187501</v>
      </c>
      <c r="S824" t="s">
        <v>1833</v>
      </c>
      <c r="T824" s="2"/>
      <c r="U824" s="2"/>
      <c r="V824" s="2"/>
      <c r="W824" s="2"/>
      <c r="X824" s="3" t="str">
        <f t="shared" si="120"/>
        <v/>
      </c>
      <c r="Y824" t="str">
        <f t="shared" si="121"/>
        <v/>
      </c>
      <c r="Z824">
        <f t="shared" si="122"/>
        <v>0</v>
      </c>
      <c r="AA824">
        <f t="shared" si="123"/>
        <v>2.8333333333357587</v>
      </c>
      <c r="AB824">
        <f t="shared" si="124"/>
        <v>2.8333333333357587</v>
      </c>
      <c r="AC824">
        <f>IFERROR(_xlfn.XLOOKUP(B824, HoldSummary!$A:$A, HoldSummary!B:B), 0)</f>
        <v>0</v>
      </c>
      <c r="AD824">
        <f>IFERROR(_xlfn.XLOOKUP(B824, HoldSummary!$A:$A, HoldSummary!C:C), 0)</f>
        <v>0</v>
      </c>
      <c r="AE824">
        <f>IFERROR(_xlfn.XLOOKUP(B824, HoldSummary!$A:$A, HoldSummary!D:D), 0)</f>
        <v>0</v>
      </c>
      <c r="AF824">
        <f>IFERROR(_xlfn.XLOOKUP(B824, HoldSummary!$A:$A, HoldSummary!E:E), 0)</f>
        <v>0</v>
      </c>
      <c r="AG824">
        <f>IFERROR(_xlfn.XLOOKUP(B824, HoldSummary!$A:$A, HoldSummary!F:F), 0)</f>
        <v>0</v>
      </c>
      <c r="AH824">
        <f>IFERROR(_xlfn.XLOOKUP(B824, HoldSummary!$A:$A, HoldSummary!G:G), 0)</f>
        <v>0</v>
      </c>
      <c r="AI824">
        <f>IFERROR(_xlfn.XLOOKUP(B824, HoldSummary!$A:$A, HoldSummary!H:H), 0)</f>
        <v>0</v>
      </c>
      <c r="AJ824">
        <f>IFERROR(_xlfn.XLOOKUP(B824, HoldSummary!$A:$A, HoldSummary!I:I), 0)</f>
        <v>0</v>
      </c>
      <c r="AK824">
        <f t="shared" si="125"/>
        <v>0</v>
      </c>
      <c r="AL824">
        <f t="shared" si="126"/>
        <v>2.8333333333357587</v>
      </c>
      <c r="AM824">
        <f t="shared" si="127"/>
        <v>2.8333333333357587</v>
      </c>
      <c r="AN824" s="12">
        <f t="shared" si="128"/>
        <v>45418</v>
      </c>
      <c r="AO824">
        <f t="shared" si="129"/>
        <v>1</v>
      </c>
    </row>
    <row r="825" spans="1:41" x14ac:dyDescent="0.35">
      <c r="A825" t="s">
        <v>23</v>
      </c>
      <c r="B825" t="s">
        <v>1834</v>
      </c>
      <c r="C825" t="s">
        <v>76</v>
      </c>
      <c r="D825" t="s">
        <v>44</v>
      </c>
      <c r="E825" t="s">
        <v>45</v>
      </c>
      <c r="F825" t="s">
        <v>1719</v>
      </c>
      <c r="H825" t="s">
        <v>1835</v>
      </c>
      <c r="I825" t="s">
        <v>30</v>
      </c>
      <c r="J825" t="s">
        <v>31</v>
      </c>
      <c r="K825" t="s">
        <v>48</v>
      </c>
      <c r="L825" t="s">
        <v>49</v>
      </c>
      <c r="M825" t="s">
        <v>33</v>
      </c>
      <c r="N825" s="2">
        <v>45390.540416666663</v>
      </c>
      <c r="O825" s="2"/>
      <c r="P825" s="2"/>
      <c r="Q825" s="2">
        <v>45443</v>
      </c>
      <c r="R825" s="2">
        <v>45443.806923530094</v>
      </c>
      <c r="T825" s="2">
        <v>45435.166666666664</v>
      </c>
      <c r="U825" s="2">
        <v>45435.166666666664</v>
      </c>
      <c r="V825" s="2">
        <v>45435.166666666664</v>
      </c>
      <c r="W825" s="2">
        <v>45436.166666666664</v>
      </c>
      <c r="X825" s="3">
        <f t="shared" si="120"/>
        <v>0</v>
      </c>
      <c r="Y825">
        <f t="shared" si="121"/>
        <v>1</v>
      </c>
      <c r="Z825">
        <f t="shared" si="122"/>
        <v>1</v>
      </c>
      <c r="AA825">
        <f t="shared" si="123"/>
        <v>52.459583333336923</v>
      </c>
      <c r="AB825">
        <f t="shared" si="124"/>
        <v>51.459583333336923</v>
      </c>
      <c r="AC825">
        <f>IFERROR(_xlfn.XLOOKUP(B825, HoldSummary!$A:$A, HoldSummary!B:B), 0)</f>
        <v>0</v>
      </c>
      <c r="AD825">
        <f>IFERROR(_xlfn.XLOOKUP(B825, HoldSummary!$A:$A, HoldSummary!C:C), 0)</f>
        <v>0</v>
      </c>
      <c r="AE825">
        <f>IFERROR(_xlfn.XLOOKUP(B825, HoldSummary!$A:$A, HoldSummary!D:D), 0)</f>
        <v>0</v>
      </c>
      <c r="AF825">
        <f>IFERROR(_xlfn.XLOOKUP(B825, HoldSummary!$A:$A, HoldSummary!E:E), 0)</f>
        <v>31.849544907410746</v>
      </c>
      <c r="AG825">
        <f>IFERROR(_xlfn.XLOOKUP(B825, HoldSummary!$A:$A, HoldSummary!F:F), 0)</f>
        <v>0</v>
      </c>
      <c r="AH825">
        <f>IFERROR(_xlfn.XLOOKUP(B825, HoldSummary!$A:$A, HoldSummary!G:G), 0)</f>
        <v>0</v>
      </c>
      <c r="AI825">
        <f>IFERROR(_xlfn.XLOOKUP(B825, HoldSummary!$A:$A, HoldSummary!H:H), 0)</f>
        <v>0</v>
      </c>
      <c r="AJ825">
        <f>IFERROR(_xlfn.XLOOKUP(B825, HoldSummary!$A:$A, HoldSummary!I:I), 0)</f>
        <v>0</v>
      </c>
      <c r="AK825">
        <f t="shared" si="125"/>
        <v>31.849544907410746</v>
      </c>
      <c r="AL825">
        <f t="shared" si="126"/>
        <v>20.610038425926177</v>
      </c>
      <c r="AM825">
        <f t="shared" si="127"/>
        <v>19.610038425926177</v>
      </c>
      <c r="AN825" s="12">
        <f t="shared" si="128"/>
        <v>45443</v>
      </c>
      <c r="AO825">
        <f t="shared" si="129"/>
        <v>1</v>
      </c>
    </row>
    <row r="826" spans="1:41" x14ac:dyDescent="0.35">
      <c r="A826" t="s">
        <v>23</v>
      </c>
      <c r="B826" t="s">
        <v>1836</v>
      </c>
      <c r="C826" t="s">
        <v>43</v>
      </c>
      <c r="D826" t="s">
        <v>44</v>
      </c>
      <c r="E826" t="s">
        <v>45</v>
      </c>
      <c r="F826" t="s">
        <v>1719</v>
      </c>
      <c r="H826" t="s">
        <v>1837</v>
      </c>
      <c r="I826" t="s">
        <v>30</v>
      </c>
      <c r="J826" t="s">
        <v>31</v>
      </c>
      <c r="K826" t="s">
        <v>48</v>
      </c>
      <c r="L826" t="s">
        <v>49</v>
      </c>
      <c r="M826" t="s">
        <v>81</v>
      </c>
      <c r="N826" s="2">
        <v>45411.519756944443</v>
      </c>
      <c r="O826" s="2"/>
      <c r="P826" s="2"/>
      <c r="Q826" s="2">
        <v>45467</v>
      </c>
      <c r="R826" s="2">
        <v>45468.575320381948</v>
      </c>
      <c r="S826" t="s">
        <v>306</v>
      </c>
      <c r="T826" s="2">
        <v>45432.166666666664</v>
      </c>
      <c r="U826" s="2">
        <v>45447.166666666664</v>
      </c>
      <c r="V826" s="2">
        <v>45447.166666666664</v>
      </c>
      <c r="W826" s="2">
        <v>45447.166666666664</v>
      </c>
      <c r="X826" s="3">
        <f t="shared" si="120"/>
        <v>15</v>
      </c>
      <c r="Y826">
        <f t="shared" si="121"/>
        <v>0</v>
      </c>
      <c r="Z826">
        <f t="shared" si="122"/>
        <v>15</v>
      </c>
      <c r="AA826">
        <f t="shared" si="123"/>
        <v>55.480243055557366</v>
      </c>
      <c r="AB826">
        <f t="shared" si="124"/>
        <v>40.480243055557366</v>
      </c>
      <c r="AC826">
        <f>IFERROR(_xlfn.XLOOKUP(B826, HoldSummary!$A:$A, HoldSummary!B:B), 0)</f>
        <v>0</v>
      </c>
      <c r="AD826">
        <f>IFERROR(_xlfn.XLOOKUP(B826, HoldSummary!$A:$A, HoldSummary!C:C), 0)</f>
        <v>0</v>
      </c>
      <c r="AE826">
        <f>IFERROR(_xlfn.XLOOKUP(B826, HoldSummary!$A:$A, HoldSummary!D:D), 0)</f>
        <v>0</v>
      </c>
      <c r="AF826">
        <f>IFERROR(_xlfn.XLOOKUP(B826, HoldSummary!$A:$A, HoldSummary!E:E), 0)</f>
        <v>0</v>
      </c>
      <c r="AG826">
        <f>IFERROR(_xlfn.XLOOKUP(B826, HoldSummary!$A:$A, HoldSummary!F:F), 0)</f>
        <v>0</v>
      </c>
      <c r="AH826">
        <f>IFERROR(_xlfn.XLOOKUP(B826, HoldSummary!$A:$A, HoldSummary!G:G), 0)</f>
        <v>0</v>
      </c>
      <c r="AI826">
        <f>IFERROR(_xlfn.XLOOKUP(B826, HoldSummary!$A:$A, HoldSummary!H:H), 0)</f>
        <v>0</v>
      </c>
      <c r="AJ826">
        <f>IFERROR(_xlfn.XLOOKUP(B826, HoldSummary!$A:$A, HoldSummary!I:I), 0)</f>
        <v>0</v>
      </c>
      <c r="AK826">
        <f t="shared" si="125"/>
        <v>0</v>
      </c>
      <c r="AL826">
        <f t="shared" si="126"/>
        <v>55.480243055557366</v>
      </c>
      <c r="AM826">
        <f t="shared" si="127"/>
        <v>40.480243055557366</v>
      </c>
      <c r="AN826" s="12">
        <f t="shared" si="128"/>
        <v>45467</v>
      </c>
      <c r="AO826">
        <f t="shared" si="129"/>
        <v>1</v>
      </c>
    </row>
    <row r="827" spans="1:41" x14ac:dyDescent="0.35">
      <c r="A827" t="s">
        <v>23</v>
      </c>
      <c r="B827" t="s">
        <v>1838</v>
      </c>
      <c r="C827" t="s">
        <v>43</v>
      </c>
      <c r="D827" t="s">
        <v>44</v>
      </c>
      <c r="E827" t="s">
        <v>45</v>
      </c>
      <c r="F827" t="s">
        <v>1719</v>
      </c>
      <c r="H827" t="s">
        <v>1839</v>
      </c>
      <c r="I827" t="s">
        <v>30</v>
      </c>
      <c r="J827" t="s">
        <v>300</v>
      </c>
      <c r="K827" t="s">
        <v>38</v>
      </c>
      <c r="L827" t="s">
        <v>39</v>
      </c>
      <c r="M827" t="s">
        <v>33</v>
      </c>
      <c r="N827" s="2">
        <v>45426.850717592592</v>
      </c>
      <c r="O827" s="2"/>
      <c r="P827" s="2"/>
      <c r="Q827" s="2">
        <v>45461</v>
      </c>
      <c r="R827" s="2">
        <v>45461.640011261574</v>
      </c>
      <c r="T827" s="2"/>
      <c r="U827" s="2"/>
      <c r="V827" s="2"/>
      <c r="W827" s="2"/>
      <c r="X827" s="3" t="str">
        <f t="shared" si="120"/>
        <v/>
      </c>
      <c r="Y827" t="str">
        <f t="shared" si="121"/>
        <v/>
      </c>
      <c r="Z827">
        <f t="shared" si="122"/>
        <v>0</v>
      </c>
      <c r="AA827">
        <f t="shared" si="123"/>
        <v>34.149282407408464</v>
      </c>
      <c r="AB827">
        <f t="shared" si="124"/>
        <v>34.149282407408464</v>
      </c>
      <c r="AC827">
        <f>IFERROR(_xlfn.XLOOKUP(B827, HoldSummary!$A:$A, HoldSummary!B:B), 0)</f>
        <v>0</v>
      </c>
      <c r="AD827">
        <f>IFERROR(_xlfn.XLOOKUP(B827, HoldSummary!$A:$A, HoldSummary!C:C), 0)</f>
        <v>0</v>
      </c>
      <c r="AE827">
        <f>IFERROR(_xlfn.XLOOKUP(B827, HoldSummary!$A:$A, HoldSummary!D:D), 0)</f>
        <v>0</v>
      </c>
      <c r="AF827">
        <f>IFERROR(_xlfn.XLOOKUP(B827, HoldSummary!$A:$A, HoldSummary!E:E), 0)</f>
        <v>0</v>
      </c>
      <c r="AG827">
        <f>IFERROR(_xlfn.XLOOKUP(B827, HoldSummary!$A:$A, HoldSummary!F:F), 0)</f>
        <v>0</v>
      </c>
      <c r="AH827">
        <f>IFERROR(_xlfn.XLOOKUP(B827, HoldSummary!$A:$A, HoldSummary!G:G), 0)</f>
        <v>0</v>
      </c>
      <c r="AI827">
        <f>IFERROR(_xlfn.XLOOKUP(B827, HoldSummary!$A:$A, HoldSummary!H:H), 0)</f>
        <v>0</v>
      </c>
      <c r="AJ827">
        <f>IFERROR(_xlfn.XLOOKUP(B827, HoldSummary!$A:$A, HoldSummary!I:I), 0)</f>
        <v>0</v>
      </c>
      <c r="AK827">
        <f t="shared" si="125"/>
        <v>0</v>
      </c>
      <c r="AL827">
        <f t="shared" si="126"/>
        <v>34.149282407408464</v>
      </c>
      <c r="AM827">
        <f t="shared" si="127"/>
        <v>34.149282407408464</v>
      </c>
      <c r="AN827" s="12">
        <f t="shared" si="128"/>
        <v>45461</v>
      </c>
      <c r="AO827">
        <f t="shared" si="129"/>
        <v>1</v>
      </c>
    </row>
    <row r="828" spans="1:41" x14ac:dyDescent="0.35">
      <c r="A828" t="s">
        <v>23</v>
      </c>
      <c r="B828" t="s">
        <v>1840</v>
      </c>
      <c r="C828" t="s">
        <v>76</v>
      </c>
      <c r="D828" t="s">
        <v>44</v>
      </c>
      <c r="E828" t="s">
        <v>45</v>
      </c>
      <c r="F828" t="s">
        <v>1719</v>
      </c>
      <c r="H828" t="s">
        <v>1841</v>
      </c>
      <c r="I828" t="s">
        <v>30</v>
      </c>
      <c r="J828" t="s">
        <v>31</v>
      </c>
      <c r="K828" t="s">
        <v>48</v>
      </c>
      <c r="L828" t="s">
        <v>49</v>
      </c>
      <c r="N828" s="2">
        <v>45392.496539351851</v>
      </c>
      <c r="O828" s="2"/>
      <c r="P828" s="2"/>
      <c r="Q828" s="2">
        <v>45635</v>
      </c>
      <c r="R828" s="2">
        <v>45635.714943067127</v>
      </c>
      <c r="S828" t="s">
        <v>145</v>
      </c>
      <c r="T828" s="2">
        <v>45456.166666666664</v>
      </c>
      <c r="U828" s="2">
        <v>45463.166666666664</v>
      </c>
      <c r="V828" s="2">
        <v>45463.166666666664</v>
      </c>
      <c r="W828" s="2">
        <v>45621.208333333336</v>
      </c>
      <c r="X828" s="3">
        <f t="shared" si="120"/>
        <v>7</v>
      </c>
      <c r="Y828">
        <f t="shared" si="121"/>
        <v>158.04166666667152</v>
      </c>
      <c r="Z828">
        <f t="shared" si="122"/>
        <v>165.04166666667152</v>
      </c>
      <c r="AA828">
        <f t="shared" si="123"/>
        <v>242.50346064814948</v>
      </c>
      <c r="AB828">
        <f t="shared" si="124"/>
        <v>77.461793981477967</v>
      </c>
      <c r="AC828">
        <f>IFERROR(_xlfn.XLOOKUP(B828, HoldSummary!$A:$A, HoldSummary!B:B), 0)</f>
        <v>0</v>
      </c>
      <c r="AD828">
        <f>IFERROR(_xlfn.XLOOKUP(B828, HoldSummary!$A:$A, HoldSummary!C:C), 0)</f>
        <v>0</v>
      </c>
      <c r="AE828">
        <f>IFERROR(_xlfn.XLOOKUP(B828, HoldSummary!$A:$A, HoldSummary!D:D), 0)</f>
        <v>0</v>
      </c>
      <c r="AF828">
        <f>IFERROR(_xlfn.XLOOKUP(B828, HoldSummary!$A:$A, HoldSummary!E:E), 0)</f>
        <v>22.933908900464303</v>
      </c>
      <c r="AG828">
        <f>IFERROR(_xlfn.XLOOKUP(B828, HoldSummary!$A:$A, HoldSummary!F:F), 0)</f>
        <v>0</v>
      </c>
      <c r="AH828">
        <f>IFERROR(_xlfn.XLOOKUP(B828, HoldSummary!$A:$A, HoldSummary!G:G), 0)</f>
        <v>0</v>
      </c>
      <c r="AI828">
        <f>IFERROR(_xlfn.XLOOKUP(B828, HoldSummary!$A:$A, HoldSummary!H:H), 0)</f>
        <v>0</v>
      </c>
      <c r="AJ828">
        <f>IFERROR(_xlfn.XLOOKUP(B828, HoldSummary!$A:$A, HoldSummary!I:I), 0)</f>
        <v>0</v>
      </c>
      <c r="AK828">
        <f t="shared" si="125"/>
        <v>22.933908900464303</v>
      </c>
      <c r="AL828">
        <f t="shared" si="126"/>
        <v>219.56955174768518</v>
      </c>
      <c r="AM828">
        <f t="shared" si="127"/>
        <v>54.527885081013665</v>
      </c>
      <c r="AN828" s="12">
        <f t="shared" si="128"/>
        <v>45635</v>
      </c>
      <c r="AO828">
        <f t="shared" si="129"/>
        <v>1</v>
      </c>
    </row>
    <row r="829" spans="1:41" x14ac:dyDescent="0.35">
      <c r="A829" t="s">
        <v>23</v>
      </c>
      <c r="B829">
        <v>105874</v>
      </c>
      <c r="C829" t="s">
        <v>76</v>
      </c>
      <c r="D829" t="s">
        <v>44</v>
      </c>
      <c r="E829" t="s">
        <v>55</v>
      </c>
      <c r="F829" t="s">
        <v>1719</v>
      </c>
      <c r="H829" t="s">
        <v>1842</v>
      </c>
      <c r="I829" t="s">
        <v>30</v>
      </c>
      <c r="J829" t="s">
        <v>31</v>
      </c>
      <c r="K829" t="s">
        <v>57</v>
      </c>
      <c r="L829" t="s">
        <v>39</v>
      </c>
      <c r="M829" t="s">
        <v>33</v>
      </c>
      <c r="N829" s="2">
        <v>45425.166666666664</v>
      </c>
      <c r="O829" s="2"/>
      <c r="P829" s="2"/>
      <c r="Q829" s="2">
        <v>45489</v>
      </c>
      <c r="R829" s="2">
        <v>45489.842654282409</v>
      </c>
      <c r="S829" t="s">
        <v>1843</v>
      </c>
      <c r="T829" s="2">
        <v>45457.166666666664</v>
      </c>
      <c r="U829" s="2">
        <v>45471.166666666664</v>
      </c>
      <c r="V829" s="2">
        <v>45471.166666666664</v>
      </c>
      <c r="W829" s="2">
        <v>45474.166666666664</v>
      </c>
      <c r="X829" s="3">
        <f t="shared" si="120"/>
        <v>14</v>
      </c>
      <c r="Y829">
        <f t="shared" si="121"/>
        <v>3</v>
      </c>
      <c r="Z829">
        <f t="shared" si="122"/>
        <v>17</v>
      </c>
      <c r="AA829">
        <f t="shared" si="123"/>
        <v>63.833333333335759</v>
      </c>
      <c r="AB829">
        <f t="shared" si="124"/>
        <v>46.833333333335759</v>
      </c>
      <c r="AC829">
        <f>IFERROR(_xlfn.XLOOKUP(B829, HoldSummary!$A:$A, HoldSummary!B:B), 0)</f>
        <v>0</v>
      </c>
      <c r="AD829">
        <f>IFERROR(_xlfn.XLOOKUP(B829, HoldSummary!$A:$A, HoldSummary!C:C), 0)</f>
        <v>0</v>
      </c>
      <c r="AE829">
        <f>IFERROR(_xlfn.XLOOKUP(B829, HoldSummary!$A:$A, HoldSummary!D:D), 0)</f>
        <v>0</v>
      </c>
      <c r="AF829">
        <f>IFERROR(_xlfn.XLOOKUP(B829, HoldSummary!$A:$A, HoldSummary!E:E), 0)</f>
        <v>0</v>
      </c>
      <c r="AG829">
        <f>IFERROR(_xlfn.XLOOKUP(B829, HoldSummary!$A:$A, HoldSummary!F:F), 0)</f>
        <v>0</v>
      </c>
      <c r="AH829">
        <f>IFERROR(_xlfn.XLOOKUP(B829, HoldSummary!$A:$A, HoldSummary!G:G), 0)</f>
        <v>0</v>
      </c>
      <c r="AI829">
        <f>IFERROR(_xlfn.XLOOKUP(B829, HoldSummary!$A:$A, HoldSummary!H:H), 0)</f>
        <v>0</v>
      </c>
      <c r="AJ829">
        <f>IFERROR(_xlfn.XLOOKUP(B829, HoldSummary!$A:$A, HoldSummary!I:I), 0)</f>
        <v>0</v>
      </c>
      <c r="AK829">
        <f t="shared" si="125"/>
        <v>0</v>
      </c>
      <c r="AL829">
        <f t="shared" si="126"/>
        <v>63.833333333335759</v>
      </c>
      <c r="AM829">
        <f t="shared" si="127"/>
        <v>46.833333333335759</v>
      </c>
      <c r="AN829" s="12">
        <f t="shared" si="128"/>
        <v>45489</v>
      </c>
      <c r="AO829">
        <f t="shared" si="129"/>
        <v>1</v>
      </c>
    </row>
    <row r="830" spans="1:41" x14ac:dyDescent="0.35">
      <c r="A830" t="s">
        <v>23</v>
      </c>
      <c r="B830" t="s">
        <v>1844</v>
      </c>
      <c r="C830" t="s">
        <v>43</v>
      </c>
      <c r="D830" t="s">
        <v>44</v>
      </c>
      <c r="E830" t="s">
        <v>45</v>
      </c>
      <c r="F830" t="s">
        <v>1719</v>
      </c>
      <c r="H830" t="s">
        <v>1845</v>
      </c>
      <c r="I830" t="s">
        <v>30</v>
      </c>
      <c r="J830" t="s">
        <v>31</v>
      </c>
      <c r="K830" t="s">
        <v>48</v>
      </c>
      <c r="L830" t="s">
        <v>695</v>
      </c>
      <c r="M830" t="s">
        <v>33</v>
      </c>
      <c r="N830" s="2">
        <v>45429.534444444442</v>
      </c>
      <c r="O830" s="2"/>
      <c r="P830" s="2"/>
      <c r="Q830" s="2">
        <v>45442</v>
      </c>
      <c r="R830" s="2">
        <v>45442.589348541667</v>
      </c>
      <c r="T830" s="2">
        <v>45432.166666666664</v>
      </c>
      <c r="U830" s="2">
        <v>45433.166666666664</v>
      </c>
      <c r="V830" s="2">
        <v>45433.166666666664</v>
      </c>
      <c r="W830" s="2">
        <v>45433.166666666664</v>
      </c>
      <c r="X830" s="3">
        <f t="shared" si="120"/>
        <v>1</v>
      </c>
      <c r="Y830">
        <f t="shared" si="121"/>
        <v>0</v>
      </c>
      <c r="Z830">
        <f t="shared" si="122"/>
        <v>1</v>
      </c>
      <c r="AA830">
        <f t="shared" si="123"/>
        <v>12.46555555555824</v>
      </c>
      <c r="AB830">
        <f t="shared" si="124"/>
        <v>11.46555555555824</v>
      </c>
      <c r="AC830">
        <f>IFERROR(_xlfn.XLOOKUP(B830, HoldSummary!$A:$A, HoldSummary!B:B), 0)</f>
        <v>0</v>
      </c>
      <c r="AD830">
        <f>IFERROR(_xlfn.XLOOKUP(B830, HoldSummary!$A:$A, HoldSummary!C:C), 0)</f>
        <v>0</v>
      </c>
      <c r="AE830">
        <f>IFERROR(_xlfn.XLOOKUP(B830, HoldSummary!$A:$A, HoldSummary!D:D), 0)</f>
        <v>0</v>
      </c>
      <c r="AF830">
        <f>IFERROR(_xlfn.XLOOKUP(B830, HoldSummary!$A:$A, HoldSummary!E:E), 0)</f>
        <v>0</v>
      </c>
      <c r="AG830">
        <f>IFERROR(_xlfn.XLOOKUP(B830, HoldSummary!$A:$A, HoldSummary!F:F), 0)</f>
        <v>0</v>
      </c>
      <c r="AH830">
        <f>IFERROR(_xlfn.XLOOKUP(B830, HoldSummary!$A:$A, HoldSummary!G:G), 0)</f>
        <v>0</v>
      </c>
      <c r="AI830">
        <f>IFERROR(_xlfn.XLOOKUP(B830, HoldSummary!$A:$A, HoldSummary!H:H), 0)</f>
        <v>0</v>
      </c>
      <c r="AJ830">
        <f>IFERROR(_xlfn.XLOOKUP(B830, HoldSummary!$A:$A, HoldSummary!I:I), 0)</f>
        <v>0</v>
      </c>
      <c r="AK830">
        <f t="shared" si="125"/>
        <v>0</v>
      </c>
      <c r="AL830">
        <f t="shared" si="126"/>
        <v>12.46555555555824</v>
      </c>
      <c r="AM830">
        <f t="shared" si="127"/>
        <v>11.46555555555824</v>
      </c>
      <c r="AN830" s="12">
        <f t="shared" si="128"/>
        <v>45442</v>
      </c>
      <c r="AO830">
        <f t="shared" si="129"/>
        <v>1</v>
      </c>
    </row>
    <row r="831" spans="1:41" x14ac:dyDescent="0.35">
      <c r="A831" t="s">
        <v>23</v>
      </c>
      <c r="B831" t="s">
        <v>1846</v>
      </c>
      <c r="C831" t="s">
        <v>76</v>
      </c>
      <c r="D831" t="s">
        <v>44</v>
      </c>
      <c r="E831" t="s">
        <v>45</v>
      </c>
      <c r="F831" t="s">
        <v>1719</v>
      </c>
      <c r="H831" t="s">
        <v>1847</v>
      </c>
      <c r="I831" t="s">
        <v>30</v>
      </c>
      <c r="J831" t="s">
        <v>31</v>
      </c>
      <c r="K831" t="s">
        <v>48</v>
      </c>
      <c r="L831" t="s">
        <v>49</v>
      </c>
      <c r="M831" t="s">
        <v>33</v>
      </c>
      <c r="N831" s="2">
        <v>45406.491307870368</v>
      </c>
      <c r="O831" s="2"/>
      <c r="P831" s="2"/>
      <c r="Q831" s="2">
        <v>45677</v>
      </c>
      <c r="R831" s="2">
        <v>45678.869847326387</v>
      </c>
      <c r="S831" t="s">
        <v>1848</v>
      </c>
      <c r="T831" s="2">
        <v>45476.166666666664</v>
      </c>
      <c r="U831" s="2">
        <v>45484.166666666664</v>
      </c>
      <c r="V831" s="2">
        <v>45484.166666666664</v>
      </c>
      <c r="W831" s="2">
        <v>45621.208333333336</v>
      </c>
      <c r="X831" s="3">
        <f t="shared" si="120"/>
        <v>8</v>
      </c>
      <c r="Y831">
        <f t="shared" si="121"/>
        <v>137.04166666667152</v>
      </c>
      <c r="Z831">
        <f t="shared" si="122"/>
        <v>145.04166666667152</v>
      </c>
      <c r="AA831">
        <f t="shared" si="123"/>
        <v>270.50869212963153</v>
      </c>
      <c r="AB831">
        <f t="shared" si="124"/>
        <v>125.46702546296001</v>
      </c>
      <c r="AC831">
        <f>IFERROR(_xlfn.XLOOKUP(B831, HoldSummary!$A:$A, HoldSummary!B:B), 0)</f>
        <v>8.1177294444496511</v>
      </c>
      <c r="AD831">
        <f>IFERROR(_xlfn.XLOOKUP(B831, HoldSummary!$A:$A, HoldSummary!C:C), 0)</f>
        <v>0</v>
      </c>
      <c r="AE831">
        <f>IFERROR(_xlfn.XLOOKUP(B831, HoldSummary!$A:$A, HoldSummary!D:D), 0)</f>
        <v>0</v>
      </c>
      <c r="AF831">
        <f>IFERROR(_xlfn.XLOOKUP(B831, HoldSummary!$A:$A, HoldSummary!E:E), 0)</f>
        <v>0</v>
      </c>
      <c r="AG831">
        <f>IFERROR(_xlfn.XLOOKUP(B831, HoldSummary!$A:$A, HoldSummary!F:F), 0)</f>
        <v>0</v>
      </c>
      <c r="AH831">
        <f>IFERROR(_xlfn.XLOOKUP(B831, HoldSummary!$A:$A, HoldSummary!G:G), 0)</f>
        <v>0</v>
      </c>
      <c r="AI831">
        <f>IFERROR(_xlfn.XLOOKUP(B831, HoldSummary!$A:$A, HoldSummary!H:H), 0)</f>
        <v>0</v>
      </c>
      <c r="AJ831">
        <f>IFERROR(_xlfn.XLOOKUP(B831, HoldSummary!$A:$A, HoldSummary!I:I), 0)</f>
        <v>0</v>
      </c>
      <c r="AK831">
        <f t="shared" si="125"/>
        <v>8.1177294444496511</v>
      </c>
      <c r="AL831">
        <f t="shared" si="126"/>
        <v>262.39096268518188</v>
      </c>
      <c r="AM831">
        <f t="shared" si="127"/>
        <v>117.34929601851036</v>
      </c>
      <c r="AN831" s="12">
        <f t="shared" si="128"/>
        <v>45677</v>
      </c>
      <c r="AO831">
        <f t="shared" si="129"/>
        <v>1</v>
      </c>
    </row>
    <row r="832" spans="1:41" x14ac:dyDescent="0.35">
      <c r="A832" t="s">
        <v>23</v>
      </c>
      <c r="B832" t="s">
        <v>1849</v>
      </c>
      <c r="C832" t="s">
        <v>43</v>
      </c>
      <c r="D832" t="s">
        <v>44</v>
      </c>
      <c r="E832" t="s">
        <v>45</v>
      </c>
      <c r="F832" t="s">
        <v>1719</v>
      </c>
      <c r="H832" t="s">
        <v>1850</v>
      </c>
      <c r="I832" t="s">
        <v>30</v>
      </c>
      <c r="J832" t="s">
        <v>31</v>
      </c>
      <c r="K832" t="s">
        <v>48</v>
      </c>
      <c r="M832" t="s">
        <v>33</v>
      </c>
      <c r="N832" s="2">
        <v>45453.555011574077</v>
      </c>
      <c r="O832" s="2"/>
      <c r="P832" s="2"/>
      <c r="Q832" s="2">
        <v>45464</v>
      </c>
      <c r="R832" s="2">
        <v>45464.58527703704</v>
      </c>
      <c r="T832" s="2">
        <v>45453.166666666664</v>
      </c>
      <c r="U832" s="2">
        <v>45454.166666666664</v>
      </c>
      <c r="V832" s="2">
        <v>45454.166666666664</v>
      </c>
      <c r="W832" s="2">
        <v>45454.166666666664</v>
      </c>
      <c r="X832" s="3">
        <f t="shared" si="120"/>
        <v>1</v>
      </c>
      <c r="Y832">
        <f t="shared" si="121"/>
        <v>0</v>
      </c>
      <c r="Z832">
        <f t="shared" si="122"/>
        <v>1</v>
      </c>
      <c r="AA832">
        <f t="shared" si="123"/>
        <v>10.444988425922929</v>
      </c>
      <c r="AB832">
        <f t="shared" si="124"/>
        <v>9.4449884259229293</v>
      </c>
      <c r="AC832">
        <f>IFERROR(_xlfn.XLOOKUP(B832, HoldSummary!$A:$A, HoldSummary!B:B), 0)</f>
        <v>0</v>
      </c>
      <c r="AD832">
        <f>IFERROR(_xlfn.XLOOKUP(B832, HoldSummary!$A:$A, HoldSummary!C:C), 0)</f>
        <v>0</v>
      </c>
      <c r="AE832">
        <f>IFERROR(_xlfn.XLOOKUP(B832, HoldSummary!$A:$A, HoldSummary!D:D), 0)</f>
        <v>0</v>
      </c>
      <c r="AF832">
        <f>IFERROR(_xlfn.XLOOKUP(B832, HoldSummary!$A:$A, HoldSummary!E:E), 0)</f>
        <v>0</v>
      </c>
      <c r="AG832">
        <f>IFERROR(_xlfn.XLOOKUP(B832, HoldSummary!$A:$A, HoldSummary!F:F), 0)</f>
        <v>0</v>
      </c>
      <c r="AH832">
        <f>IFERROR(_xlfn.XLOOKUP(B832, HoldSummary!$A:$A, HoldSummary!G:G), 0)</f>
        <v>0</v>
      </c>
      <c r="AI832">
        <f>IFERROR(_xlfn.XLOOKUP(B832, HoldSummary!$A:$A, HoldSummary!H:H), 0)</f>
        <v>0</v>
      </c>
      <c r="AJ832">
        <f>IFERROR(_xlfn.XLOOKUP(B832, HoldSummary!$A:$A, HoldSummary!I:I), 0)</f>
        <v>0</v>
      </c>
      <c r="AK832">
        <f t="shared" si="125"/>
        <v>0</v>
      </c>
      <c r="AL832">
        <f t="shared" si="126"/>
        <v>10.444988425922929</v>
      </c>
      <c r="AM832">
        <f t="shared" si="127"/>
        <v>9.4449884259229293</v>
      </c>
      <c r="AN832" s="12">
        <f t="shared" si="128"/>
        <v>45464</v>
      </c>
      <c r="AO832">
        <f t="shared" si="129"/>
        <v>1</v>
      </c>
    </row>
    <row r="833" spans="1:41" x14ac:dyDescent="0.35">
      <c r="A833" t="s">
        <v>23</v>
      </c>
      <c r="B833" t="s">
        <v>1851</v>
      </c>
      <c r="C833" t="s">
        <v>130</v>
      </c>
      <c r="D833" t="s">
        <v>44</v>
      </c>
      <c r="E833" t="s">
        <v>45</v>
      </c>
      <c r="F833" t="s">
        <v>1719</v>
      </c>
      <c r="H833" t="s">
        <v>1852</v>
      </c>
      <c r="I833" t="s">
        <v>30</v>
      </c>
      <c r="J833" t="s">
        <v>31</v>
      </c>
      <c r="K833" t="s">
        <v>38</v>
      </c>
      <c r="L833" t="s">
        <v>39</v>
      </c>
      <c r="M833" t="s">
        <v>33</v>
      </c>
      <c r="N833" s="2">
        <v>45413.74759259259</v>
      </c>
      <c r="O833" s="2"/>
      <c r="P833" s="2"/>
      <c r="Q833" s="2">
        <v>45460</v>
      </c>
      <c r="R833" s="2">
        <v>45460.622450127317</v>
      </c>
      <c r="S833" t="s">
        <v>306</v>
      </c>
      <c r="T833" s="2"/>
      <c r="U833" s="2"/>
      <c r="V833" s="2"/>
      <c r="W833" s="2"/>
      <c r="X833" s="3" t="str">
        <f t="shared" si="120"/>
        <v/>
      </c>
      <c r="Y833" t="str">
        <f t="shared" si="121"/>
        <v/>
      </c>
      <c r="Z833">
        <f t="shared" si="122"/>
        <v>0</v>
      </c>
      <c r="AA833">
        <f t="shared" si="123"/>
        <v>46.252407407409919</v>
      </c>
      <c r="AB833">
        <f t="shared" si="124"/>
        <v>46.252407407409919</v>
      </c>
      <c r="AC833">
        <f>IFERROR(_xlfn.XLOOKUP(B833, HoldSummary!$A:$A, HoldSummary!B:B), 0)</f>
        <v>9</v>
      </c>
      <c r="AD833">
        <f>IFERROR(_xlfn.XLOOKUP(B833, HoldSummary!$A:$A, HoldSummary!C:C), 0)</f>
        <v>0</v>
      </c>
      <c r="AE833">
        <f>IFERROR(_xlfn.XLOOKUP(B833, HoldSummary!$A:$A, HoldSummary!D:D), 0)</f>
        <v>0</v>
      </c>
      <c r="AF833">
        <f>IFERROR(_xlfn.XLOOKUP(B833, HoldSummary!$A:$A, HoldSummary!E:E), 0)</f>
        <v>0</v>
      </c>
      <c r="AG833">
        <f>IFERROR(_xlfn.XLOOKUP(B833, HoldSummary!$A:$A, HoldSummary!F:F), 0)</f>
        <v>0</v>
      </c>
      <c r="AH833">
        <f>IFERROR(_xlfn.XLOOKUP(B833, HoldSummary!$A:$A, HoldSummary!G:G), 0)</f>
        <v>0</v>
      </c>
      <c r="AI833">
        <f>IFERROR(_xlfn.XLOOKUP(B833, HoldSummary!$A:$A, HoldSummary!H:H), 0)</f>
        <v>0</v>
      </c>
      <c r="AJ833">
        <f>IFERROR(_xlfn.XLOOKUP(B833, HoldSummary!$A:$A, HoldSummary!I:I), 0)</f>
        <v>0</v>
      </c>
      <c r="AK833">
        <f t="shared" si="125"/>
        <v>9</v>
      </c>
      <c r="AL833">
        <f t="shared" si="126"/>
        <v>37.252407407409919</v>
      </c>
      <c r="AM833">
        <f t="shared" si="127"/>
        <v>37.252407407409919</v>
      </c>
      <c r="AN833" s="12">
        <f t="shared" si="128"/>
        <v>45460</v>
      </c>
      <c r="AO833">
        <f t="shared" si="129"/>
        <v>1</v>
      </c>
    </row>
    <row r="834" spans="1:41" x14ac:dyDescent="0.35">
      <c r="A834" t="s">
        <v>23</v>
      </c>
      <c r="B834" t="s">
        <v>1853</v>
      </c>
      <c r="C834" t="s">
        <v>43</v>
      </c>
      <c r="D834" t="s">
        <v>44</v>
      </c>
      <c r="E834" t="s">
        <v>45</v>
      </c>
      <c r="F834" t="s">
        <v>1719</v>
      </c>
      <c r="H834" t="s">
        <v>1854</v>
      </c>
      <c r="I834" t="s">
        <v>30</v>
      </c>
      <c r="J834" t="s">
        <v>31</v>
      </c>
      <c r="K834" t="s">
        <v>48</v>
      </c>
      <c r="M834" t="s">
        <v>33</v>
      </c>
      <c r="N834" s="2">
        <v>45446.826296296298</v>
      </c>
      <c r="O834" s="2"/>
      <c r="P834" s="2"/>
      <c r="Q834" s="2">
        <v>45470</v>
      </c>
      <c r="R834" s="2">
        <v>45470.81256726852</v>
      </c>
      <c r="T834" s="2">
        <v>45463.166666666664</v>
      </c>
      <c r="U834" s="2">
        <v>45463.166666666664</v>
      </c>
      <c r="V834" s="2">
        <v>45463.166666666664</v>
      </c>
      <c r="W834" s="2">
        <v>45463.166666666664</v>
      </c>
      <c r="X834" s="3">
        <f t="shared" si="120"/>
        <v>0</v>
      </c>
      <c r="Y834">
        <f t="shared" si="121"/>
        <v>0</v>
      </c>
      <c r="Z834">
        <f t="shared" si="122"/>
        <v>0</v>
      </c>
      <c r="AA834">
        <f t="shared" si="123"/>
        <v>23.173703703701904</v>
      </c>
      <c r="AB834">
        <f t="shared" si="124"/>
        <v>23.173703703701904</v>
      </c>
      <c r="AC834">
        <f>IFERROR(_xlfn.XLOOKUP(B834, HoldSummary!$A:$A, HoldSummary!B:B), 0)</f>
        <v>0</v>
      </c>
      <c r="AD834">
        <f>IFERROR(_xlfn.XLOOKUP(B834, HoldSummary!$A:$A, HoldSummary!C:C), 0)</f>
        <v>0</v>
      </c>
      <c r="AE834">
        <f>IFERROR(_xlfn.XLOOKUP(B834, HoldSummary!$A:$A, HoldSummary!D:D), 0)</f>
        <v>0</v>
      </c>
      <c r="AF834">
        <f>IFERROR(_xlfn.XLOOKUP(B834, HoldSummary!$A:$A, HoldSummary!E:E), 0)</f>
        <v>0</v>
      </c>
      <c r="AG834">
        <f>IFERROR(_xlfn.XLOOKUP(B834, HoldSummary!$A:$A, HoldSummary!F:F), 0)</f>
        <v>0</v>
      </c>
      <c r="AH834">
        <f>IFERROR(_xlfn.XLOOKUP(B834, HoldSummary!$A:$A, HoldSummary!G:G), 0)</f>
        <v>0</v>
      </c>
      <c r="AI834">
        <f>IFERROR(_xlfn.XLOOKUP(B834, HoldSummary!$A:$A, HoldSummary!H:H), 0)</f>
        <v>0</v>
      </c>
      <c r="AJ834">
        <f>IFERROR(_xlfn.XLOOKUP(B834, HoldSummary!$A:$A, HoldSummary!I:I), 0)</f>
        <v>0</v>
      </c>
      <c r="AK834">
        <f t="shared" si="125"/>
        <v>0</v>
      </c>
      <c r="AL834">
        <f t="shared" si="126"/>
        <v>23.173703703701904</v>
      </c>
      <c r="AM834">
        <f t="shared" si="127"/>
        <v>23.173703703701904</v>
      </c>
      <c r="AN834" s="12">
        <f t="shared" si="128"/>
        <v>45470</v>
      </c>
      <c r="AO834">
        <f t="shared" si="129"/>
        <v>1</v>
      </c>
    </row>
    <row r="835" spans="1:41" x14ac:dyDescent="0.35">
      <c r="A835" t="s">
        <v>23</v>
      </c>
      <c r="B835">
        <v>106031</v>
      </c>
      <c r="C835" t="s">
        <v>76</v>
      </c>
      <c r="D835" t="s">
        <v>44</v>
      </c>
      <c r="E835" t="s">
        <v>55</v>
      </c>
      <c r="F835" t="s">
        <v>1719</v>
      </c>
      <c r="H835" t="s">
        <v>1855</v>
      </c>
      <c r="I835" t="s">
        <v>30</v>
      </c>
      <c r="J835" t="s">
        <v>31</v>
      </c>
      <c r="K835" t="s">
        <v>57</v>
      </c>
      <c r="L835" t="s">
        <v>39</v>
      </c>
      <c r="M835" t="s">
        <v>81</v>
      </c>
      <c r="N835" s="2">
        <v>45433.166666666664</v>
      </c>
      <c r="O835" s="2"/>
      <c r="P835" s="2"/>
      <c r="Q835" s="2">
        <v>45582</v>
      </c>
      <c r="R835" s="2">
        <v>45582.818586909721</v>
      </c>
      <c r="T835" s="2">
        <v>45463.166666666664</v>
      </c>
      <c r="U835" s="2">
        <v>45470.166666666664</v>
      </c>
      <c r="V835" s="2">
        <v>45470.166666666664</v>
      </c>
      <c r="W835" s="2">
        <v>45502.166666666664</v>
      </c>
      <c r="X835" s="3">
        <f t="shared" ref="X835:X888" si="130">IF(OR(ISBLANK(T835), ISBLANK(U835)), "", U835 - T835)</f>
        <v>7</v>
      </c>
      <c r="Y835">
        <f t="shared" ref="Y835:Y888" si="131">IF(OR(ISBLANK(V835), ISBLANK(W835)), "", W835 - V835)</f>
        <v>32</v>
      </c>
      <c r="Z835">
        <f t="shared" ref="Z835:Z888" si="132">N(X835) + N(Y835)</f>
        <v>39</v>
      </c>
      <c r="AA835">
        <f t="shared" ref="AA835:AA888" si="133">IF(OR(ISBLANK(N835), ISBLANK(Q835)), "", Q835 - N835)</f>
        <v>148.83333333333576</v>
      </c>
      <c r="AB835">
        <f t="shared" ref="AB835:AB888" si="134">IF(AA835="", "", AA835 - Z835)</f>
        <v>109.83333333333576</v>
      </c>
      <c r="AC835">
        <f>IFERROR(_xlfn.XLOOKUP(B835, HoldSummary!$A:$A, HoldSummary!B:B), 0)</f>
        <v>5</v>
      </c>
      <c r="AD835">
        <f>IFERROR(_xlfn.XLOOKUP(B835, HoldSummary!$A:$A, HoldSummary!C:C), 0)</f>
        <v>0</v>
      </c>
      <c r="AE835">
        <f>IFERROR(_xlfn.XLOOKUP(B835, HoldSummary!$A:$A, HoldSummary!D:D), 0)</f>
        <v>0</v>
      </c>
      <c r="AF835">
        <f>IFERROR(_xlfn.XLOOKUP(B835, HoldSummary!$A:$A, HoldSummary!E:E), 0)</f>
        <v>0</v>
      </c>
      <c r="AG835">
        <f>IFERROR(_xlfn.XLOOKUP(B835, HoldSummary!$A:$A, HoldSummary!F:F), 0)</f>
        <v>0</v>
      </c>
      <c r="AH835">
        <f>IFERROR(_xlfn.XLOOKUP(B835, HoldSummary!$A:$A, HoldSummary!G:G), 0)</f>
        <v>0</v>
      </c>
      <c r="AI835">
        <f>IFERROR(_xlfn.XLOOKUP(B835, HoldSummary!$A:$A, HoldSummary!H:H), 0)</f>
        <v>0</v>
      </c>
      <c r="AJ835">
        <f>IFERROR(_xlfn.XLOOKUP(B835, HoldSummary!$A:$A, HoldSummary!I:I), 0)</f>
        <v>0</v>
      </c>
      <c r="AK835">
        <f t="shared" ref="AK835:AK888" si="135">SUM(AC835:AJ835)</f>
        <v>5</v>
      </c>
      <c r="AL835">
        <f t="shared" ref="AL835:AL888" si="136">IF(AA835="", "", AA835 - AK835)</f>
        <v>143.83333333333576</v>
      </c>
      <c r="AM835">
        <f t="shared" ref="AM835:AM888" si="137">IF(OR(AK835="", AB835=""), "", AB835 - AK835)</f>
        <v>104.83333333333576</v>
      </c>
      <c r="AN835" s="12">
        <f t="shared" ref="AN835:AN888" si="138">Q835-O835</f>
        <v>45582</v>
      </c>
      <c r="AO835">
        <f t="shared" ref="AO835:AO888" si="139">IF(OR(ISBLANK(O835), ISBLANK(Q835)), 1, IF(AN835&lt;=0,1,0))</f>
        <v>1</v>
      </c>
    </row>
    <row r="836" spans="1:41" x14ac:dyDescent="0.35">
      <c r="A836" t="s">
        <v>23</v>
      </c>
      <c r="B836">
        <v>106268</v>
      </c>
      <c r="C836" t="s">
        <v>43</v>
      </c>
      <c r="D836" t="s">
        <v>44</v>
      </c>
      <c r="E836" t="s">
        <v>55</v>
      </c>
      <c r="F836" t="s">
        <v>1719</v>
      </c>
      <c r="H836" t="s">
        <v>1856</v>
      </c>
      <c r="I836" t="s">
        <v>30</v>
      </c>
      <c r="J836" t="s">
        <v>31</v>
      </c>
      <c r="K836" t="s">
        <v>57</v>
      </c>
      <c r="L836" t="s">
        <v>39</v>
      </c>
      <c r="M836" t="s">
        <v>33</v>
      </c>
      <c r="N836" s="2">
        <v>45446.166666666664</v>
      </c>
      <c r="O836" s="2"/>
      <c r="P836" s="2"/>
      <c r="Q836" s="2">
        <v>45532</v>
      </c>
      <c r="R836" s="2">
        <v>45533.604380185185</v>
      </c>
      <c r="T836" s="2">
        <v>45454.166666666664</v>
      </c>
      <c r="U836" s="2">
        <v>45518.166666666664</v>
      </c>
      <c r="V836" s="2">
        <v>45518.166666666664</v>
      </c>
      <c r="W836" s="2">
        <v>45519.166666666664</v>
      </c>
      <c r="X836" s="3">
        <f t="shared" si="130"/>
        <v>64</v>
      </c>
      <c r="Y836">
        <f t="shared" si="131"/>
        <v>1</v>
      </c>
      <c r="Z836">
        <f t="shared" si="132"/>
        <v>65</v>
      </c>
      <c r="AA836">
        <f t="shared" si="133"/>
        <v>85.833333333335759</v>
      </c>
      <c r="AB836">
        <f t="shared" si="134"/>
        <v>20.833333333335759</v>
      </c>
      <c r="AC836">
        <f>IFERROR(_xlfn.XLOOKUP(B836, HoldSummary!$A:$A, HoldSummary!B:B), 0)</f>
        <v>0</v>
      </c>
      <c r="AD836">
        <f>IFERROR(_xlfn.XLOOKUP(B836, HoldSummary!$A:$A, HoldSummary!C:C), 0)</f>
        <v>0</v>
      </c>
      <c r="AE836">
        <f>IFERROR(_xlfn.XLOOKUP(B836, HoldSummary!$A:$A, HoldSummary!D:D), 0)</f>
        <v>0</v>
      </c>
      <c r="AF836">
        <f>IFERROR(_xlfn.XLOOKUP(B836, HoldSummary!$A:$A, HoldSummary!E:E), 0)</f>
        <v>0</v>
      </c>
      <c r="AG836">
        <f>IFERROR(_xlfn.XLOOKUP(B836, HoldSummary!$A:$A, HoldSummary!F:F), 0)</f>
        <v>0</v>
      </c>
      <c r="AH836">
        <f>IFERROR(_xlfn.XLOOKUP(B836, HoldSummary!$A:$A, HoldSummary!G:G), 0)</f>
        <v>0</v>
      </c>
      <c r="AI836">
        <f>IFERROR(_xlfn.XLOOKUP(B836, HoldSummary!$A:$A, HoldSummary!H:H), 0)</f>
        <v>0</v>
      </c>
      <c r="AJ836">
        <f>IFERROR(_xlfn.XLOOKUP(B836, HoldSummary!$A:$A, HoldSummary!I:I), 0)</f>
        <v>0</v>
      </c>
      <c r="AK836">
        <f t="shared" si="135"/>
        <v>0</v>
      </c>
      <c r="AL836">
        <f t="shared" si="136"/>
        <v>85.833333333335759</v>
      </c>
      <c r="AM836">
        <f t="shared" si="137"/>
        <v>20.833333333335759</v>
      </c>
      <c r="AN836" s="12">
        <f t="shared" si="138"/>
        <v>45532</v>
      </c>
      <c r="AO836">
        <f t="shared" si="139"/>
        <v>1</v>
      </c>
    </row>
    <row r="837" spans="1:41" x14ac:dyDescent="0.35">
      <c r="A837" t="s">
        <v>23</v>
      </c>
      <c r="B837" t="s">
        <v>1857</v>
      </c>
      <c r="C837" t="s">
        <v>43</v>
      </c>
      <c r="D837" t="s">
        <v>44</v>
      </c>
      <c r="E837" t="s">
        <v>45</v>
      </c>
      <c r="F837" t="s">
        <v>1719</v>
      </c>
      <c r="H837" t="s">
        <v>1858</v>
      </c>
      <c r="I837" t="s">
        <v>30</v>
      </c>
      <c r="J837" t="s">
        <v>70</v>
      </c>
      <c r="K837" t="s">
        <v>48</v>
      </c>
      <c r="M837" t="s">
        <v>33</v>
      </c>
      <c r="N837" s="2">
        <v>45450.522222222222</v>
      </c>
      <c r="O837" s="2"/>
      <c r="P837" s="2"/>
      <c r="Q837" s="2">
        <v>45527</v>
      </c>
      <c r="R837" s="2">
        <v>45527.759833680553</v>
      </c>
      <c r="S837" t="s">
        <v>63</v>
      </c>
      <c r="T837" s="2"/>
      <c r="U837" s="2"/>
      <c r="V837" s="2"/>
      <c r="W837" s="2"/>
      <c r="X837" s="3" t="str">
        <f t="shared" si="130"/>
        <v/>
      </c>
      <c r="Y837" t="str">
        <f t="shared" si="131"/>
        <v/>
      </c>
      <c r="Z837">
        <f t="shared" si="132"/>
        <v>0</v>
      </c>
      <c r="AA837">
        <f t="shared" si="133"/>
        <v>76.477777777778101</v>
      </c>
      <c r="AB837">
        <f t="shared" si="134"/>
        <v>76.477777777778101</v>
      </c>
      <c r="AC837">
        <f>IFERROR(_xlfn.XLOOKUP(B837, HoldSummary!$A:$A, HoldSummary!B:B), 0)</f>
        <v>0</v>
      </c>
      <c r="AD837">
        <f>IFERROR(_xlfn.XLOOKUP(B837, HoldSummary!$A:$A, HoldSummary!C:C), 0)</f>
        <v>0</v>
      </c>
      <c r="AE837">
        <f>IFERROR(_xlfn.XLOOKUP(B837, HoldSummary!$A:$A, HoldSummary!D:D), 0)</f>
        <v>0</v>
      </c>
      <c r="AF837">
        <f>IFERROR(_xlfn.XLOOKUP(B837, HoldSummary!$A:$A, HoldSummary!E:E), 0)</f>
        <v>0</v>
      </c>
      <c r="AG837">
        <f>IFERROR(_xlfn.XLOOKUP(B837, HoldSummary!$A:$A, HoldSummary!F:F), 0)</f>
        <v>0</v>
      </c>
      <c r="AH837">
        <f>IFERROR(_xlfn.XLOOKUP(B837, HoldSummary!$A:$A, HoldSummary!G:G), 0)</f>
        <v>0</v>
      </c>
      <c r="AI837">
        <f>IFERROR(_xlfn.XLOOKUP(B837, HoldSummary!$A:$A, HoldSummary!H:H), 0)</f>
        <v>0</v>
      </c>
      <c r="AJ837">
        <f>IFERROR(_xlfn.XLOOKUP(B837, HoldSummary!$A:$A, HoldSummary!I:I), 0)</f>
        <v>0</v>
      </c>
      <c r="AK837">
        <f t="shared" si="135"/>
        <v>0</v>
      </c>
      <c r="AL837">
        <f t="shared" si="136"/>
        <v>76.477777777778101</v>
      </c>
      <c r="AM837">
        <f t="shared" si="137"/>
        <v>76.477777777778101</v>
      </c>
      <c r="AN837" s="12">
        <f t="shared" si="138"/>
        <v>45527</v>
      </c>
      <c r="AO837">
        <f t="shared" si="139"/>
        <v>1</v>
      </c>
    </row>
    <row r="838" spans="1:41" x14ac:dyDescent="0.35">
      <c r="A838" t="s">
        <v>23</v>
      </c>
      <c r="B838" t="s">
        <v>1859</v>
      </c>
      <c r="C838" t="s">
        <v>43</v>
      </c>
      <c r="D838" t="s">
        <v>44</v>
      </c>
      <c r="E838" t="s">
        <v>45</v>
      </c>
      <c r="F838" t="s">
        <v>1719</v>
      </c>
      <c r="H838" t="s">
        <v>1860</v>
      </c>
      <c r="I838" t="s">
        <v>30</v>
      </c>
      <c r="J838" t="s">
        <v>31</v>
      </c>
      <c r="K838" t="s">
        <v>48</v>
      </c>
      <c r="M838" t="s">
        <v>33</v>
      </c>
      <c r="N838" s="2">
        <v>45453.723425925928</v>
      </c>
      <c r="O838" s="2"/>
      <c r="P838" s="2"/>
      <c r="Q838" s="2">
        <v>45469</v>
      </c>
      <c r="R838" s="2">
        <v>45469.882027071762</v>
      </c>
      <c r="T838" s="2"/>
      <c r="U838" s="2"/>
      <c r="V838" s="2"/>
      <c r="W838" s="2"/>
      <c r="X838" s="3" t="str">
        <f t="shared" si="130"/>
        <v/>
      </c>
      <c r="Y838" t="str">
        <f t="shared" si="131"/>
        <v/>
      </c>
      <c r="Z838">
        <f t="shared" si="132"/>
        <v>0</v>
      </c>
      <c r="AA838">
        <f t="shared" si="133"/>
        <v>15.276574074072414</v>
      </c>
      <c r="AB838">
        <f t="shared" si="134"/>
        <v>15.276574074072414</v>
      </c>
      <c r="AC838">
        <f>IFERROR(_xlfn.XLOOKUP(B838, HoldSummary!$A:$A, HoldSummary!B:B), 0)</f>
        <v>0</v>
      </c>
      <c r="AD838">
        <f>IFERROR(_xlfn.XLOOKUP(B838, HoldSummary!$A:$A, HoldSummary!C:C), 0)</f>
        <v>0</v>
      </c>
      <c r="AE838">
        <f>IFERROR(_xlfn.XLOOKUP(B838, HoldSummary!$A:$A, HoldSummary!D:D), 0)</f>
        <v>0</v>
      </c>
      <c r="AF838">
        <f>IFERROR(_xlfn.XLOOKUP(B838, HoldSummary!$A:$A, HoldSummary!E:E), 0)</f>
        <v>0</v>
      </c>
      <c r="AG838">
        <f>IFERROR(_xlfn.XLOOKUP(B838, HoldSummary!$A:$A, HoldSummary!F:F), 0)</f>
        <v>0</v>
      </c>
      <c r="AH838">
        <f>IFERROR(_xlfn.XLOOKUP(B838, HoldSummary!$A:$A, HoldSummary!G:G), 0)</f>
        <v>0</v>
      </c>
      <c r="AI838">
        <f>IFERROR(_xlfn.XLOOKUP(B838, HoldSummary!$A:$A, HoldSummary!H:H), 0)</f>
        <v>0</v>
      </c>
      <c r="AJ838">
        <f>IFERROR(_xlfn.XLOOKUP(B838, HoldSummary!$A:$A, HoldSummary!I:I), 0)</f>
        <v>0</v>
      </c>
      <c r="AK838">
        <f t="shared" si="135"/>
        <v>0</v>
      </c>
      <c r="AL838">
        <f t="shared" si="136"/>
        <v>15.276574074072414</v>
      </c>
      <c r="AM838">
        <f t="shared" si="137"/>
        <v>15.276574074072414</v>
      </c>
      <c r="AN838" s="12">
        <f t="shared" si="138"/>
        <v>45469</v>
      </c>
      <c r="AO838">
        <f t="shared" si="139"/>
        <v>1</v>
      </c>
    </row>
    <row r="839" spans="1:41" x14ac:dyDescent="0.35">
      <c r="A839" t="s">
        <v>23</v>
      </c>
      <c r="B839" t="s">
        <v>1861</v>
      </c>
      <c r="C839" t="s">
        <v>76</v>
      </c>
      <c r="D839" t="s">
        <v>44</v>
      </c>
      <c r="E839" t="s">
        <v>45</v>
      </c>
      <c r="F839" t="s">
        <v>1719</v>
      </c>
      <c r="H839" t="s">
        <v>1862</v>
      </c>
      <c r="I839" t="s">
        <v>30</v>
      </c>
      <c r="J839" t="s">
        <v>31</v>
      </c>
      <c r="K839" t="s">
        <v>38</v>
      </c>
      <c r="L839" t="s">
        <v>39</v>
      </c>
      <c r="M839" t="s">
        <v>33</v>
      </c>
      <c r="N839" s="2">
        <v>45434.789131944446</v>
      </c>
      <c r="O839" s="2"/>
      <c r="P839" s="2"/>
      <c r="Q839" s="2">
        <v>45545</v>
      </c>
      <c r="R839" s="2">
        <v>45547.532220497684</v>
      </c>
      <c r="S839" t="s">
        <v>231</v>
      </c>
      <c r="T839" s="2">
        <v>45470.166666666664</v>
      </c>
      <c r="U839" s="2">
        <v>45518.166666666664</v>
      </c>
      <c r="V839" s="2">
        <v>45518.166666666664</v>
      </c>
      <c r="W839" s="2">
        <v>45523.166666666664</v>
      </c>
      <c r="X839" s="3">
        <f t="shared" si="130"/>
        <v>48</v>
      </c>
      <c r="Y839">
        <f t="shared" si="131"/>
        <v>5</v>
      </c>
      <c r="Z839">
        <f t="shared" si="132"/>
        <v>53</v>
      </c>
      <c r="AA839">
        <f t="shared" si="133"/>
        <v>110.21086805555387</v>
      </c>
      <c r="AB839">
        <f t="shared" si="134"/>
        <v>57.210868055553874</v>
      </c>
      <c r="AC839">
        <f>IFERROR(_xlfn.XLOOKUP(B839, HoldSummary!$A:$A, HoldSummary!B:B), 0)</f>
        <v>0</v>
      </c>
      <c r="AD839">
        <f>IFERROR(_xlfn.XLOOKUP(B839, HoldSummary!$A:$A, HoldSummary!C:C), 0)</f>
        <v>0</v>
      </c>
      <c r="AE839">
        <f>IFERROR(_xlfn.XLOOKUP(B839, HoldSummary!$A:$A, HoldSummary!D:D), 0)</f>
        <v>0</v>
      </c>
      <c r="AF839">
        <f>IFERROR(_xlfn.XLOOKUP(B839, HoldSummary!$A:$A, HoldSummary!E:E), 0)</f>
        <v>0</v>
      </c>
      <c r="AG839">
        <f>IFERROR(_xlfn.XLOOKUP(B839, HoldSummary!$A:$A, HoldSummary!F:F), 0)</f>
        <v>0</v>
      </c>
      <c r="AH839">
        <f>IFERROR(_xlfn.XLOOKUP(B839, HoldSummary!$A:$A, HoldSummary!G:G), 0)</f>
        <v>0</v>
      </c>
      <c r="AI839">
        <f>IFERROR(_xlfn.XLOOKUP(B839, HoldSummary!$A:$A, HoldSummary!H:H), 0)</f>
        <v>0</v>
      </c>
      <c r="AJ839">
        <f>IFERROR(_xlfn.XLOOKUP(B839, HoldSummary!$A:$A, HoldSummary!I:I), 0)</f>
        <v>0</v>
      </c>
      <c r="AK839">
        <f t="shared" si="135"/>
        <v>0</v>
      </c>
      <c r="AL839">
        <f t="shared" si="136"/>
        <v>110.21086805555387</v>
      </c>
      <c r="AM839">
        <f t="shared" si="137"/>
        <v>57.210868055553874</v>
      </c>
      <c r="AN839" s="12">
        <f t="shared" si="138"/>
        <v>45545</v>
      </c>
      <c r="AO839">
        <f t="shared" si="139"/>
        <v>1</v>
      </c>
    </row>
    <row r="840" spans="1:41" x14ac:dyDescent="0.35">
      <c r="A840" t="s">
        <v>23</v>
      </c>
      <c r="B840" t="s">
        <v>1863</v>
      </c>
      <c r="C840" t="s">
        <v>43</v>
      </c>
      <c r="D840" t="s">
        <v>44</v>
      </c>
      <c r="E840" t="s">
        <v>45</v>
      </c>
      <c r="F840" t="s">
        <v>1719</v>
      </c>
      <c r="H840" t="s">
        <v>1864</v>
      </c>
      <c r="I840" t="s">
        <v>30</v>
      </c>
      <c r="J840" t="s">
        <v>31</v>
      </c>
      <c r="K840" t="s">
        <v>48</v>
      </c>
      <c r="L840" t="s">
        <v>49</v>
      </c>
      <c r="M840" t="s">
        <v>140</v>
      </c>
      <c r="N840" s="2">
        <v>45425.767569444448</v>
      </c>
      <c r="O840" s="2"/>
      <c r="P840" s="2"/>
      <c r="Q840" s="2">
        <v>45490</v>
      </c>
      <c r="R840" s="2">
        <v>45491.613512326388</v>
      </c>
      <c r="S840" t="s">
        <v>215</v>
      </c>
      <c r="T840" s="2">
        <v>45467.166666666664</v>
      </c>
      <c r="U840" s="2">
        <v>45468.166666666664</v>
      </c>
      <c r="V840" s="2">
        <v>45468.166666666664</v>
      </c>
      <c r="W840" s="2">
        <v>45468.166666666664</v>
      </c>
      <c r="X840" s="3">
        <f t="shared" si="130"/>
        <v>1</v>
      </c>
      <c r="Y840">
        <f t="shared" si="131"/>
        <v>0</v>
      </c>
      <c r="Z840">
        <f t="shared" si="132"/>
        <v>1</v>
      </c>
      <c r="AA840">
        <f t="shared" si="133"/>
        <v>64.232430555552128</v>
      </c>
      <c r="AB840">
        <f t="shared" si="134"/>
        <v>63.232430555552128</v>
      </c>
      <c r="AC840">
        <f>IFERROR(_xlfn.XLOOKUP(B840, HoldSummary!$A:$A, HoldSummary!B:B), 0)</f>
        <v>0</v>
      </c>
      <c r="AD840">
        <f>IFERROR(_xlfn.XLOOKUP(B840, HoldSummary!$A:$A, HoldSummary!C:C), 0)</f>
        <v>0</v>
      </c>
      <c r="AE840">
        <f>IFERROR(_xlfn.XLOOKUP(B840, HoldSummary!$A:$A, HoldSummary!D:D), 0)</f>
        <v>0</v>
      </c>
      <c r="AF840">
        <f>IFERROR(_xlfn.XLOOKUP(B840, HoldSummary!$A:$A, HoldSummary!E:E), 0)</f>
        <v>0</v>
      </c>
      <c r="AG840">
        <f>IFERROR(_xlfn.XLOOKUP(B840, HoldSummary!$A:$A, HoldSummary!F:F), 0)</f>
        <v>0</v>
      </c>
      <c r="AH840">
        <f>IFERROR(_xlfn.XLOOKUP(B840, HoldSummary!$A:$A, HoldSummary!G:G), 0)</f>
        <v>0</v>
      </c>
      <c r="AI840">
        <f>IFERROR(_xlfn.XLOOKUP(B840, HoldSummary!$A:$A, HoldSummary!H:H), 0)</f>
        <v>0</v>
      </c>
      <c r="AJ840">
        <f>IFERROR(_xlfn.XLOOKUP(B840, HoldSummary!$A:$A, HoldSummary!I:I), 0)</f>
        <v>0</v>
      </c>
      <c r="AK840">
        <f t="shared" si="135"/>
        <v>0</v>
      </c>
      <c r="AL840">
        <f t="shared" si="136"/>
        <v>64.232430555552128</v>
      </c>
      <c r="AM840">
        <f t="shared" si="137"/>
        <v>63.232430555552128</v>
      </c>
      <c r="AN840" s="12">
        <f t="shared" si="138"/>
        <v>45490</v>
      </c>
      <c r="AO840">
        <f t="shared" si="139"/>
        <v>1</v>
      </c>
    </row>
    <row r="841" spans="1:41" x14ac:dyDescent="0.35">
      <c r="A841" t="s">
        <v>23</v>
      </c>
      <c r="B841" t="s">
        <v>1865</v>
      </c>
      <c r="C841" t="s">
        <v>43</v>
      </c>
      <c r="D841" t="s">
        <v>44</v>
      </c>
      <c r="E841" t="s">
        <v>45</v>
      </c>
      <c r="F841" t="s">
        <v>1719</v>
      </c>
      <c r="H841" t="s">
        <v>1866</v>
      </c>
      <c r="I841" t="s">
        <v>30</v>
      </c>
      <c r="J841" t="s">
        <v>31</v>
      </c>
      <c r="K841" t="s">
        <v>48</v>
      </c>
      <c r="L841" t="s">
        <v>49</v>
      </c>
      <c r="M841" t="s">
        <v>81</v>
      </c>
      <c r="N841" s="2">
        <v>45447.499456018515</v>
      </c>
      <c r="O841" s="2"/>
      <c r="P841" s="2"/>
      <c r="Q841" s="2">
        <v>45581</v>
      </c>
      <c r="R841" s="2">
        <v>45593.749280127318</v>
      </c>
      <c r="S841" t="s">
        <v>231</v>
      </c>
      <c r="T841" s="2">
        <v>45511.166666666664</v>
      </c>
      <c r="U841" s="2">
        <v>45526.166666666664</v>
      </c>
      <c r="V841" s="2">
        <v>45526.166666666664</v>
      </c>
      <c r="W841" s="2">
        <v>45527.166666666664</v>
      </c>
      <c r="X841" s="3">
        <f t="shared" si="130"/>
        <v>15</v>
      </c>
      <c r="Y841">
        <f t="shared" si="131"/>
        <v>1</v>
      </c>
      <c r="Z841">
        <f t="shared" si="132"/>
        <v>16</v>
      </c>
      <c r="AA841">
        <f t="shared" si="133"/>
        <v>133.50054398148495</v>
      </c>
      <c r="AB841">
        <f t="shared" si="134"/>
        <v>117.50054398148495</v>
      </c>
      <c r="AC841">
        <f>IFERROR(_xlfn.XLOOKUP(B841, HoldSummary!$A:$A, HoldSummary!B:B), 0)</f>
        <v>0</v>
      </c>
      <c r="AD841">
        <f>IFERROR(_xlfn.XLOOKUP(B841, HoldSummary!$A:$A, HoldSummary!C:C), 0)</f>
        <v>0</v>
      </c>
      <c r="AE841">
        <f>IFERROR(_xlfn.XLOOKUP(B841, HoldSummary!$A:$A, HoldSummary!D:D), 0)</f>
        <v>0</v>
      </c>
      <c r="AF841">
        <f>IFERROR(_xlfn.XLOOKUP(B841, HoldSummary!$A:$A, HoldSummary!E:E), 0)</f>
        <v>0</v>
      </c>
      <c r="AG841">
        <f>IFERROR(_xlfn.XLOOKUP(B841, HoldSummary!$A:$A, HoldSummary!F:F), 0)</f>
        <v>0</v>
      </c>
      <c r="AH841">
        <f>IFERROR(_xlfn.XLOOKUP(B841, HoldSummary!$A:$A, HoldSummary!G:G), 0)</f>
        <v>0</v>
      </c>
      <c r="AI841">
        <f>IFERROR(_xlfn.XLOOKUP(B841, HoldSummary!$A:$A, HoldSummary!H:H), 0)</f>
        <v>0</v>
      </c>
      <c r="AJ841">
        <f>IFERROR(_xlfn.XLOOKUP(B841, HoldSummary!$A:$A, HoldSummary!I:I), 0)</f>
        <v>0</v>
      </c>
      <c r="AK841">
        <f t="shared" si="135"/>
        <v>0</v>
      </c>
      <c r="AL841">
        <f t="shared" si="136"/>
        <v>133.50054398148495</v>
      </c>
      <c r="AM841">
        <f t="shared" si="137"/>
        <v>117.50054398148495</v>
      </c>
      <c r="AN841" s="12">
        <f t="shared" si="138"/>
        <v>45581</v>
      </c>
      <c r="AO841">
        <f t="shared" si="139"/>
        <v>1</v>
      </c>
    </row>
    <row r="842" spans="1:41" x14ac:dyDescent="0.35">
      <c r="A842" t="s">
        <v>23</v>
      </c>
      <c r="B842">
        <v>106524</v>
      </c>
      <c r="C842" t="s">
        <v>43</v>
      </c>
      <c r="D842" t="s">
        <v>44</v>
      </c>
      <c r="E842" t="s">
        <v>55</v>
      </c>
      <c r="F842" t="s">
        <v>1719</v>
      </c>
      <c r="H842" t="s">
        <v>1867</v>
      </c>
      <c r="I842" t="s">
        <v>30</v>
      </c>
      <c r="J842" t="s">
        <v>31</v>
      </c>
      <c r="K842" t="s">
        <v>57</v>
      </c>
      <c r="L842" t="s">
        <v>39</v>
      </c>
      <c r="M842" t="s">
        <v>33</v>
      </c>
      <c r="N842" s="2">
        <v>45457.166666666664</v>
      </c>
      <c r="O842" s="2"/>
      <c r="P842" s="2"/>
      <c r="Q842" s="2">
        <v>45533</v>
      </c>
      <c r="R842" s="2">
        <v>45533.734480370367</v>
      </c>
      <c r="T842" s="2">
        <v>45489.166666666664</v>
      </c>
      <c r="U842" s="2">
        <v>45517.166666666664</v>
      </c>
      <c r="V842" s="2">
        <v>45517.166666666664</v>
      </c>
      <c r="W842" s="2">
        <v>45517.166666666664</v>
      </c>
      <c r="X842" s="3">
        <f t="shared" si="130"/>
        <v>28</v>
      </c>
      <c r="Y842">
        <f t="shared" si="131"/>
        <v>0</v>
      </c>
      <c r="Z842">
        <f t="shared" si="132"/>
        <v>28</v>
      </c>
      <c r="AA842">
        <f t="shared" si="133"/>
        <v>75.833333333335759</v>
      </c>
      <c r="AB842">
        <f t="shared" si="134"/>
        <v>47.833333333335759</v>
      </c>
      <c r="AC842">
        <f>IFERROR(_xlfn.XLOOKUP(B842, HoldSummary!$A:$A, HoldSummary!B:B), 0)</f>
        <v>0</v>
      </c>
      <c r="AD842">
        <f>IFERROR(_xlfn.XLOOKUP(B842, HoldSummary!$A:$A, HoldSummary!C:C), 0)</f>
        <v>0</v>
      </c>
      <c r="AE842">
        <f>IFERROR(_xlfn.XLOOKUP(B842, HoldSummary!$A:$A, HoldSummary!D:D), 0)</f>
        <v>0</v>
      </c>
      <c r="AF842">
        <f>IFERROR(_xlfn.XLOOKUP(B842, HoldSummary!$A:$A, HoldSummary!E:E), 0)</f>
        <v>18</v>
      </c>
      <c r="AG842">
        <f>IFERROR(_xlfn.XLOOKUP(B842, HoldSummary!$A:$A, HoldSummary!F:F), 0)</f>
        <v>0</v>
      </c>
      <c r="AH842">
        <f>IFERROR(_xlfn.XLOOKUP(B842, HoldSummary!$A:$A, HoldSummary!G:G), 0)</f>
        <v>0</v>
      </c>
      <c r="AI842">
        <f>IFERROR(_xlfn.XLOOKUP(B842, HoldSummary!$A:$A, HoldSummary!H:H), 0)</f>
        <v>0</v>
      </c>
      <c r="AJ842">
        <f>IFERROR(_xlfn.XLOOKUP(B842, HoldSummary!$A:$A, HoldSummary!I:I), 0)</f>
        <v>0</v>
      </c>
      <c r="AK842">
        <f t="shared" si="135"/>
        <v>18</v>
      </c>
      <c r="AL842">
        <f t="shared" si="136"/>
        <v>57.833333333335759</v>
      </c>
      <c r="AM842">
        <f t="shared" si="137"/>
        <v>29.833333333335759</v>
      </c>
      <c r="AN842" s="12">
        <f t="shared" si="138"/>
        <v>45533</v>
      </c>
      <c r="AO842">
        <f t="shared" si="139"/>
        <v>1</v>
      </c>
    </row>
    <row r="843" spans="1:41" x14ac:dyDescent="0.35">
      <c r="A843" t="s">
        <v>23</v>
      </c>
      <c r="B843" t="s">
        <v>1868</v>
      </c>
      <c r="C843" t="s">
        <v>76</v>
      </c>
      <c r="D843" t="s">
        <v>44</v>
      </c>
      <c r="E843" t="s">
        <v>45</v>
      </c>
      <c r="F843" t="s">
        <v>1719</v>
      </c>
      <c r="H843" t="s">
        <v>1869</v>
      </c>
      <c r="I843" t="s">
        <v>30</v>
      </c>
      <c r="J843" t="s">
        <v>31</v>
      </c>
      <c r="K843" t="s">
        <v>48</v>
      </c>
      <c r="L843" t="s">
        <v>49</v>
      </c>
      <c r="M843" t="s">
        <v>81</v>
      </c>
      <c r="N843" s="2">
        <v>45447.521284722221</v>
      </c>
      <c r="O843" s="2"/>
      <c r="P843" s="2"/>
      <c r="Q843" s="2">
        <v>45600</v>
      </c>
      <c r="R843" s="2">
        <v>45600.739428958332</v>
      </c>
      <c r="S843" t="s">
        <v>751</v>
      </c>
      <c r="T843" s="2">
        <v>45470.166666666664</v>
      </c>
      <c r="U843" s="2">
        <v>45587.166666666664</v>
      </c>
      <c r="V843" s="2">
        <v>45587.166666666664</v>
      </c>
      <c r="W843" s="2">
        <v>45587.166666666664</v>
      </c>
      <c r="X843" s="3">
        <f t="shared" si="130"/>
        <v>117</v>
      </c>
      <c r="Y843">
        <f t="shared" si="131"/>
        <v>0</v>
      </c>
      <c r="Z843">
        <f t="shared" si="132"/>
        <v>117</v>
      </c>
      <c r="AA843">
        <f t="shared" si="133"/>
        <v>152.47871527777897</v>
      </c>
      <c r="AB843">
        <f t="shared" si="134"/>
        <v>35.478715277778974</v>
      </c>
      <c r="AC843">
        <f>IFERROR(_xlfn.XLOOKUP(B843, HoldSummary!$A:$A, HoldSummary!B:B), 0)</f>
        <v>9.039474641205743</v>
      </c>
      <c r="AD843">
        <f>IFERROR(_xlfn.XLOOKUP(B843, HoldSummary!$A:$A, HoldSummary!C:C), 0)</f>
        <v>0</v>
      </c>
      <c r="AE843">
        <f>IFERROR(_xlfn.XLOOKUP(B843, HoldSummary!$A:$A, HoldSummary!D:D), 0)</f>
        <v>0</v>
      </c>
      <c r="AF843">
        <f>IFERROR(_xlfn.XLOOKUP(B843, HoldSummary!$A:$A, HoldSummary!E:E), 0)</f>
        <v>0</v>
      </c>
      <c r="AG843">
        <f>IFERROR(_xlfn.XLOOKUP(B843, HoldSummary!$A:$A, HoldSummary!F:F), 0)</f>
        <v>0</v>
      </c>
      <c r="AH843">
        <f>IFERROR(_xlfn.XLOOKUP(B843, HoldSummary!$A:$A, HoldSummary!G:G), 0)</f>
        <v>0</v>
      </c>
      <c r="AI843">
        <f>IFERROR(_xlfn.XLOOKUP(B843, HoldSummary!$A:$A, HoldSummary!H:H), 0)</f>
        <v>0</v>
      </c>
      <c r="AJ843">
        <f>IFERROR(_xlfn.XLOOKUP(B843, HoldSummary!$A:$A, HoldSummary!I:I), 0)</f>
        <v>0</v>
      </c>
      <c r="AK843">
        <f t="shared" si="135"/>
        <v>9.039474641205743</v>
      </c>
      <c r="AL843">
        <f t="shared" si="136"/>
        <v>143.43924063657323</v>
      </c>
      <c r="AM843">
        <f t="shared" si="137"/>
        <v>26.439240636573231</v>
      </c>
      <c r="AN843" s="12">
        <f t="shared" si="138"/>
        <v>45600</v>
      </c>
      <c r="AO843">
        <f t="shared" si="139"/>
        <v>1</v>
      </c>
    </row>
    <row r="844" spans="1:41" x14ac:dyDescent="0.35">
      <c r="A844" t="s">
        <v>23</v>
      </c>
      <c r="B844" t="s">
        <v>1870</v>
      </c>
      <c r="C844" t="s">
        <v>43</v>
      </c>
      <c r="D844" t="s">
        <v>44</v>
      </c>
      <c r="E844" t="s">
        <v>45</v>
      </c>
      <c r="F844" t="s">
        <v>1719</v>
      </c>
      <c r="H844" t="s">
        <v>1871</v>
      </c>
      <c r="I844" t="s">
        <v>30</v>
      </c>
      <c r="J844" t="s">
        <v>31</v>
      </c>
      <c r="K844" t="s">
        <v>48</v>
      </c>
      <c r="M844" t="s">
        <v>33</v>
      </c>
      <c r="N844" s="2">
        <v>45468.816180555557</v>
      </c>
      <c r="O844" s="2"/>
      <c r="P844" s="2"/>
      <c r="Q844" s="2">
        <v>45503</v>
      </c>
      <c r="R844" s="2">
        <v>45503.798367337964</v>
      </c>
      <c r="S844" t="s">
        <v>215</v>
      </c>
      <c r="T844" s="2"/>
      <c r="U844" s="2"/>
      <c r="V844" s="2"/>
      <c r="W844" s="2"/>
      <c r="X844" s="3" t="str">
        <f t="shared" si="130"/>
        <v/>
      </c>
      <c r="Y844" t="str">
        <f t="shared" si="131"/>
        <v/>
      </c>
      <c r="Z844">
        <f t="shared" si="132"/>
        <v>0</v>
      </c>
      <c r="AA844">
        <f t="shared" si="133"/>
        <v>34.183819444442634</v>
      </c>
      <c r="AB844">
        <f t="shared" si="134"/>
        <v>34.183819444442634</v>
      </c>
      <c r="AC844">
        <f>IFERROR(_xlfn.XLOOKUP(B844, HoldSummary!$A:$A, HoldSummary!B:B), 0)</f>
        <v>0</v>
      </c>
      <c r="AD844">
        <f>IFERROR(_xlfn.XLOOKUP(B844, HoldSummary!$A:$A, HoldSummary!C:C), 0)</f>
        <v>0</v>
      </c>
      <c r="AE844">
        <f>IFERROR(_xlfn.XLOOKUP(B844, HoldSummary!$A:$A, HoldSummary!D:D), 0)</f>
        <v>0</v>
      </c>
      <c r="AF844">
        <f>IFERROR(_xlfn.XLOOKUP(B844, HoldSummary!$A:$A, HoldSummary!E:E), 0)</f>
        <v>0</v>
      </c>
      <c r="AG844">
        <f>IFERROR(_xlfn.XLOOKUP(B844, HoldSummary!$A:$A, HoldSummary!F:F), 0)</f>
        <v>0</v>
      </c>
      <c r="AH844">
        <f>IFERROR(_xlfn.XLOOKUP(B844, HoldSummary!$A:$A, HoldSummary!G:G), 0)</f>
        <v>0</v>
      </c>
      <c r="AI844">
        <f>IFERROR(_xlfn.XLOOKUP(B844, HoldSummary!$A:$A, HoldSummary!H:H), 0)</f>
        <v>0</v>
      </c>
      <c r="AJ844">
        <f>IFERROR(_xlfn.XLOOKUP(B844, HoldSummary!$A:$A, HoldSummary!I:I), 0)</f>
        <v>0</v>
      </c>
      <c r="AK844">
        <f t="shared" si="135"/>
        <v>0</v>
      </c>
      <c r="AL844">
        <f t="shared" si="136"/>
        <v>34.183819444442634</v>
      </c>
      <c r="AM844">
        <f t="shared" si="137"/>
        <v>34.183819444442634</v>
      </c>
      <c r="AN844" s="12">
        <f t="shared" si="138"/>
        <v>45503</v>
      </c>
      <c r="AO844">
        <f t="shared" si="139"/>
        <v>1</v>
      </c>
    </row>
    <row r="845" spans="1:41" x14ac:dyDescent="0.35">
      <c r="A845" t="s">
        <v>23</v>
      </c>
      <c r="B845" t="s">
        <v>1872</v>
      </c>
      <c r="C845" t="s">
        <v>43</v>
      </c>
      <c r="D845" t="s">
        <v>44</v>
      </c>
      <c r="E845" t="s">
        <v>45</v>
      </c>
      <c r="F845" t="s">
        <v>1719</v>
      </c>
      <c r="H845" t="s">
        <v>1873</v>
      </c>
      <c r="I845" t="s">
        <v>30</v>
      </c>
      <c r="J845" t="s">
        <v>31</v>
      </c>
      <c r="K845" t="s">
        <v>38</v>
      </c>
      <c r="L845" t="s">
        <v>53</v>
      </c>
      <c r="M845" t="s">
        <v>81</v>
      </c>
      <c r="N845" s="2">
        <v>45450.425740740742</v>
      </c>
      <c r="O845" s="2"/>
      <c r="P845" s="2"/>
      <c r="Q845" s="2">
        <v>45483</v>
      </c>
      <c r="R845" s="2">
        <v>45483.523937071761</v>
      </c>
      <c r="S845" t="s">
        <v>1727</v>
      </c>
      <c r="T845" s="2"/>
      <c r="U845" s="2"/>
      <c r="V845" s="2"/>
      <c r="W845" s="2"/>
      <c r="X845" s="3" t="str">
        <f t="shared" si="130"/>
        <v/>
      </c>
      <c r="Y845" t="str">
        <f t="shared" si="131"/>
        <v/>
      </c>
      <c r="Z845">
        <f t="shared" si="132"/>
        <v>0</v>
      </c>
      <c r="AA845">
        <f t="shared" si="133"/>
        <v>32.574259259257815</v>
      </c>
      <c r="AB845">
        <f t="shared" si="134"/>
        <v>32.574259259257815</v>
      </c>
      <c r="AC845">
        <f>IFERROR(_xlfn.XLOOKUP(B845, HoldSummary!$A:$A, HoldSummary!B:B), 0)</f>
        <v>0</v>
      </c>
      <c r="AD845">
        <f>IFERROR(_xlfn.XLOOKUP(B845, HoldSummary!$A:$A, HoldSummary!C:C), 0)</f>
        <v>0</v>
      </c>
      <c r="AE845">
        <f>IFERROR(_xlfn.XLOOKUP(B845, HoldSummary!$A:$A, HoldSummary!D:D), 0)</f>
        <v>0</v>
      </c>
      <c r="AF845">
        <f>IFERROR(_xlfn.XLOOKUP(B845, HoldSummary!$A:$A, HoldSummary!E:E), 0)</f>
        <v>0</v>
      </c>
      <c r="AG845">
        <f>IFERROR(_xlfn.XLOOKUP(B845, HoldSummary!$A:$A, HoldSummary!F:F), 0)</f>
        <v>0</v>
      </c>
      <c r="AH845">
        <f>IFERROR(_xlfn.XLOOKUP(B845, HoldSummary!$A:$A, HoldSummary!G:G), 0)</f>
        <v>0</v>
      </c>
      <c r="AI845">
        <f>IFERROR(_xlfn.XLOOKUP(B845, HoldSummary!$A:$A, HoldSummary!H:H), 0)</f>
        <v>0</v>
      </c>
      <c r="AJ845">
        <f>IFERROR(_xlfn.XLOOKUP(B845, HoldSummary!$A:$A, HoldSummary!I:I), 0)</f>
        <v>0</v>
      </c>
      <c r="AK845">
        <f t="shared" si="135"/>
        <v>0</v>
      </c>
      <c r="AL845">
        <f t="shared" si="136"/>
        <v>32.574259259257815</v>
      </c>
      <c r="AM845">
        <f t="shared" si="137"/>
        <v>32.574259259257815</v>
      </c>
      <c r="AN845" s="12">
        <f t="shared" si="138"/>
        <v>45483</v>
      </c>
      <c r="AO845">
        <f t="shared" si="139"/>
        <v>1</v>
      </c>
    </row>
    <row r="846" spans="1:41" x14ac:dyDescent="0.35">
      <c r="A846" t="s">
        <v>23</v>
      </c>
      <c r="B846" t="s">
        <v>1874</v>
      </c>
      <c r="C846" t="s">
        <v>43</v>
      </c>
      <c r="D846" t="s">
        <v>44</v>
      </c>
      <c r="E846" t="s">
        <v>45</v>
      </c>
      <c r="F846" t="s">
        <v>1719</v>
      </c>
      <c r="H846" t="s">
        <v>1875</v>
      </c>
      <c r="I846" t="s">
        <v>30</v>
      </c>
      <c r="J846" t="s">
        <v>31</v>
      </c>
      <c r="K846" t="s">
        <v>48</v>
      </c>
      <c r="L846" t="s">
        <v>49</v>
      </c>
      <c r="N846" s="2">
        <v>45455.682592592595</v>
      </c>
      <c r="O846" s="2"/>
      <c r="P846" s="2"/>
      <c r="Q846" s="2">
        <v>45504</v>
      </c>
      <c r="R846" s="2">
        <v>45504.704671956017</v>
      </c>
      <c r="T846" s="2">
        <v>45482.166666666664</v>
      </c>
      <c r="U846" s="2">
        <v>45483.166666666664</v>
      </c>
      <c r="V846" s="2">
        <v>45483.166666666664</v>
      </c>
      <c r="W846" s="2">
        <v>45484.166666666664</v>
      </c>
      <c r="X846" s="3">
        <f t="shared" si="130"/>
        <v>1</v>
      </c>
      <c r="Y846">
        <f t="shared" si="131"/>
        <v>1</v>
      </c>
      <c r="Z846">
        <f t="shared" si="132"/>
        <v>2</v>
      </c>
      <c r="AA846">
        <f t="shared" si="133"/>
        <v>48.317407407404971</v>
      </c>
      <c r="AB846">
        <f t="shared" si="134"/>
        <v>46.317407407404971</v>
      </c>
      <c r="AC846">
        <f>IFERROR(_xlfn.XLOOKUP(B846, HoldSummary!$A:$A, HoldSummary!B:B), 0)</f>
        <v>3.9021337615704397</v>
      </c>
      <c r="AD846">
        <f>IFERROR(_xlfn.XLOOKUP(B846, HoldSummary!$A:$A, HoldSummary!C:C), 0)</f>
        <v>0</v>
      </c>
      <c r="AE846">
        <f>IFERROR(_xlfn.XLOOKUP(B846, HoldSummary!$A:$A, HoldSummary!D:D), 0)</f>
        <v>0</v>
      </c>
      <c r="AF846">
        <f>IFERROR(_xlfn.XLOOKUP(B846, HoldSummary!$A:$A, HoldSummary!E:E), 0)</f>
        <v>0</v>
      </c>
      <c r="AG846">
        <f>IFERROR(_xlfn.XLOOKUP(B846, HoldSummary!$A:$A, HoldSummary!F:F), 0)</f>
        <v>0</v>
      </c>
      <c r="AH846">
        <f>IFERROR(_xlfn.XLOOKUP(B846, HoldSummary!$A:$A, HoldSummary!G:G), 0)</f>
        <v>0</v>
      </c>
      <c r="AI846">
        <f>IFERROR(_xlfn.XLOOKUP(B846, HoldSummary!$A:$A, HoldSummary!H:H), 0)</f>
        <v>0</v>
      </c>
      <c r="AJ846">
        <f>IFERROR(_xlfn.XLOOKUP(B846, HoldSummary!$A:$A, HoldSummary!I:I), 0)</f>
        <v>0</v>
      </c>
      <c r="AK846">
        <f t="shared" si="135"/>
        <v>3.9021337615704397</v>
      </c>
      <c r="AL846">
        <f t="shared" si="136"/>
        <v>44.415273645834532</v>
      </c>
      <c r="AM846">
        <f t="shared" si="137"/>
        <v>42.415273645834532</v>
      </c>
      <c r="AN846" s="12">
        <f t="shared" si="138"/>
        <v>45504</v>
      </c>
      <c r="AO846">
        <f t="shared" si="139"/>
        <v>1</v>
      </c>
    </row>
    <row r="847" spans="1:41" x14ac:dyDescent="0.35">
      <c r="A847" t="s">
        <v>23</v>
      </c>
      <c r="B847" t="s">
        <v>1876</v>
      </c>
      <c r="C847" t="s">
        <v>43</v>
      </c>
      <c r="D847" t="s">
        <v>44</v>
      </c>
      <c r="E847" t="s">
        <v>45</v>
      </c>
      <c r="F847" t="s">
        <v>1719</v>
      </c>
      <c r="H847" t="s">
        <v>1877</v>
      </c>
      <c r="I847" t="s">
        <v>30</v>
      </c>
      <c r="J847" t="s">
        <v>31</v>
      </c>
      <c r="K847" t="s">
        <v>38</v>
      </c>
      <c r="L847" t="s">
        <v>53</v>
      </c>
      <c r="M847" t="s">
        <v>81</v>
      </c>
      <c r="N847" s="2">
        <v>45456.360949074071</v>
      </c>
      <c r="O847" s="2"/>
      <c r="P847" s="2"/>
      <c r="Q847" s="2">
        <v>45489</v>
      </c>
      <c r="R847" s="2">
        <v>45489.706849351853</v>
      </c>
      <c r="S847" t="s">
        <v>1727</v>
      </c>
      <c r="T847" s="2"/>
      <c r="U847" s="2"/>
      <c r="V847" s="2"/>
      <c r="W847" s="2"/>
      <c r="X847" s="3" t="str">
        <f t="shared" si="130"/>
        <v/>
      </c>
      <c r="Y847" t="str">
        <f t="shared" si="131"/>
        <v/>
      </c>
      <c r="Z847">
        <f t="shared" si="132"/>
        <v>0</v>
      </c>
      <c r="AA847">
        <f t="shared" si="133"/>
        <v>32.639050925929041</v>
      </c>
      <c r="AB847">
        <f t="shared" si="134"/>
        <v>32.639050925929041</v>
      </c>
      <c r="AC847">
        <f>IFERROR(_xlfn.XLOOKUP(B847, HoldSummary!$A:$A, HoldSummary!B:B), 0)</f>
        <v>0</v>
      </c>
      <c r="AD847">
        <f>IFERROR(_xlfn.XLOOKUP(B847, HoldSummary!$A:$A, HoldSummary!C:C), 0)</f>
        <v>0</v>
      </c>
      <c r="AE847">
        <f>IFERROR(_xlfn.XLOOKUP(B847, HoldSummary!$A:$A, HoldSummary!D:D), 0)</f>
        <v>0</v>
      </c>
      <c r="AF847">
        <f>IFERROR(_xlfn.XLOOKUP(B847, HoldSummary!$A:$A, HoldSummary!E:E), 0)</f>
        <v>0</v>
      </c>
      <c r="AG847">
        <f>IFERROR(_xlfn.XLOOKUP(B847, HoldSummary!$A:$A, HoldSummary!F:F), 0)</f>
        <v>0</v>
      </c>
      <c r="AH847">
        <f>IFERROR(_xlfn.XLOOKUP(B847, HoldSummary!$A:$A, HoldSummary!G:G), 0)</f>
        <v>0</v>
      </c>
      <c r="AI847">
        <f>IFERROR(_xlfn.XLOOKUP(B847, HoldSummary!$A:$A, HoldSummary!H:H), 0)</f>
        <v>0</v>
      </c>
      <c r="AJ847">
        <f>IFERROR(_xlfn.XLOOKUP(B847, HoldSummary!$A:$A, HoldSummary!I:I), 0)</f>
        <v>0</v>
      </c>
      <c r="AK847">
        <f t="shared" si="135"/>
        <v>0</v>
      </c>
      <c r="AL847">
        <f t="shared" si="136"/>
        <v>32.639050925929041</v>
      </c>
      <c r="AM847">
        <f t="shared" si="137"/>
        <v>32.639050925929041</v>
      </c>
      <c r="AN847" s="12">
        <f t="shared" si="138"/>
        <v>45489</v>
      </c>
      <c r="AO847">
        <f t="shared" si="139"/>
        <v>1</v>
      </c>
    </row>
    <row r="848" spans="1:41" x14ac:dyDescent="0.35">
      <c r="A848" t="s">
        <v>23</v>
      </c>
      <c r="B848" t="s">
        <v>1878</v>
      </c>
      <c r="C848" t="s">
        <v>43</v>
      </c>
      <c r="D848" t="s">
        <v>44</v>
      </c>
      <c r="E848" t="s">
        <v>45</v>
      </c>
      <c r="F848" t="s">
        <v>1719</v>
      </c>
      <c r="H848" t="s">
        <v>1879</v>
      </c>
      <c r="I848" t="s">
        <v>30</v>
      </c>
      <c r="J848" t="s">
        <v>31</v>
      </c>
      <c r="K848" t="s">
        <v>48</v>
      </c>
      <c r="M848" t="s">
        <v>33</v>
      </c>
      <c r="N848" s="2">
        <v>45475.555578703701</v>
      </c>
      <c r="O848" s="2"/>
      <c r="P848" s="2"/>
      <c r="Q848" s="2">
        <v>45555</v>
      </c>
      <c r="R848" s="2">
        <v>45559.840081400464</v>
      </c>
      <c r="S848" t="s">
        <v>231</v>
      </c>
      <c r="T848" s="2"/>
      <c r="U848" s="2"/>
      <c r="V848" s="2"/>
      <c r="W848" s="2"/>
      <c r="X848" s="3" t="str">
        <f t="shared" si="130"/>
        <v/>
      </c>
      <c r="Y848" t="str">
        <f t="shared" si="131"/>
        <v/>
      </c>
      <c r="Z848">
        <f t="shared" si="132"/>
        <v>0</v>
      </c>
      <c r="AA848">
        <f t="shared" si="133"/>
        <v>79.44442129629897</v>
      </c>
      <c r="AB848">
        <f t="shared" si="134"/>
        <v>79.44442129629897</v>
      </c>
      <c r="AC848">
        <f>IFERROR(_xlfn.XLOOKUP(B848, HoldSummary!$A:$A, HoldSummary!B:B), 0)</f>
        <v>0</v>
      </c>
      <c r="AD848">
        <f>IFERROR(_xlfn.XLOOKUP(B848, HoldSummary!$A:$A, HoldSummary!C:C), 0)</f>
        <v>0</v>
      </c>
      <c r="AE848">
        <f>IFERROR(_xlfn.XLOOKUP(B848, HoldSummary!$A:$A, HoldSummary!D:D), 0)</f>
        <v>0</v>
      </c>
      <c r="AF848">
        <f>IFERROR(_xlfn.XLOOKUP(B848, HoldSummary!$A:$A, HoldSummary!E:E), 0)</f>
        <v>0</v>
      </c>
      <c r="AG848">
        <f>IFERROR(_xlfn.XLOOKUP(B848, HoldSummary!$A:$A, HoldSummary!F:F), 0)</f>
        <v>0</v>
      </c>
      <c r="AH848">
        <f>IFERROR(_xlfn.XLOOKUP(B848, HoldSummary!$A:$A, HoldSummary!G:G), 0)</f>
        <v>0</v>
      </c>
      <c r="AI848">
        <f>IFERROR(_xlfn.XLOOKUP(B848, HoldSummary!$A:$A, HoldSummary!H:H), 0)</f>
        <v>0</v>
      </c>
      <c r="AJ848">
        <f>IFERROR(_xlfn.XLOOKUP(B848, HoldSummary!$A:$A, HoldSummary!I:I), 0)</f>
        <v>0</v>
      </c>
      <c r="AK848">
        <f t="shared" si="135"/>
        <v>0</v>
      </c>
      <c r="AL848">
        <f t="shared" si="136"/>
        <v>79.44442129629897</v>
      </c>
      <c r="AM848">
        <f t="shared" si="137"/>
        <v>79.44442129629897</v>
      </c>
      <c r="AN848" s="12">
        <f t="shared" si="138"/>
        <v>45555</v>
      </c>
      <c r="AO848">
        <f t="shared" si="139"/>
        <v>1</v>
      </c>
    </row>
    <row r="849" spans="1:41" x14ac:dyDescent="0.35">
      <c r="A849" t="s">
        <v>23</v>
      </c>
      <c r="B849" t="s">
        <v>1880</v>
      </c>
      <c r="C849" t="s">
        <v>43</v>
      </c>
      <c r="D849" t="s">
        <v>44</v>
      </c>
      <c r="E849" t="s">
        <v>45</v>
      </c>
      <c r="F849" t="s">
        <v>1719</v>
      </c>
      <c r="H849" t="s">
        <v>1881</v>
      </c>
      <c r="I849" t="s">
        <v>30</v>
      </c>
      <c r="J849" t="s">
        <v>300</v>
      </c>
      <c r="K849" t="s">
        <v>38</v>
      </c>
      <c r="L849" t="s">
        <v>39</v>
      </c>
      <c r="N849" s="2">
        <v>45467.45722222222</v>
      </c>
      <c r="O849" s="2"/>
      <c r="P849" s="2"/>
      <c r="Q849" s="2">
        <v>45594</v>
      </c>
      <c r="R849" s="2">
        <v>45594.758442141203</v>
      </c>
      <c r="T849" s="2"/>
      <c r="U849" s="2"/>
      <c r="V849" s="2"/>
      <c r="W849" s="2"/>
      <c r="X849" s="3" t="str">
        <f t="shared" si="130"/>
        <v/>
      </c>
      <c r="Y849" t="str">
        <f t="shared" si="131"/>
        <v/>
      </c>
      <c r="Z849">
        <f t="shared" si="132"/>
        <v>0</v>
      </c>
      <c r="AA849">
        <f t="shared" si="133"/>
        <v>126.54277777778043</v>
      </c>
      <c r="AB849">
        <f t="shared" si="134"/>
        <v>126.54277777778043</v>
      </c>
      <c r="AC849">
        <f>IFERROR(_xlfn.XLOOKUP(B849, HoldSummary!$A:$A, HoldSummary!B:B), 0)</f>
        <v>0</v>
      </c>
      <c r="AD849">
        <f>IFERROR(_xlfn.XLOOKUP(B849, HoldSummary!$A:$A, HoldSummary!C:C), 0)</f>
        <v>0</v>
      </c>
      <c r="AE849">
        <f>IFERROR(_xlfn.XLOOKUP(B849, HoldSummary!$A:$A, HoldSummary!D:D), 0)</f>
        <v>0</v>
      </c>
      <c r="AF849">
        <f>IFERROR(_xlfn.XLOOKUP(B849, HoldSummary!$A:$A, HoldSummary!E:E), 0)</f>
        <v>0</v>
      </c>
      <c r="AG849">
        <f>IFERROR(_xlfn.XLOOKUP(B849, HoldSummary!$A:$A, HoldSummary!F:F), 0)</f>
        <v>0</v>
      </c>
      <c r="AH849">
        <f>IFERROR(_xlfn.XLOOKUP(B849, HoldSummary!$A:$A, HoldSummary!G:G), 0)</f>
        <v>0</v>
      </c>
      <c r="AI849">
        <f>IFERROR(_xlfn.XLOOKUP(B849, HoldSummary!$A:$A, HoldSummary!H:H), 0)</f>
        <v>0</v>
      </c>
      <c r="AJ849">
        <f>IFERROR(_xlfn.XLOOKUP(B849, HoldSummary!$A:$A, HoldSummary!I:I), 0)</f>
        <v>0</v>
      </c>
      <c r="AK849">
        <f t="shared" si="135"/>
        <v>0</v>
      </c>
      <c r="AL849">
        <f t="shared" si="136"/>
        <v>126.54277777778043</v>
      </c>
      <c r="AM849">
        <f t="shared" si="137"/>
        <v>126.54277777778043</v>
      </c>
      <c r="AN849" s="12">
        <f t="shared" si="138"/>
        <v>45594</v>
      </c>
      <c r="AO849">
        <f t="shared" si="139"/>
        <v>1</v>
      </c>
    </row>
    <row r="850" spans="1:41" x14ac:dyDescent="0.35">
      <c r="A850" t="s">
        <v>23</v>
      </c>
      <c r="B850" t="s">
        <v>1882</v>
      </c>
      <c r="C850" t="s">
        <v>76</v>
      </c>
      <c r="D850" t="s">
        <v>44</v>
      </c>
      <c r="E850" t="s">
        <v>45</v>
      </c>
      <c r="F850" t="s">
        <v>1719</v>
      </c>
      <c r="H850" t="s">
        <v>1883</v>
      </c>
      <c r="I850" t="s">
        <v>30</v>
      </c>
      <c r="J850" t="s">
        <v>31</v>
      </c>
      <c r="K850" t="s">
        <v>38</v>
      </c>
      <c r="L850" t="s">
        <v>39</v>
      </c>
      <c r="M850" t="s">
        <v>81</v>
      </c>
      <c r="N850" s="2">
        <v>45467.8983912037</v>
      </c>
      <c r="O850" s="2"/>
      <c r="P850" s="2"/>
      <c r="Q850" s="2">
        <v>45545</v>
      </c>
      <c r="R850" s="2">
        <v>45545.863021296296</v>
      </c>
      <c r="S850" t="s">
        <v>231</v>
      </c>
      <c r="T850" s="2">
        <v>45505.166666666664</v>
      </c>
      <c r="U850" s="2">
        <v>45513.166666666664</v>
      </c>
      <c r="V850" s="2">
        <v>45513.166666666664</v>
      </c>
      <c r="W850" s="2">
        <v>45519.166666666664</v>
      </c>
      <c r="X850" s="3">
        <f t="shared" si="130"/>
        <v>8</v>
      </c>
      <c r="Y850">
        <f t="shared" si="131"/>
        <v>6</v>
      </c>
      <c r="Z850">
        <f t="shared" si="132"/>
        <v>14</v>
      </c>
      <c r="AA850">
        <f t="shared" si="133"/>
        <v>77.101608796299843</v>
      </c>
      <c r="AB850">
        <f t="shared" si="134"/>
        <v>63.101608796299843</v>
      </c>
      <c r="AC850">
        <f>IFERROR(_xlfn.XLOOKUP(B850, HoldSummary!$A:$A, HoldSummary!B:B), 0)</f>
        <v>0</v>
      </c>
      <c r="AD850">
        <f>IFERROR(_xlfn.XLOOKUP(B850, HoldSummary!$A:$A, HoldSummary!C:C), 0)</f>
        <v>0</v>
      </c>
      <c r="AE850">
        <f>IFERROR(_xlfn.XLOOKUP(B850, HoldSummary!$A:$A, HoldSummary!D:D), 0)</f>
        <v>0</v>
      </c>
      <c r="AF850">
        <f>IFERROR(_xlfn.XLOOKUP(B850, HoldSummary!$A:$A, HoldSummary!E:E), 0)</f>
        <v>0</v>
      </c>
      <c r="AG850">
        <f>IFERROR(_xlfn.XLOOKUP(B850, HoldSummary!$A:$A, HoldSummary!F:F), 0)</f>
        <v>0</v>
      </c>
      <c r="AH850">
        <f>IFERROR(_xlfn.XLOOKUP(B850, HoldSummary!$A:$A, HoldSummary!G:G), 0)</f>
        <v>0</v>
      </c>
      <c r="AI850">
        <f>IFERROR(_xlfn.XLOOKUP(B850, HoldSummary!$A:$A, HoldSummary!H:H), 0)</f>
        <v>0</v>
      </c>
      <c r="AJ850">
        <f>IFERROR(_xlfn.XLOOKUP(B850, HoldSummary!$A:$A, HoldSummary!I:I), 0)</f>
        <v>0</v>
      </c>
      <c r="AK850">
        <f t="shared" si="135"/>
        <v>0</v>
      </c>
      <c r="AL850">
        <f t="shared" si="136"/>
        <v>77.101608796299843</v>
      </c>
      <c r="AM850">
        <f t="shared" si="137"/>
        <v>63.101608796299843</v>
      </c>
      <c r="AN850" s="12">
        <f t="shared" si="138"/>
        <v>45545</v>
      </c>
      <c r="AO850">
        <f t="shared" si="139"/>
        <v>1</v>
      </c>
    </row>
    <row r="851" spans="1:41" x14ac:dyDescent="0.35">
      <c r="A851" t="s">
        <v>23</v>
      </c>
      <c r="B851" t="s">
        <v>1884</v>
      </c>
      <c r="C851" t="s">
        <v>43</v>
      </c>
      <c r="D851" t="s">
        <v>44</v>
      </c>
      <c r="E851" t="s">
        <v>45</v>
      </c>
      <c r="F851" t="s">
        <v>1719</v>
      </c>
      <c r="H851" t="s">
        <v>1885</v>
      </c>
      <c r="I851" t="s">
        <v>30</v>
      </c>
      <c r="J851" t="s">
        <v>70</v>
      </c>
      <c r="K851" t="s">
        <v>48</v>
      </c>
      <c r="L851" t="s">
        <v>49</v>
      </c>
      <c r="M851" t="s">
        <v>81</v>
      </c>
      <c r="N851" s="2">
        <v>45474.583032407405</v>
      </c>
      <c r="O851" s="2"/>
      <c r="P851" s="2"/>
      <c r="Q851" s="2">
        <v>45554</v>
      </c>
      <c r="R851" s="2">
        <v>45555.595081064814</v>
      </c>
      <c r="S851" t="s">
        <v>231</v>
      </c>
      <c r="T851" s="2"/>
      <c r="U851" s="2"/>
      <c r="V851" s="2"/>
      <c r="W851" s="2"/>
      <c r="X851" s="3" t="str">
        <f t="shared" si="130"/>
        <v/>
      </c>
      <c r="Y851" t="str">
        <f t="shared" si="131"/>
        <v/>
      </c>
      <c r="Z851">
        <f t="shared" si="132"/>
        <v>0</v>
      </c>
      <c r="AA851">
        <f t="shared" si="133"/>
        <v>79.416967592595029</v>
      </c>
      <c r="AB851">
        <f t="shared" si="134"/>
        <v>79.416967592595029</v>
      </c>
      <c r="AC851">
        <f>IFERROR(_xlfn.XLOOKUP(B851, HoldSummary!$A:$A, HoldSummary!B:B), 0)</f>
        <v>0</v>
      </c>
      <c r="AD851">
        <f>IFERROR(_xlfn.XLOOKUP(B851, HoldSummary!$A:$A, HoldSummary!C:C), 0)</f>
        <v>0</v>
      </c>
      <c r="AE851">
        <f>IFERROR(_xlfn.XLOOKUP(B851, HoldSummary!$A:$A, HoldSummary!D:D), 0)</f>
        <v>0</v>
      </c>
      <c r="AF851">
        <f>IFERROR(_xlfn.XLOOKUP(B851, HoldSummary!$A:$A, HoldSummary!E:E), 0)</f>
        <v>0</v>
      </c>
      <c r="AG851">
        <f>IFERROR(_xlfn.XLOOKUP(B851, HoldSummary!$A:$A, HoldSummary!F:F), 0)</f>
        <v>0</v>
      </c>
      <c r="AH851">
        <f>IFERROR(_xlfn.XLOOKUP(B851, HoldSummary!$A:$A, HoldSummary!G:G), 0)</f>
        <v>0</v>
      </c>
      <c r="AI851">
        <f>IFERROR(_xlfn.XLOOKUP(B851, HoldSummary!$A:$A, HoldSummary!H:H), 0)</f>
        <v>0</v>
      </c>
      <c r="AJ851">
        <f>IFERROR(_xlfn.XLOOKUP(B851, HoldSummary!$A:$A, HoldSummary!I:I), 0)</f>
        <v>0</v>
      </c>
      <c r="AK851">
        <f t="shared" si="135"/>
        <v>0</v>
      </c>
      <c r="AL851">
        <f t="shared" si="136"/>
        <v>79.416967592595029</v>
      </c>
      <c r="AM851">
        <f t="shared" si="137"/>
        <v>79.416967592595029</v>
      </c>
      <c r="AN851" s="12">
        <f t="shared" si="138"/>
        <v>45554</v>
      </c>
      <c r="AO851">
        <f t="shared" si="139"/>
        <v>1</v>
      </c>
    </row>
    <row r="852" spans="1:41" x14ac:dyDescent="0.35">
      <c r="A852" t="s">
        <v>23</v>
      </c>
      <c r="B852" t="s">
        <v>1886</v>
      </c>
      <c r="C852" t="s">
        <v>43</v>
      </c>
      <c r="D852" t="s">
        <v>44</v>
      </c>
      <c r="E852" t="s">
        <v>45</v>
      </c>
      <c r="F852" t="s">
        <v>1719</v>
      </c>
      <c r="H852" t="s">
        <v>1887</v>
      </c>
      <c r="I852" t="s">
        <v>30</v>
      </c>
      <c r="J852" t="s">
        <v>70</v>
      </c>
      <c r="K852" t="s">
        <v>48</v>
      </c>
      <c r="M852" t="s">
        <v>33</v>
      </c>
      <c r="N852" s="2">
        <v>45474.586087962962</v>
      </c>
      <c r="O852" s="2"/>
      <c r="P852" s="2"/>
      <c r="Q852" s="2">
        <v>45600</v>
      </c>
      <c r="R852" s="2">
        <v>45601.611731296296</v>
      </c>
      <c r="S852" t="s">
        <v>231</v>
      </c>
      <c r="T852" s="2"/>
      <c r="U852" s="2"/>
      <c r="V852" s="2"/>
      <c r="W852" s="2"/>
      <c r="X852" s="3" t="str">
        <f t="shared" si="130"/>
        <v/>
      </c>
      <c r="Y852" t="str">
        <f t="shared" si="131"/>
        <v/>
      </c>
      <c r="Z852">
        <f t="shared" si="132"/>
        <v>0</v>
      </c>
      <c r="AA852">
        <f t="shared" si="133"/>
        <v>125.41391203703824</v>
      </c>
      <c r="AB852">
        <f t="shared" si="134"/>
        <v>125.41391203703824</v>
      </c>
      <c r="AC852">
        <f>IFERROR(_xlfn.XLOOKUP(B852, HoldSummary!$A:$A, HoldSummary!B:B), 0)</f>
        <v>0</v>
      </c>
      <c r="AD852">
        <f>IFERROR(_xlfn.XLOOKUP(B852, HoldSummary!$A:$A, HoldSummary!C:C), 0)</f>
        <v>0</v>
      </c>
      <c r="AE852">
        <f>IFERROR(_xlfn.XLOOKUP(B852, HoldSummary!$A:$A, HoldSummary!D:D), 0)</f>
        <v>0</v>
      </c>
      <c r="AF852">
        <f>IFERROR(_xlfn.XLOOKUP(B852, HoldSummary!$A:$A, HoldSummary!E:E), 0)</f>
        <v>0</v>
      </c>
      <c r="AG852">
        <f>IFERROR(_xlfn.XLOOKUP(B852, HoldSummary!$A:$A, HoldSummary!F:F), 0)</f>
        <v>0</v>
      </c>
      <c r="AH852">
        <f>IFERROR(_xlfn.XLOOKUP(B852, HoldSummary!$A:$A, HoldSummary!G:G), 0)</f>
        <v>0</v>
      </c>
      <c r="AI852">
        <f>IFERROR(_xlfn.XLOOKUP(B852, HoldSummary!$A:$A, HoldSummary!H:H), 0)</f>
        <v>0</v>
      </c>
      <c r="AJ852">
        <f>IFERROR(_xlfn.XLOOKUP(B852, HoldSummary!$A:$A, HoldSummary!I:I), 0)</f>
        <v>0</v>
      </c>
      <c r="AK852">
        <f t="shared" si="135"/>
        <v>0</v>
      </c>
      <c r="AL852">
        <f t="shared" si="136"/>
        <v>125.41391203703824</v>
      </c>
      <c r="AM852">
        <f t="shared" si="137"/>
        <v>125.41391203703824</v>
      </c>
      <c r="AN852" s="12">
        <f t="shared" si="138"/>
        <v>45600</v>
      </c>
      <c r="AO852">
        <f t="shared" si="139"/>
        <v>1</v>
      </c>
    </row>
    <row r="853" spans="1:41" x14ac:dyDescent="0.35">
      <c r="A853" t="s">
        <v>23</v>
      </c>
      <c r="B853" t="s">
        <v>1888</v>
      </c>
      <c r="C853" t="s">
        <v>43</v>
      </c>
      <c r="D853" t="s">
        <v>44</v>
      </c>
      <c r="E853" t="s">
        <v>45</v>
      </c>
      <c r="F853" t="s">
        <v>1719</v>
      </c>
      <c r="H853" t="s">
        <v>1889</v>
      </c>
      <c r="I853" t="s">
        <v>30</v>
      </c>
      <c r="J853" t="s">
        <v>31</v>
      </c>
      <c r="K853" t="s">
        <v>38</v>
      </c>
      <c r="L853" t="s">
        <v>53</v>
      </c>
      <c r="M853" t="s">
        <v>33</v>
      </c>
      <c r="N853" s="2">
        <v>45490.613275462965</v>
      </c>
      <c r="O853" s="2"/>
      <c r="P853" s="2"/>
      <c r="Q853" s="2">
        <v>45544</v>
      </c>
      <c r="R853" s="2">
        <v>45545.550323819443</v>
      </c>
      <c r="S853" t="s">
        <v>1727</v>
      </c>
      <c r="T853" s="2"/>
      <c r="U853" s="2"/>
      <c r="V853" s="2"/>
      <c r="W853" s="2"/>
      <c r="X853" s="3" t="str">
        <f t="shared" si="130"/>
        <v/>
      </c>
      <c r="Y853" t="str">
        <f t="shared" si="131"/>
        <v/>
      </c>
      <c r="Z853">
        <f t="shared" si="132"/>
        <v>0</v>
      </c>
      <c r="AA853">
        <f t="shared" si="133"/>
        <v>53.386724537034752</v>
      </c>
      <c r="AB853">
        <f t="shared" si="134"/>
        <v>53.386724537034752</v>
      </c>
      <c r="AC853">
        <f>IFERROR(_xlfn.XLOOKUP(B853, HoldSummary!$A:$A, HoldSummary!B:B), 0)</f>
        <v>0</v>
      </c>
      <c r="AD853">
        <f>IFERROR(_xlfn.XLOOKUP(B853, HoldSummary!$A:$A, HoldSummary!C:C), 0)</f>
        <v>0</v>
      </c>
      <c r="AE853">
        <f>IFERROR(_xlfn.XLOOKUP(B853, HoldSummary!$A:$A, HoldSummary!D:D), 0)</f>
        <v>0</v>
      </c>
      <c r="AF853">
        <f>IFERROR(_xlfn.XLOOKUP(B853, HoldSummary!$A:$A, HoldSummary!E:E), 0)</f>
        <v>0</v>
      </c>
      <c r="AG853">
        <f>IFERROR(_xlfn.XLOOKUP(B853, HoldSummary!$A:$A, HoldSummary!F:F), 0)</f>
        <v>0</v>
      </c>
      <c r="AH853">
        <f>IFERROR(_xlfn.XLOOKUP(B853, HoldSummary!$A:$A, HoldSummary!G:G), 0)</f>
        <v>0</v>
      </c>
      <c r="AI853">
        <f>IFERROR(_xlfn.XLOOKUP(B853, HoldSummary!$A:$A, HoldSummary!H:H), 0)</f>
        <v>0</v>
      </c>
      <c r="AJ853">
        <f>IFERROR(_xlfn.XLOOKUP(B853, HoldSummary!$A:$A, HoldSummary!I:I), 0)</f>
        <v>0</v>
      </c>
      <c r="AK853">
        <f t="shared" si="135"/>
        <v>0</v>
      </c>
      <c r="AL853">
        <f t="shared" si="136"/>
        <v>53.386724537034752</v>
      </c>
      <c r="AM853">
        <f t="shared" si="137"/>
        <v>53.386724537034752</v>
      </c>
      <c r="AN853" s="12">
        <f t="shared" si="138"/>
        <v>45544</v>
      </c>
      <c r="AO853">
        <f t="shared" si="139"/>
        <v>1</v>
      </c>
    </row>
    <row r="854" spans="1:41" x14ac:dyDescent="0.35">
      <c r="A854" t="s">
        <v>23</v>
      </c>
      <c r="B854" t="s">
        <v>1890</v>
      </c>
      <c r="C854" t="s">
        <v>43</v>
      </c>
      <c r="D854" t="s">
        <v>44</v>
      </c>
      <c r="E854" t="s">
        <v>45</v>
      </c>
      <c r="F854" t="s">
        <v>1719</v>
      </c>
      <c r="H854" t="s">
        <v>1891</v>
      </c>
      <c r="I854" t="s">
        <v>30</v>
      </c>
      <c r="J854" t="s">
        <v>31</v>
      </c>
      <c r="K854" t="s">
        <v>48</v>
      </c>
      <c r="L854" t="s">
        <v>695</v>
      </c>
      <c r="M854" t="s">
        <v>33</v>
      </c>
      <c r="N854" s="2">
        <v>45496.518321759257</v>
      </c>
      <c r="O854" s="2"/>
      <c r="P854" s="2"/>
      <c r="Q854" s="2">
        <v>45504</v>
      </c>
      <c r="R854" s="2">
        <v>45504.535234745374</v>
      </c>
      <c r="T854" s="2">
        <v>45496.166666666664</v>
      </c>
      <c r="U854" s="2">
        <v>45497.166666666664</v>
      </c>
      <c r="V854" s="2">
        <v>45497.166666666664</v>
      </c>
      <c r="W854" s="2">
        <v>45498.166666666664</v>
      </c>
      <c r="X854" s="3">
        <f t="shared" si="130"/>
        <v>1</v>
      </c>
      <c r="Y854">
        <f t="shared" si="131"/>
        <v>1</v>
      </c>
      <c r="Z854">
        <f t="shared" si="132"/>
        <v>2</v>
      </c>
      <c r="AA854">
        <f t="shared" si="133"/>
        <v>7.4816782407433493</v>
      </c>
      <c r="AB854">
        <f t="shared" si="134"/>
        <v>5.4816782407433493</v>
      </c>
      <c r="AC854">
        <f>IFERROR(_xlfn.XLOOKUP(B854, HoldSummary!$A:$A, HoldSummary!B:B), 0)</f>
        <v>0</v>
      </c>
      <c r="AD854">
        <f>IFERROR(_xlfn.XLOOKUP(B854, HoldSummary!$A:$A, HoldSummary!C:C), 0)</f>
        <v>0</v>
      </c>
      <c r="AE854">
        <f>IFERROR(_xlfn.XLOOKUP(B854, HoldSummary!$A:$A, HoldSummary!D:D), 0)</f>
        <v>0</v>
      </c>
      <c r="AF854">
        <f>IFERROR(_xlfn.XLOOKUP(B854, HoldSummary!$A:$A, HoldSummary!E:E), 0)</f>
        <v>0</v>
      </c>
      <c r="AG854">
        <f>IFERROR(_xlfn.XLOOKUP(B854, HoldSummary!$A:$A, HoldSummary!F:F), 0)</f>
        <v>0</v>
      </c>
      <c r="AH854">
        <f>IFERROR(_xlfn.XLOOKUP(B854, HoldSummary!$A:$A, HoldSummary!G:G), 0)</f>
        <v>0</v>
      </c>
      <c r="AI854">
        <f>IFERROR(_xlfn.XLOOKUP(B854, HoldSummary!$A:$A, HoldSummary!H:H), 0)</f>
        <v>0</v>
      </c>
      <c r="AJ854">
        <f>IFERROR(_xlfn.XLOOKUP(B854, HoldSummary!$A:$A, HoldSummary!I:I), 0)</f>
        <v>0</v>
      </c>
      <c r="AK854">
        <f t="shared" si="135"/>
        <v>0</v>
      </c>
      <c r="AL854">
        <f t="shared" si="136"/>
        <v>7.4816782407433493</v>
      </c>
      <c r="AM854">
        <f t="shared" si="137"/>
        <v>5.4816782407433493</v>
      </c>
      <c r="AN854" s="12">
        <f t="shared" si="138"/>
        <v>45504</v>
      </c>
      <c r="AO854">
        <f t="shared" si="139"/>
        <v>1</v>
      </c>
    </row>
    <row r="855" spans="1:41" x14ac:dyDescent="0.35">
      <c r="A855" t="s">
        <v>23</v>
      </c>
      <c r="B855" t="s">
        <v>1892</v>
      </c>
      <c r="C855" t="s">
        <v>76</v>
      </c>
      <c r="D855" t="s">
        <v>44</v>
      </c>
      <c r="E855" t="s">
        <v>45</v>
      </c>
      <c r="F855" t="s">
        <v>1719</v>
      </c>
      <c r="H855" t="s">
        <v>1893</v>
      </c>
      <c r="I855" t="s">
        <v>30</v>
      </c>
      <c r="J855" t="s">
        <v>31</v>
      </c>
      <c r="K855" t="s">
        <v>38</v>
      </c>
      <c r="L855" t="s">
        <v>39</v>
      </c>
      <c r="M855" t="s">
        <v>33</v>
      </c>
      <c r="N855" s="2">
        <v>45481.822106481479</v>
      </c>
      <c r="O855" s="2"/>
      <c r="P855" s="2"/>
      <c r="Q855" s="2">
        <v>45539</v>
      </c>
      <c r="R855" s="2">
        <v>45540.560113449072</v>
      </c>
      <c r="S855" t="s">
        <v>231</v>
      </c>
      <c r="T855" s="2">
        <v>45525.166666666664</v>
      </c>
      <c r="U855" s="2">
        <v>45531.166666666664</v>
      </c>
      <c r="V855" s="2">
        <v>45531.166666666664</v>
      </c>
      <c r="W855" s="2">
        <v>45532.166666666664</v>
      </c>
      <c r="X855" s="3">
        <f t="shared" si="130"/>
        <v>6</v>
      </c>
      <c r="Y855">
        <f t="shared" si="131"/>
        <v>1</v>
      </c>
      <c r="Z855">
        <f t="shared" si="132"/>
        <v>7</v>
      </c>
      <c r="AA855">
        <f t="shared" si="133"/>
        <v>57.177893518521159</v>
      </c>
      <c r="AB855">
        <f t="shared" si="134"/>
        <v>50.177893518521159</v>
      </c>
      <c r="AC855">
        <f>IFERROR(_xlfn.XLOOKUP(B855, HoldSummary!$A:$A, HoldSummary!B:B), 0)</f>
        <v>2</v>
      </c>
      <c r="AD855">
        <f>IFERROR(_xlfn.XLOOKUP(B855, HoldSummary!$A:$A, HoldSummary!C:C), 0)</f>
        <v>0</v>
      </c>
      <c r="AE855">
        <f>IFERROR(_xlfn.XLOOKUP(B855, HoldSummary!$A:$A, HoldSummary!D:D), 0)</f>
        <v>0</v>
      </c>
      <c r="AF855">
        <f>IFERROR(_xlfn.XLOOKUP(B855, HoldSummary!$A:$A, HoldSummary!E:E), 0)</f>
        <v>0</v>
      </c>
      <c r="AG855">
        <f>IFERROR(_xlfn.XLOOKUP(B855, HoldSummary!$A:$A, HoldSummary!F:F), 0)</f>
        <v>0</v>
      </c>
      <c r="AH855">
        <f>IFERROR(_xlfn.XLOOKUP(B855, HoldSummary!$A:$A, HoldSummary!G:G), 0)</f>
        <v>0</v>
      </c>
      <c r="AI855">
        <f>IFERROR(_xlfn.XLOOKUP(B855, HoldSummary!$A:$A, HoldSummary!H:H), 0)</f>
        <v>0</v>
      </c>
      <c r="AJ855">
        <f>IFERROR(_xlfn.XLOOKUP(B855, HoldSummary!$A:$A, HoldSummary!I:I), 0)</f>
        <v>0</v>
      </c>
      <c r="AK855">
        <f t="shared" si="135"/>
        <v>2</v>
      </c>
      <c r="AL855">
        <f t="shared" si="136"/>
        <v>55.177893518521159</v>
      </c>
      <c r="AM855">
        <f t="shared" si="137"/>
        <v>48.177893518521159</v>
      </c>
      <c r="AN855" s="12">
        <f t="shared" si="138"/>
        <v>45539</v>
      </c>
      <c r="AO855">
        <f t="shared" si="139"/>
        <v>1</v>
      </c>
    </row>
    <row r="856" spans="1:41" x14ac:dyDescent="0.35">
      <c r="A856" t="s">
        <v>23</v>
      </c>
      <c r="B856" t="s">
        <v>1894</v>
      </c>
      <c r="C856" t="s">
        <v>76</v>
      </c>
      <c r="D856" t="s">
        <v>44</v>
      </c>
      <c r="E856" t="s">
        <v>45</v>
      </c>
      <c r="F856" t="s">
        <v>1719</v>
      </c>
      <c r="H856" t="s">
        <v>1895</v>
      </c>
      <c r="I856" t="s">
        <v>30</v>
      </c>
      <c r="J856" t="s">
        <v>31</v>
      </c>
      <c r="K856" t="s">
        <v>38</v>
      </c>
      <c r="L856" t="s">
        <v>39</v>
      </c>
      <c r="M856" t="s">
        <v>33</v>
      </c>
      <c r="N856" s="2">
        <v>45481.829641203702</v>
      </c>
      <c r="O856" s="2"/>
      <c r="P856" s="2"/>
      <c r="Q856" s="2">
        <v>45540</v>
      </c>
      <c r="R856" s="2">
        <v>45540.711968668984</v>
      </c>
      <c r="S856" t="s">
        <v>231</v>
      </c>
      <c r="T856" s="2">
        <v>45525.166666666664</v>
      </c>
      <c r="U856" s="2">
        <v>45531.166666666664</v>
      </c>
      <c r="V856" s="2">
        <v>45531.166666666664</v>
      </c>
      <c r="W856" s="2">
        <v>45532.166666666664</v>
      </c>
      <c r="X856" s="3">
        <f t="shared" si="130"/>
        <v>6</v>
      </c>
      <c r="Y856">
        <f t="shared" si="131"/>
        <v>1</v>
      </c>
      <c r="Z856">
        <f t="shared" si="132"/>
        <v>7</v>
      </c>
      <c r="AA856">
        <f t="shared" si="133"/>
        <v>58.170358796298387</v>
      </c>
      <c r="AB856">
        <f t="shared" si="134"/>
        <v>51.170358796298387</v>
      </c>
      <c r="AC856">
        <f>IFERROR(_xlfn.XLOOKUP(B856, HoldSummary!$A:$A, HoldSummary!B:B), 0)</f>
        <v>2</v>
      </c>
      <c r="AD856">
        <f>IFERROR(_xlfn.XLOOKUP(B856, HoldSummary!$A:$A, HoldSummary!C:C), 0)</f>
        <v>0</v>
      </c>
      <c r="AE856">
        <f>IFERROR(_xlfn.XLOOKUP(B856, HoldSummary!$A:$A, HoldSummary!D:D), 0)</f>
        <v>0</v>
      </c>
      <c r="AF856">
        <f>IFERROR(_xlfn.XLOOKUP(B856, HoldSummary!$A:$A, HoldSummary!E:E), 0)</f>
        <v>0</v>
      </c>
      <c r="AG856">
        <f>IFERROR(_xlfn.XLOOKUP(B856, HoldSummary!$A:$A, HoldSummary!F:F), 0)</f>
        <v>0</v>
      </c>
      <c r="AH856">
        <f>IFERROR(_xlfn.XLOOKUP(B856, HoldSummary!$A:$A, HoldSummary!G:G), 0)</f>
        <v>0</v>
      </c>
      <c r="AI856">
        <f>IFERROR(_xlfn.XLOOKUP(B856, HoldSummary!$A:$A, HoldSummary!H:H), 0)</f>
        <v>0</v>
      </c>
      <c r="AJ856">
        <f>IFERROR(_xlfn.XLOOKUP(B856, HoldSummary!$A:$A, HoldSummary!I:I), 0)</f>
        <v>0</v>
      </c>
      <c r="AK856">
        <f t="shared" si="135"/>
        <v>2</v>
      </c>
      <c r="AL856">
        <f t="shared" si="136"/>
        <v>56.170358796298387</v>
      </c>
      <c r="AM856">
        <f t="shared" si="137"/>
        <v>49.170358796298387</v>
      </c>
      <c r="AN856" s="12">
        <f t="shared" si="138"/>
        <v>45540</v>
      </c>
      <c r="AO856">
        <f t="shared" si="139"/>
        <v>1</v>
      </c>
    </row>
    <row r="857" spans="1:41" x14ac:dyDescent="0.35">
      <c r="A857" t="s">
        <v>23</v>
      </c>
      <c r="B857" t="s">
        <v>1896</v>
      </c>
      <c r="C857" t="s">
        <v>76</v>
      </c>
      <c r="D857" t="s">
        <v>44</v>
      </c>
      <c r="E857" t="s">
        <v>27</v>
      </c>
      <c r="F857" t="s">
        <v>1719</v>
      </c>
      <c r="H857" t="s">
        <v>1897</v>
      </c>
      <c r="I857" t="s">
        <v>30</v>
      </c>
      <c r="J857" t="s">
        <v>31</v>
      </c>
      <c r="K857" t="s">
        <v>38</v>
      </c>
      <c r="L857" t="s">
        <v>39</v>
      </c>
      <c r="M857" t="s">
        <v>33</v>
      </c>
      <c r="N857" s="2">
        <v>45488.785636574074</v>
      </c>
      <c r="O857" s="2"/>
      <c r="P857" s="2"/>
      <c r="Q857" s="2">
        <v>45609</v>
      </c>
      <c r="R857" s="2">
        <v>45609.675545393518</v>
      </c>
      <c r="S857" t="s">
        <v>1898</v>
      </c>
      <c r="T857" s="2">
        <v>45555.166666666664</v>
      </c>
      <c r="U857" s="2">
        <v>45576.166666666664</v>
      </c>
      <c r="V857" s="2">
        <v>45576.166666666664</v>
      </c>
      <c r="W857" s="2">
        <v>45580.166666666664</v>
      </c>
      <c r="X857" s="3">
        <f t="shared" si="130"/>
        <v>21</v>
      </c>
      <c r="Y857">
        <f t="shared" si="131"/>
        <v>4</v>
      </c>
      <c r="Z857">
        <f t="shared" si="132"/>
        <v>25</v>
      </c>
      <c r="AA857">
        <f t="shared" si="133"/>
        <v>120.21436342592642</v>
      </c>
      <c r="AB857">
        <f t="shared" si="134"/>
        <v>95.214363425926422</v>
      </c>
      <c r="AC857">
        <f>IFERROR(_xlfn.XLOOKUP(B857, HoldSummary!$A:$A, HoldSummary!B:B), 0)</f>
        <v>6</v>
      </c>
      <c r="AD857">
        <f>IFERROR(_xlfn.XLOOKUP(B857, HoldSummary!$A:$A, HoldSummary!C:C), 0)</f>
        <v>20</v>
      </c>
      <c r="AE857">
        <f>IFERROR(_xlfn.XLOOKUP(B857, HoldSummary!$A:$A, HoldSummary!D:D), 0)</f>
        <v>0</v>
      </c>
      <c r="AF857">
        <f>IFERROR(_xlfn.XLOOKUP(B857, HoldSummary!$A:$A, HoldSummary!E:E), 0)</f>
        <v>0</v>
      </c>
      <c r="AG857">
        <f>IFERROR(_xlfn.XLOOKUP(B857, HoldSummary!$A:$A, HoldSummary!F:F), 0)</f>
        <v>0</v>
      </c>
      <c r="AH857">
        <f>IFERROR(_xlfn.XLOOKUP(B857, HoldSummary!$A:$A, HoldSummary!G:G), 0)</f>
        <v>0</v>
      </c>
      <c r="AI857">
        <f>IFERROR(_xlfn.XLOOKUP(B857, HoldSummary!$A:$A, HoldSummary!H:H), 0)</f>
        <v>0</v>
      </c>
      <c r="AJ857">
        <f>IFERROR(_xlfn.XLOOKUP(B857, HoldSummary!$A:$A, HoldSummary!I:I), 0)</f>
        <v>0</v>
      </c>
      <c r="AK857">
        <f t="shared" si="135"/>
        <v>26</v>
      </c>
      <c r="AL857">
        <f t="shared" si="136"/>
        <v>94.214363425926422</v>
      </c>
      <c r="AM857">
        <f t="shared" si="137"/>
        <v>69.214363425926422</v>
      </c>
      <c r="AN857" s="12">
        <f t="shared" si="138"/>
        <v>45609</v>
      </c>
      <c r="AO857">
        <f t="shared" si="139"/>
        <v>1</v>
      </c>
    </row>
    <row r="858" spans="1:41" x14ac:dyDescent="0.35">
      <c r="A858" t="s">
        <v>23</v>
      </c>
      <c r="B858" t="s">
        <v>1899</v>
      </c>
      <c r="C858" t="s">
        <v>43</v>
      </c>
      <c r="D858" t="s">
        <v>44</v>
      </c>
      <c r="E858" t="s">
        <v>45</v>
      </c>
      <c r="F858" t="s">
        <v>1719</v>
      </c>
      <c r="H858" t="s">
        <v>1900</v>
      </c>
      <c r="I858" t="s">
        <v>30</v>
      </c>
      <c r="J858" t="s">
        <v>31</v>
      </c>
      <c r="K858" t="s">
        <v>38</v>
      </c>
      <c r="L858" t="s">
        <v>53</v>
      </c>
      <c r="M858" t="s">
        <v>81</v>
      </c>
      <c r="N858" s="2">
        <v>45475.214490740742</v>
      </c>
      <c r="O858" s="2"/>
      <c r="P858" s="2"/>
      <c r="Q858" s="2">
        <v>45540</v>
      </c>
      <c r="R858" s="2">
        <v>45544.890884189816</v>
      </c>
      <c r="S858" t="s">
        <v>1727</v>
      </c>
      <c r="T858" s="2"/>
      <c r="U858" s="2"/>
      <c r="V858" s="2"/>
      <c r="W858" s="2"/>
      <c r="X858" s="3" t="str">
        <f t="shared" si="130"/>
        <v/>
      </c>
      <c r="Y858" t="str">
        <f t="shared" si="131"/>
        <v/>
      </c>
      <c r="Z858">
        <f t="shared" si="132"/>
        <v>0</v>
      </c>
      <c r="AA858">
        <f t="shared" si="133"/>
        <v>64.785509259258106</v>
      </c>
      <c r="AB858">
        <f t="shared" si="134"/>
        <v>64.785509259258106</v>
      </c>
      <c r="AC858">
        <f>IFERROR(_xlfn.XLOOKUP(B858, HoldSummary!$A:$A, HoldSummary!B:B), 0)</f>
        <v>0</v>
      </c>
      <c r="AD858">
        <f>IFERROR(_xlfn.XLOOKUP(B858, HoldSummary!$A:$A, HoldSummary!C:C), 0)</f>
        <v>0</v>
      </c>
      <c r="AE858">
        <f>IFERROR(_xlfn.XLOOKUP(B858, HoldSummary!$A:$A, HoldSummary!D:D), 0)</f>
        <v>0</v>
      </c>
      <c r="AF858">
        <f>IFERROR(_xlfn.XLOOKUP(B858, HoldSummary!$A:$A, HoldSummary!E:E), 0)</f>
        <v>0</v>
      </c>
      <c r="AG858">
        <f>IFERROR(_xlfn.XLOOKUP(B858, HoldSummary!$A:$A, HoldSummary!F:F), 0)</f>
        <v>0</v>
      </c>
      <c r="AH858">
        <f>IFERROR(_xlfn.XLOOKUP(B858, HoldSummary!$A:$A, HoldSummary!G:G), 0)</f>
        <v>0</v>
      </c>
      <c r="AI858">
        <f>IFERROR(_xlfn.XLOOKUP(B858, HoldSummary!$A:$A, HoldSummary!H:H), 0)</f>
        <v>0</v>
      </c>
      <c r="AJ858">
        <f>IFERROR(_xlfn.XLOOKUP(B858, HoldSummary!$A:$A, HoldSummary!I:I), 0)</f>
        <v>0</v>
      </c>
      <c r="AK858">
        <f t="shared" si="135"/>
        <v>0</v>
      </c>
      <c r="AL858">
        <f t="shared" si="136"/>
        <v>64.785509259258106</v>
      </c>
      <c r="AM858">
        <f t="shared" si="137"/>
        <v>64.785509259258106</v>
      </c>
      <c r="AN858" s="12">
        <f t="shared" si="138"/>
        <v>45540</v>
      </c>
      <c r="AO858">
        <f t="shared" si="139"/>
        <v>1</v>
      </c>
    </row>
    <row r="859" spans="1:41" x14ac:dyDescent="0.35">
      <c r="A859" t="s">
        <v>23</v>
      </c>
      <c r="B859" t="s">
        <v>1901</v>
      </c>
      <c r="C859" t="s">
        <v>43</v>
      </c>
      <c r="D859" t="s">
        <v>44</v>
      </c>
      <c r="E859" t="s">
        <v>45</v>
      </c>
      <c r="F859" t="s">
        <v>1719</v>
      </c>
      <c r="H859" t="s">
        <v>1902</v>
      </c>
      <c r="I859" t="s">
        <v>30</v>
      </c>
      <c r="J859" t="s">
        <v>300</v>
      </c>
      <c r="K859" t="s">
        <v>38</v>
      </c>
      <c r="L859" t="s">
        <v>39</v>
      </c>
      <c r="N859" s="2">
        <v>45504.483356481483</v>
      </c>
      <c r="O859" s="2"/>
      <c r="P859" s="2"/>
      <c r="Q859" s="2">
        <v>45590</v>
      </c>
      <c r="R859" s="2">
        <v>45590.601323182869</v>
      </c>
      <c r="S859" t="s">
        <v>231</v>
      </c>
      <c r="T859" s="2"/>
      <c r="U859" s="2"/>
      <c r="V859" s="2"/>
      <c r="W859" s="2"/>
      <c r="X859" s="3" t="str">
        <f t="shared" si="130"/>
        <v/>
      </c>
      <c r="Y859" t="str">
        <f t="shared" si="131"/>
        <v/>
      </c>
      <c r="Z859">
        <f t="shared" si="132"/>
        <v>0</v>
      </c>
      <c r="AA859">
        <f t="shared" si="133"/>
        <v>85.516643518516503</v>
      </c>
      <c r="AB859">
        <f t="shared" si="134"/>
        <v>85.516643518516503</v>
      </c>
      <c r="AC859">
        <f>IFERROR(_xlfn.XLOOKUP(B859, HoldSummary!$A:$A, HoldSummary!B:B), 0)</f>
        <v>0</v>
      </c>
      <c r="AD859">
        <f>IFERROR(_xlfn.XLOOKUP(B859, HoldSummary!$A:$A, HoldSummary!C:C), 0)</f>
        <v>0</v>
      </c>
      <c r="AE859">
        <f>IFERROR(_xlfn.XLOOKUP(B859, HoldSummary!$A:$A, HoldSummary!D:D), 0)</f>
        <v>0</v>
      </c>
      <c r="AF859">
        <f>IFERROR(_xlfn.XLOOKUP(B859, HoldSummary!$A:$A, HoldSummary!E:E), 0)</f>
        <v>0</v>
      </c>
      <c r="AG859">
        <f>IFERROR(_xlfn.XLOOKUP(B859, HoldSummary!$A:$A, HoldSummary!F:F), 0)</f>
        <v>0</v>
      </c>
      <c r="AH859">
        <f>IFERROR(_xlfn.XLOOKUP(B859, HoldSummary!$A:$A, HoldSummary!G:G), 0)</f>
        <v>0</v>
      </c>
      <c r="AI859">
        <f>IFERROR(_xlfn.XLOOKUP(B859, HoldSummary!$A:$A, HoldSummary!H:H), 0)</f>
        <v>0</v>
      </c>
      <c r="AJ859">
        <f>IFERROR(_xlfn.XLOOKUP(B859, HoldSummary!$A:$A, HoldSummary!I:I), 0)</f>
        <v>0</v>
      </c>
      <c r="AK859">
        <f t="shared" si="135"/>
        <v>0</v>
      </c>
      <c r="AL859">
        <f t="shared" si="136"/>
        <v>85.516643518516503</v>
      </c>
      <c r="AM859">
        <f t="shared" si="137"/>
        <v>85.516643518516503</v>
      </c>
      <c r="AN859" s="12">
        <f t="shared" si="138"/>
        <v>45590</v>
      </c>
      <c r="AO859">
        <f t="shared" si="139"/>
        <v>1</v>
      </c>
    </row>
    <row r="860" spans="1:41" x14ac:dyDescent="0.35">
      <c r="A860" t="s">
        <v>23</v>
      </c>
      <c r="B860" t="s">
        <v>1903</v>
      </c>
      <c r="C860" t="s">
        <v>43</v>
      </c>
      <c r="D860" t="s">
        <v>44</v>
      </c>
      <c r="E860" t="s">
        <v>45</v>
      </c>
      <c r="F860" t="s">
        <v>1719</v>
      </c>
      <c r="H860" t="s">
        <v>1904</v>
      </c>
      <c r="I860" t="s">
        <v>30</v>
      </c>
      <c r="J860" t="s">
        <v>70</v>
      </c>
      <c r="K860" t="s">
        <v>38</v>
      </c>
      <c r="L860" t="s">
        <v>39</v>
      </c>
      <c r="N860" s="2">
        <v>45512.824502314812</v>
      </c>
      <c r="O860" s="2"/>
      <c r="P860" s="2"/>
      <c r="Q860" s="2">
        <v>45541</v>
      </c>
      <c r="R860" s="2">
        <v>45547.617201134257</v>
      </c>
      <c r="S860" t="s">
        <v>231</v>
      </c>
      <c r="T860" s="2"/>
      <c r="U860" s="2"/>
      <c r="V860" s="2"/>
      <c r="W860" s="2"/>
      <c r="X860" s="3" t="str">
        <f t="shared" si="130"/>
        <v/>
      </c>
      <c r="Y860" t="str">
        <f t="shared" si="131"/>
        <v/>
      </c>
      <c r="Z860">
        <f t="shared" si="132"/>
        <v>0</v>
      </c>
      <c r="AA860">
        <f t="shared" si="133"/>
        <v>28.17549768518802</v>
      </c>
      <c r="AB860">
        <f t="shared" si="134"/>
        <v>28.17549768518802</v>
      </c>
      <c r="AC860">
        <f>IFERROR(_xlfn.XLOOKUP(B860, HoldSummary!$A:$A, HoldSummary!B:B), 0)</f>
        <v>0</v>
      </c>
      <c r="AD860">
        <f>IFERROR(_xlfn.XLOOKUP(B860, HoldSummary!$A:$A, HoldSummary!C:C), 0)</f>
        <v>0</v>
      </c>
      <c r="AE860">
        <f>IFERROR(_xlfn.XLOOKUP(B860, HoldSummary!$A:$A, HoldSummary!D:D), 0)</f>
        <v>0</v>
      </c>
      <c r="AF860">
        <f>IFERROR(_xlfn.XLOOKUP(B860, HoldSummary!$A:$A, HoldSummary!E:E), 0)</f>
        <v>0</v>
      </c>
      <c r="AG860">
        <f>IFERROR(_xlfn.XLOOKUP(B860, HoldSummary!$A:$A, HoldSummary!F:F), 0)</f>
        <v>0</v>
      </c>
      <c r="AH860">
        <f>IFERROR(_xlfn.XLOOKUP(B860, HoldSummary!$A:$A, HoldSummary!G:G), 0)</f>
        <v>0</v>
      </c>
      <c r="AI860">
        <f>IFERROR(_xlfn.XLOOKUP(B860, HoldSummary!$A:$A, HoldSummary!H:H), 0)</f>
        <v>0</v>
      </c>
      <c r="AJ860">
        <f>IFERROR(_xlfn.XLOOKUP(B860, HoldSummary!$A:$A, HoldSummary!I:I), 0)</f>
        <v>0</v>
      </c>
      <c r="AK860">
        <f t="shared" si="135"/>
        <v>0</v>
      </c>
      <c r="AL860">
        <f t="shared" si="136"/>
        <v>28.17549768518802</v>
      </c>
      <c r="AM860">
        <f t="shared" si="137"/>
        <v>28.17549768518802</v>
      </c>
      <c r="AN860" s="12">
        <f t="shared" si="138"/>
        <v>45541</v>
      </c>
      <c r="AO860">
        <f t="shared" si="139"/>
        <v>1</v>
      </c>
    </row>
    <row r="861" spans="1:41" x14ac:dyDescent="0.35">
      <c r="A861" t="s">
        <v>23</v>
      </c>
      <c r="B861" t="s">
        <v>1905</v>
      </c>
      <c r="C861" t="s">
        <v>43</v>
      </c>
      <c r="D861" t="s">
        <v>44</v>
      </c>
      <c r="E861" t="s">
        <v>45</v>
      </c>
      <c r="F861" t="s">
        <v>1719</v>
      </c>
      <c r="H861" t="s">
        <v>1906</v>
      </c>
      <c r="I861" t="s">
        <v>30</v>
      </c>
      <c r="J861" t="s">
        <v>31</v>
      </c>
      <c r="K861" t="s">
        <v>48</v>
      </c>
      <c r="L861" t="s">
        <v>49</v>
      </c>
      <c r="M861" t="s">
        <v>33</v>
      </c>
      <c r="N861" s="2">
        <v>45509.48946759259</v>
      </c>
      <c r="O861" s="2"/>
      <c r="P861" s="2"/>
      <c r="Q861" s="2">
        <v>45602</v>
      </c>
      <c r="R861" s="2">
        <v>45602.849276284724</v>
      </c>
      <c r="T861" s="2">
        <v>45530.166666666664</v>
      </c>
      <c r="U861" s="2">
        <v>45574.166666666664</v>
      </c>
      <c r="V861" s="2">
        <v>45574.166666666664</v>
      </c>
      <c r="W861" s="2">
        <v>45579.166666666664</v>
      </c>
      <c r="X861" s="3">
        <f t="shared" si="130"/>
        <v>44</v>
      </c>
      <c r="Y861">
        <f t="shared" si="131"/>
        <v>5</v>
      </c>
      <c r="Z861">
        <f t="shared" si="132"/>
        <v>49</v>
      </c>
      <c r="AA861">
        <f t="shared" si="133"/>
        <v>92.51053240741021</v>
      </c>
      <c r="AB861">
        <f t="shared" si="134"/>
        <v>43.51053240741021</v>
      </c>
      <c r="AC861">
        <f>IFERROR(_xlfn.XLOOKUP(B861, HoldSummary!$A:$A, HoldSummary!B:B), 0)</f>
        <v>0.98315101851767395</v>
      </c>
      <c r="AD861">
        <f>IFERROR(_xlfn.XLOOKUP(B861, HoldSummary!$A:$A, HoldSummary!C:C), 0)</f>
        <v>0</v>
      </c>
      <c r="AE861">
        <f>IFERROR(_xlfn.XLOOKUP(B861, HoldSummary!$A:$A, HoldSummary!D:D), 0)</f>
        <v>0</v>
      </c>
      <c r="AF861">
        <f>IFERROR(_xlfn.XLOOKUP(B861, HoldSummary!$A:$A, HoldSummary!E:E), 0)</f>
        <v>0</v>
      </c>
      <c r="AG861">
        <f>IFERROR(_xlfn.XLOOKUP(B861, HoldSummary!$A:$A, HoldSummary!F:F), 0)</f>
        <v>0</v>
      </c>
      <c r="AH861">
        <f>IFERROR(_xlfn.XLOOKUP(B861, HoldSummary!$A:$A, HoldSummary!G:G), 0)</f>
        <v>0</v>
      </c>
      <c r="AI861">
        <f>IFERROR(_xlfn.XLOOKUP(B861, HoldSummary!$A:$A, HoldSummary!H:H), 0)</f>
        <v>0</v>
      </c>
      <c r="AJ861">
        <f>IFERROR(_xlfn.XLOOKUP(B861, HoldSummary!$A:$A, HoldSummary!I:I), 0)</f>
        <v>0</v>
      </c>
      <c r="AK861">
        <f t="shared" si="135"/>
        <v>0.98315101851767395</v>
      </c>
      <c r="AL861">
        <f t="shared" si="136"/>
        <v>91.527381388892536</v>
      </c>
      <c r="AM861">
        <f t="shared" si="137"/>
        <v>42.527381388892536</v>
      </c>
      <c r="AN861" s="12">
        <f t="shared" si="138"/>
        <v>45602</v>
      </c>
      <c r="AO861">
        <f t="shared" si="139"/>
        <v>1</v>
      </c>
    </row>
    <row r="862" spans="1:41" x14ac:dyDescent="0.35">
      <c r="A862" t="s">
        <v>23</v>
      </c>
      <c r="B862">
        <v>107180</v>
      </c>
      <c r="C862" t="s">
        <v>76</v>
      </c>
      <c r="D862" t="s">
        <v>44</v>
      </c>
      <c r="E862" t="s">
        <v>55</v>
      </c>
      <c r="F862" t="s">
        <v>1719</v>
      </c>
      <c r="H862" t="s">
        <v>1907</v>
      </c>
      <c r="I862" t="s">
        <v>30</v>
      </c>
      <c r="J862" t="s">
        <v>31</v>
      </c>
      <c r="K862" t="s">
        <v>57</v>
      </c>
      <c r="L862" t="s">
        <v>39</v>
      </c>
      <c r="M862" t="s">
        <v>33</v>
      </c>
      <c r="N862" s="2">
        <v>45497.166666666664</v>
      </c>
      <c r="O862" s="2"/>
      <c r="P862" s="2"/>
      <c r="Q862" s="2">
        <v>45610</v>
      </c>
      <c r="R862" s="2">
        <v>45610.603135636571</v>
      </c>
      <c r="T862" s="2">
        <v>45574.166666666664</v>
      </c>
      <c r="U862" s="2">
        <v>45580.166666666664</v>
      </c>
      <c r="V862" s="2">
        <v>45580.166666666664</v>
      </c>
      <c r="W862" s="2">
        <v>45600.208333333336</v>
      </c>
      <c r="X862" s="3">
        <f t="shared" si="130"/>
        <v>6</v>
      </c>
      <c r="Y862">
        <f t="shared" si="131"/>
        <v>20.041666666671517</v>
      </c>
      <c r="Z862">
        <f t="shared" si="132"/>
        <v>26.041666666671517</v>
      </c>
      <c r="AA862">
        <f t="shared" si="133"/>
        <v>112.83333333333576</v>
      </c>
      <c r="AB862">
        <f t="shared" si="134"/>
        <v>86.791666666664241</v>
      </c>
      <c r="AC862">
        <f>IFERROR(_xlfn.XLOOKUP(B862, HoldSummary!$A:$A, HoldSummary!B:B), 0)</f>
        <v>4</v>
      </c>
      <c r="AD862">
        <f>IFERROR(_xlfn.XLOOKUP(B862, HoldSummary!$A:$A, HoldSummary!C:C), 0)</f>
        <v>0</v>
      </c>
      <c r="AE862">
        <f>IFERROR(_xlfn.XLOOKUP(B862, HoldSummary!$A:$A, HoldSummary!D:D), 0)</f>
        <v>0</v>
      </c>
      <c r="AF862">
        <f>IFERROR(_xlfn.XLOOKUP(B862, HoldSummary!$A:$A, HoldSummary!E:E), 0)</f>
        <v>15</v>
      </c>
      <c r="AG862">
        <f>IFERROR(_xlfn.XLOOKUP(B862, HoldSummary!$A:$A, HoldSummary!F:F), 0)</f>
        <v>0</v>
      </c>
      <c r="AH862">
        <f>IFERROR(_xlfn.XLOOKUP(B862, HoldSummary!$A:$A, HoldSummary!G:G), 0)</f>
        <v>2</v>
      </c>
      <c r="AI862">
        <f>IFERROR(_xlfn.XLOOKUP(B862, HoldSummary!$A:$A, HoldSummary!H:H), 0)</f>
        <v>0</v>
      </c>
      <c r="AJ862">
        <f>IFERROR(_xlfn.XLOOKUP(B862, HoldSummary!$A:$A, HoldSummary!I:I), 0)</f>
        <v>0</v>
      </c>
      <c r="AK862">
        <f t="shared" si="135"/>
        <v>21</v>
      </c>
      <c r="AL862">
        <f t="shared" si="136"/>
        <v>91.833333333335759</v>
      </c>
      <c r="AM862">
        <f t="shared" si="137"/>
        <v>65.791666666664241</v>
      </c>
      <c r="AN862" s="12">
        <f t="shared" si="138"/>
        <v>45610</v>
      </c>
      <c r="AO862">
        <f t="shared" si="139"/>
        <v>1</v>
      </c>
    </row>
    <row r="863" spans="1:41" x14ac:dyDescent="0.35">
      <c r="A863" t="s">
        <v>23</v>
      </c>
      <c r="B863" t="s">
        <v>1908</v>
      </c>
      <c r="C863" t="s">
        <v>76</v>
      </c>
      <c r="D863" t="s">
        <v>44</v>
      </c>
      <c r="E863" t="s">
        <v>45</v>
      </c>
      <c r="F863" t="s">
        <v>1719</v>
      </c>
      <c r="H863" t="s">
        <v>1909</v>
      </c>
      <c r="I863" t="s">
        <v>30</v>
      </c>
      <c r="J863" t="s">
        <v>31</v>
      </c>
      <c r="K863" t="s">
        <v>32</v>
      </c>
      <c r="L863" t="s">
        <v>39</v>
      </c>
      <c r="M863" t="s">
        <v>81</v>
      </c>
      <c r="N863" s="2">
        <v>45496.779270833336</v>
      </c>
      <c r="O863" s="2"/>
      <c r="P863" s="2"/>
      <c r="Q863" s="2">
        <v>45636</v>
      </c>
      <c r="R863" s="2">
        <v>45636.785163877314</v>
      </c>
      <c r="S863" t="s">
        <v>145</v>
      </c>
      <c r="T863" s="2">
        <v>45554.166666666664</v>
      </c>
      <c r="U863" s="2">
        <v>45554.166666666664</v>
      </c>
      <c r="V863" s="2">
        <v>45554.166666666664</v>
      </c>
      <c r="W863" s="2">
        <v>45622.208333333336</v>
      </c>
      <c r="X863" s="3">
        <f t="shared" si="130"/>
        <v>0</v>
      </c>
      <c r="Y863">
        <f t="shared" si="131"/>
        <v>68.041666666671517</v>
      </c>
      <c r="Z863">
        <f t="shared" si="132"/>
        <v>68.041666666671517</v>
      </c>
      <c r="AA863">
        <f t="shared" si="133"/>
        <v>139.22072916666366</v>
      </c>
      <c r="AB863">
        <f t="shared" si="134"/>
        <v>71.179062499992142</v>
      </c>
      <c r="AC863">
        <f>IFERROR(_xlfn.XLOOKUP(B863, HoldSummary!$A:$A, HoldSummary!B:B), 0)</f>
        <v>4</v>
      </c>
      <c r="AD863">
        <f>IFERROR(_xlfn.XLOOKUP(B863, HoldSummary!$A:$A, HoldSummary!C:C), 0)</f>
        <v>0</v>
      </c>
      <c r="AE863">
        <f>IFERROR(_xlfn.XLOOKUP(B863, HoldSummary!$A:$A, HoldSummary!D:D), 0)</f>
        <v>0</v>
      </c>
      <c r="AF863">
        <f>IFERROR(_xlfn.XLOOKUP(B863, HoldSummary!$A:$A, HoldSummary!E:E), 0)</f>
        <v>0</v>
      </c>
      <c r="AG863">
        <f>IFERROR(_xlfn.XLOOKUP(B863, HoldSummary!$A:$A, HoldSummary!F:F), 0)</f>
        <v>5</v>
      </c>
      <c r="AH863">
        <f>IFERROR(_xlfn.XLOOKUP(B863, HoldSummary!$A:$A, HoldSummary!G:G), 0)</f>
        <v>0</v>
      </c>
      <c r="AI863">
        <f>IFERROR(_xlfn.XLOOKUP(B863, HoldSummary!$A:$A, HoldSummary!H:H), 0)</f>
        <v>0</v>
      </c>
      <c r="AJ863">
        <f>IFERROR(_xlfn.XLOOKUP(B863, HoldSummary!$A:$A, HoldSummary!I:I), 0)</f>
        <v>0</v>
      </c>
      <c r="AK863">
        <f t="shared" si="135"/>
        <v>9</v>
      </c>
      <c r="AL863">
        <f t="shared" si="136"/>
        <v>130.22072916666366</v>
      </c>
      <c r="AM863">
        <f t="shared" si="137"/>
        <v>62.179062499992142</v>
      </c>
      <c r="AN863" s="12">
        <f t="shared" si="138"/>
        <v>45636</v>
      </c>
      <c r="AO863">
        <f t="shared" si="139"/>
        <v>1</v>
      </c>
    </row>
    <row r="864" spans="1:41" x14ac:dyDescent="0.35">
      <c r="A864" t="s">
        <v>23</v>
      </c>
      <c r="B864">
        <v>107461</v>
      </c>
      <c r="C864" t="s">
        <v>43</v>
      </c>
      <c r="D864" t="s">
        <v>44</v>
      </c>
      <c r="E864" t="s">
        <v>55</v>
      </c>
      <c r="F864" t="s">
        <v>1719</v>
      </c>
      <c r="H864" t="s">
        <v>1910</v>
      </c>
      <c r="I864" t="s">
        <v>30</v>
      </c>
      <c r="J864" t="s">
        <v>31</v>
      </c>
      <c r="K864" t="s">
        <v>57</v>
      </c>
      <c r="L864" t="s">
        <v>39</v>
      </c>
      <c r="N864" s="2">
        <v>45511.166666666664</v>
      </c>
      <c r="O864" s="2"/>
      <c r="P864" s="2"/>
      <c r="Q864" s="2">
        <v>45534</v>
      </c>
      <c r="R864" s="2">
        <v>45534.80202949074</v>
      </c>
      <c r="T864" s="2"/>
      <c r="U864" s="2"/>
      <c r="V864" s="2"/>
      <c r="W864" s="2"/>
      <c r="X864" s="3" t="str">
        <f t="shared" si="130"/>
        <v/>
      </c>
      <c r="Y864" t="str">
        <f t="shared" si="131"/>
        <v/>
      </c>
      <c r="Z864">
        <f t="shared" si="132"/>
        <v>0</v>
      </c>
      <c r="AA864">
        <f t="shared" si="133"/>
        <v>22.833333333335759</v>
      </c>
      <c r="AB864">
        <f t="shared" si="134"/>
        <v>22.833333333335759</v>
      </c>
      <c r="AC864">
        <f>IFERROR(_xlfn.XLOOKUP(B864, HoldSummary!$A:$A, HoldSummary!B:B), 0)</f>
        <v>0</v>
      </c>
      <c r="AD864">
        <f>IFERROR(_xlfn.XLOOKUP(B864, HoldSummary!$A:$A, HoldSummary!C:C), 0)</f>
        <v>0</v>
      </c>
      <c r="AE864">
        <f>IFERROR(_xlfn.XLOOKUP(B864, HoldSummary!$A:$A, HoldSummary!D:D), 0)</f>
        <v>0</v>
      </c>
      <c r="AF864">
        <f>IFERROR(_xlfn.XLOOKUP(B864, HoldSummary!$A:$A, HoldSummary!E:E), 0)</f>
        <v>0</v>
      </c>
      <c r="AG864">
        <f>IFERROR(_xlfn.XLOOKUP(B864, HoldSummary!$A:$A, HoldSummary!F:F), 0)</f>
        <v>0</v>
      </c>
      <c r="AH864">
        <f>IFERROR(_xlfn.XLOOKUP(B864, HoldSummary!$A:$A, HoldSummary!G:G), 0)</f>
        <v>0</v>
      </c>
      <c r="AI864">
        <f>IFERROR(_xlfn.XLOOKUP(B864, HoldSummary!$A:$A, HoldSummary!H:H), 0)</f>
        <v>0</v>
      </c>
      <c r="AJ864">
        <f>IFERROR(_xlfn.XLOOKUP(B864, HoldSummary!$A:$A, HoldSummary!I:I), 0)</f>
        <v>0</v>
      </c>
      <c r="AK864">
        <f t="shared" si="135"/>
        <v>0</v>
      </c>
      <c r="AL864">
        <f t="shared" si="136"/>
        <v>22.833333333335759</v>
      </c>
      <c r="AM864">
        <f t="shared" si="137"/>
        <v>22.833333333335759</v>
      </c>
      <c r="AN864" s="12">
        <f t="shared" si="138"/>
        <v>45534</v>
      </c>
      <c r="AO864">
        <f t="shared" si="139"/>
        <v>1</v>
      </c>
    </row>
    <row r="865" spans="1:41" x14ac:dyDescent="0.35">
      <c r="A865" t="s">
        <v>23</v>
      </c>
      <c r="B865" t="s">
        <v>1911</v>
      </c>
      <c r="C865" t="s">
        <v>43</v>
      </c>
      <c r="D865" t="s">
        <v>44</v>
      </c>
      <c r="E865" t="s">
        <v>45</v>
      </c>
      <c r="F865" t="s">
        <v>1719</v>
      </c>
      <c r="H865" t="s">
        <v>1912</v>
      </c>
      <c r="I865" t="s">
        <v>30</v>
      </c>
      <c r="J865" t="s">
        <v>31</v>
      </c>
      <c r="K865" t="s">
        <v>38</v>
      </c>
      <c r="L865" t="s">
        <v>53</v>
      </c>
      <c r="M865" t="s">
        <v>81</v>
      </c>
      <c r="N865" s="2">
        <v>45450.382280092592</v>
      </c>
      <c r="O865" s="2"/>
      <c r="P865" s="2"/>
      <c r="Q865" s="2">
        <v>45544</v>
      </c>
      <c r="R865" s="2">
        <v>45546.855707222225</v>
      </c>
      <c r="S865" t="s">
        <v>1727</v>
      </c>
      <c r="T865" s="2"/>
      <c r="U865" s="2"/>
      <c r="V865" s="2"/>
      <c r="W865" s="2"/>
      <c r="X865" s="3" t="str">
        <f t="shared" si="130"/>
        <v/>
      </c>
      <c r="Y865" t="str">
        <f t="shared" si="131"/>
        <v/>
      </c>
      <c r="Z865">
        <f t="shared" si="132"/>
        <v>0</v>
      </c>
      <c r="AA865">
        <f t="shared" si="133"/>
        <v>93.617719907408173</v>
      </c>
      <c r="AB865">
        <f t="shared" si="134"/>
        <v>93.617719907408173</v>
      </c>
      <c r="AC865">
        <f>IFERROR(_xlfn.XLOOKUP(B865, HoldSummary!$A:$A, HoldSummary!B:B), 0)</f>
        <v>0</v>
      </c>
      <c r="AD865">
        <f>IFERROR(_xlfn.XLOOKUP(B865, HoldSummary!$A:$A, HoldSummary!C:C), 0)</f>
        <v>0</v>
      </c>
      <c r="AE865">
        <f>IFERROR(_xlfn.XLOOKUP(B865, HoldSummary!$A:$A, HoldSummary!D:D), 0)</f>
        <v>0</v>
      </c>
      <c r="AF865">
        <f>IFERROR(_xlfn.XLOOKUP(B865, HoldSummary!$A:$A, HoldSummary!E:E), 0)</f>
        <v>0</v>
      </c>
      <c r="AG865">
        <f>IFERROR(_xlfn.XLOOKUP(B865, HoldSummary!$A:$A, HoldSummary!F:F), 0)</f>
        <v>0</v>
      </c>
      <c r="AH865">
        <f>IFERROR(_xlfn.XLOOKUP(B865, HoldSummary!$A:$A, HoldSummary!G:G), 0)</f>
        <v>0</v>
      </c>
      <c r="AI865">
        <f>IFERROR(_xlfn.XLOOKUP(B865, HoldSummary!$A:$A, HoldSummary!H:H), 0)</f>
        <v>0</v>
      </c>
      <c r="AJ865">
        <f>IFERROR(_xlfn.XLOOKUP(B865, HoldSummary!$A:$A, HoldSummary!I:I), 0)</f>
        <v>0</v>
      </c>
      <c r="AK865">
        <f t="shared" si="135"/>
        <v>0</v>
      </c>
      <c r="AL865">
        <f t="shared" si="136"/>
        <v>93.617719907408173</v>
      </c>
      <c r="AM865">
        <f t="shared" si="137"/>
        <v>93.617719907408173</v>
      </c>
      <c r="AN865" s="12">
        <f t="shared" si="138"/>
        <v>45544</v>
      </c>
      <c r="AO865">
        <f t="shared" si="139"/>
        <v>1</v>
      </c>
    </row>
    <row r="866" spans="1:41" x14ac:dyDescent="0.35">
      <c r="A866" t="s">
        <v>23</v>
      </c>
      <c r="B866" t="s">
        <v>1913</v>
      </c>
      <c r="C866" t="s">
        <v>36</v>
      </c>
      <c r="D866" t="s">
        <v>44</v>
      </c>
      <c r="E866" t="s">
        <v>45</v>
      </c>
      <c r="F866" t="s">
        <v>1719</v>
      </c>
      <c r="H866" t="s">
        <v>1914</v>
      </c>
      <c r="I866" t="s">
        <v>30</v>
      </c>
      <c r="J866" t="s">
        <v>70</v>
      </c>
      <c r="K866" t="s">
        <v>38</v>
      </c>
      <c r="L866" t="s">
        <v>39</v>
      </c>
      <c r="M866" t="s">
        <v>81</v>
      </c>
      <c r="N866" s="2">
        <v>45509.757951388892</v>
      </c>
      <c r="O866" s="2"/>
      <c r="P866" s="2"/>
      <c r="Q866" s="2">
        <v>45660</v>
      </c>
      <c r="R866" s="2">
        <v>45663.586787175926</v>
      </c>
      <c r="T866" s="2"/>
      <c r="U866" s="2"/>
      <c r="V866" s="2"/>
      <c r="W866" s="2"/>
      <c r="X866" s="3" t="str">
        <f t="shared" si="130"/>
        <v/>
      </c>
      <c r="Y866" t="str">
        <f t="shared" si="131"/>
        <v/>
      </c>
      <c r="Z866">
        <f t="shared" si="132"/>
        <v>0</v>
      </c>
      <c r="AA866">
        <f t="shared" si="133"/>
        <v>150.24204861110775</v>
      </c>
      <c r="AB866">
        <f t="shared" si="134"/>
        <v>150.24204861110775</v>
      </c>
      <c r="AC866">
        <f>IFERROR(_xlfn.XLOOKUP(B866, HoldSummary!$A:$A, HoldSummary!B:B), 0)</f>
        <v>0</v>
      </c>
      <c r="AD866">
        <f>IFERROR(_xlfn.XLOOKUP(B866, HoldSummary!$A:$A, HoldSummary!C:C), 0)</f>
        <v>0</v>
      </c>
      <c r="AE866">
        <f>IFERROR(_xlfn.XLOOKUP(B866, HoldSummary!$A:$A, HoldSummary!D:D), 0)</f>
        <v>0</v>
      </c>
      <c r="AF866">
        <f>IFERROR(_xlfn.XLOOKUP(B866, HoldSummary!$A:$A, HoldSummary!E:E), 0)</f>
        <v>0</v>
      </c>
      <c r="AG866">
        <f>IFERROR(_xlfn.XLOOKUP(B866, HoldSummary!$A:$A, HoldSummary!F:F), 0)</f>
        <v>0</v>
      </c>
      <c r="AH866">
        <f>IFERROR(_xlfn.XLOOKUP(B866, HoldSummary!$A:$A, HoldSummary!G:G), 0)</f>
        <v>0</v>
      </c>
      <c r="AI866">
        <f>IFERROR(_xlfn.XLOOKUP(B866, HoldSummary!$A:$A, HoldSummary!H:H), 0)</f>
        <v>0</v>
      </c>
      <c r="AJ866">
        <f>IFERROR(_xlfn.XLOOKUP(B866, HoldSummary!$A:$A, HoldSummary!I:I), 0)</f>
        <v>0</v>
      </c>
      <c r="AK866">
        <f t="shared" si="135"/>
        <v>0</v>
      </c>
      <c r="AL866">
        <f t="shared" si="136"/>
        <v>150.24204861110775</v>
      </c>
      <c r="AM866">
        <f t="shared" si="137"/>
        <v>150.24204861110775</v>
      </c>
      <c r="AN866" s="12">
        <f t="shared" si="138"/>
        <v>45660</v>
      </c>
      <c r="AO866">
        <f t="shared" si="139"/>
        <v>1</v>
      </c>
    </row>
    <row r="867" spans="1:41" x14ac:dyDescent="0.35">
      <c r="A867" t="s">
        <v>23</v>
      </c>
      <c r="B867" t="s">
        <v>1915</v>
      </c>
      <c r="C867" t="s">
        <v>43</v>
      </c>
      <c r="D867" t="s">
        <v>44</v>
      </c>
      <c r="E867" t="s">
        <v>45</v>
      </c>
      <c r="F867" t="s">
        <v>1719</v>
      </c>
      <c r="H867" t="s">
        <v>1916</v>
      </c>
      <c r="I867" t="s">
        <v>30</v>
      </c>
      <c r="J867" t="s">
        <v>70</v>
      </c>
      <c r="K867" t="s">
        <v>48</v>
      </c>
      <c r="L867" t="s">
        <v>49</v>
      </c>
      <c r="N867" s="2">
        <v>45530.400555555556</v>
      </c>
      <c r="O867" s="2"/>
      <c r="P867" s="2"/>
      <c r="Q867" s="2">
        <v>45659</v>
      </c>
      <c r="R867" s="2">
        <v>45660.86928431713</v>
      </c>
      <c r="T867" s="2"/>
      <c r="U867" s="2"/>
      <c r="V867" s="2"/>
      <c r="W867" s="2"/>
      <c r="X867" s="3" t="str">
        <f t="shared" si="130"/>
        <v/>
      </c>
      <c r="Y867" t="str">
        <f t="shared" si="131"/>
        <v/>
      </c>
      <c r="Z867">
        <f t="shared" si="132"/>
        <v>0</v>
      </c>
      <c r="AA867">
        <f t="shared" si="133"/>
        <v>128.59944444444409</v>
      </c>
      <c r="AB867">
        <f t="shared" si="134"/>
        <v>128.59944444444409</v>
      </c>
      <c r="AC867">
        <f>IFERROR(_xlfn.XLOOKUP(B867, HoldSummary!$A:$A, HoldSummary!B:B), 0)</f>
        <v>0</v>
      </c>
      <c r="AD867">
        <f>IFERROR(_xlfn.XLOOKUP(B867, HoldSummary!$A:$A, HoldSummary!C:C), 0)</f>
        <v>0</v>
      </c>
      <c r="AE867">
        <f>IFERROR(_xlfn.XLOOKUP(B867, HoldSummary!$A:$A, HoldSummary!D:D), 0)</f>
        <v>0</v>
      </c>
      <c r="AF867">
        <f>IFERROR(_xlfn.XLOOKUP(B867, HoldSummary!$A:$A, HoldSummary!E:E), 0)</f>
        <v>0</v>
      </c>
      <c r="AG867">
        <f>IFERROR(_xlfn.XLOOKUP(B867, HoldSummary!$A:$A, HoldSummary!F:F), 0)</f>
        <v>0</v>
      </c>
      <c r="AH867">
        <f>IFERROR(_xlfn.XLOOKUP(B867, HoldSummary!$A:$A, HoldSummary!G:G), 0)</f>
        <v>0</v>
      </c>
      <c r="AI867">
        <f>IFERROR(_xlfn.XLOOKUP(B867, HoldSummary!$A:$A, HoldSummary!H:H), 0)</f>
        <v>0</v>
      </c>
      <c r="AJ867">
        <f>IFERROR(_xlfn.XLOOKUP(B867, HoldSummary!$A:$A, HoldSummary!I:I), 0)</f>
        <v>0</v>
      </c>
      <c r="AK867">
        <f t="shared" si="135"/>
        <v>0</v>
      </c>
      <c r="AL867">
        <f t="shared" si="136"/>
        <v>128.59944444444409</v>
      </c>
      <c r="AM867">
        <f t="shared" si="137"/>
        <v>128.59944444444409</v>
      </c>
      <c r="AN867" s="12">
        <f t="shared" si="138"/>
        <v>45659</v>
      </c>
      <c r="AO867">
        <f t="shared" si="139"/>
        <v>1</v>
      </c>
    </row>
    <row r="868" spans="1:41" x14ac:dyDescent="0.35">
      <c r="A868" t="s">
        <v>23</v>
      </c>
      <c r="B868" t="s">
        <v>1917</v>
      </c>
      <c r="C868" t="s">
        <v>43</v>
      </c>
      <c r="D868" t="s">
        <v>44</v>
      </c>
      <c r="E868" t="s">
        <v>45</v>
      </c>
      <c r="F868" t="s">
        <v>1719</v>
      </c>
      <c r="H868" t="s">
        <v>1918</v>
      </c>
      <c r="I868" t="s">
        <v>30</v>
      </c>
      <c r="J868" t="s">
        <v>70</v>
      </c>
      <c r="K868" t="s">
        <v>38</v>
      </c>
      <c r="L868" t="s">
        <v>39</v>
      </c>
      <c r="N868" s="2">
        <v>45539.525416666664</v>
      </c>
      <c r="O868" s="2"/>
      <c r="P868" s="2"/>
      <c r="Q868" s="2">
        <v>45664</v>
      </c>
      <c r="R868" s="2">
        <v>45664.90353127315</v>
      </c>
      <c r="T868" s="2"/>
      <c r="U868" s="2"/>
      <c r="V868" s="2"/>
      <c r="W868" s="2"/>
      <c r="X868" s="3" t="str">
        <f t="shared" si="130"/>
        <v/>
      </c>
      <c r="Y868" t="str">
        <f t="shared" si="131"/>
        <v/>
      </c>
      <c r="Z868">
        <f t="shared" si="132"/>
        <v>0</v>
      </c>
      <c r="AA868">
        <f t="shared" si="133"/>
        <v>124.47458333333634</v>
      </c>
      <c r="AB868">
        <f t="shared" si="134"/>
        <v>124.47458333333634</v>
      </c>
      <c r="AC868">
        <f>IFERROR(_xlfn.XLOOKUP(B868, HoldSummary!$A:$A, HoldSummary!B:B), 0)</f>
        <v>0</v>
      </c>
      <c r="AD868">
        <f>IFERROR(_xlfn.XLOOKUP(B868, HoldSummary!$A:$A, HoldSummary!C:C), 0)</f>
        <v>0</v>
      </c>
      <c r="AE868">
        <f>IFERROR(_xlfn.XLOOKUP(B868, HoldSummary!$A:$A, HoldSummary!D:D), 0)</f>
        <v>0</v>
      </c>
      <c r="AF868">
        <f>IFERROR(_xlfn.XLOOKUP(B868, HoldSummary!$A:$A, HoldSummary!E:E), 0)</f>
        <v>0</v>
      </c>
      <c r="AG868">
        <f>IFERROR(_xlfn.XLOOKUP(B868, HoldSummary!$A:$A, HoldSummary!F:F), 0)</f>
        <v>0</v>
      </c>
      <c r="AH868">
        <f>IFERROR(_xlfn.XLOOKUP(B868, HoldSummary!$A:$A, HoldSummary!G:G), 0)</f>
        <v>0</v>
      </c>
      <c r="AI868">
        <f>IFERROR(_xlfn.XLOOKUP(B868, HoldSummary!$A:$A, HoldSummary!H:H), 0)</f>
        <v>0</v>
      </c>
      <c r="AJ868">
        <f>IFERROR(_xlfn.XLOOKUP(B868, HoldSummary!$A:$A, HoldSummary!I:I), 0)</f>
        <v>0</v>
      </c>
      <c r="AK868">
        <f t="shared" si="135"/>
        <v>0</v>
      </c>
      <c r="AL868">
        <f t="shared" si="136"/>
        <v>124.47458333333634</v>
      </c>
      <c r="AM868">
        <f t="shared" si="137"/>
        <v>124.47458333333634</v>
      </c>
      <c r="AN868" s="12">
        <f t="shared" si="138"/>
        <v>45664</v>
      </c>
      <c r="AO868">
        <f t="shared" si="139"/>
        <v>1</v>
      </c>
    </row>
    <row r="869" spans="1:41" x14ac:dyDescent="0.35">
      <c r="A869" t="s">
        <v>23</v>
      </c>
      <c r="B869" t="s">
        <v>1919</v>
      </c>
      <c r="C869" t="s">
        <v>36</v>
      </c>
      <c r="D869" t="s">
        <v>44</v>
      </c>
      <c r="E869" t="s">
        <v>45</v>
      </c>
      <c r="F869" t="s">
        <v>1719</v>
      </c>
      <c r="H869" t="s">
        <v>1920</v>
      </c>
      <c r="I869" t="s">
        <v>30</v>
      </c>
      <c r="J869" t="s">
        <v>70</v>
      </c>
      <c r="K869" t="s">
        <v>38</v>
      </c>
      <c r="L869" t="s">
        <v>39</v>
      </c>
      <c r="N869" s="2">
        <v>45509.698831018519</v>
      </c>
      <c r="O869" s="2"/>
      <c r="P869" s="2"/>
      <c r="Q869" s="2">
        <v>45629</v>
      </c>
      <c r="R869" s="2">
        <v>45629.759808668983</v>
      </c>
      <c r="T869" s="2"/>
      <c r="U869" s="2"/>
      <c r="V869" s="2"/>
      <c r="W869" s="2"/>
      <c r="X869" s="3" t="str">
        <f t="shared" si="130"/>
        <v/>
      </c>
      <c r="Y869" t="str">
        <f t="shared" si="131"/>
        <v/>
      </c>
      <c r="Z869">
        <f t="shared" si="132"/>
        <v>0</v>
      </c>
      <c r="AA869">
        <f t="shared" si="133"/>
        <v>119.30116898148117</v>
      </c>
      <c r="AB869">
        <f t="shared" si="134"/>
        <v>119.30116898148117</v>
      </c>
      <c r="AC869">
        <f>IFERROR(_xlfn.XLOOKUP(B869, HoldSummary!$A:$A, HoldSummary!B:B), 0)</f>
        <v>0</v>
      </c>
      <c r="AD869">
        <f>IFERROR(_xlfn.XLOOKUP(B869, HoldSummary!$A:$A, HoldSummary!C:C), 0)</f>
        <v>0</v>
      </c>
      <c r="AE869">
        <f>IFERROR(_xlfn.XLOOKUP(B869, HoldSummary!$A:$A, HoldSummary!D:D), 0)</f>
        <v>0</v>
      </c>
      <c r="AF869">
        <f>IFERROR(_xlfn.XLOOKUP(B869, HoldSummary!$A:$A, HoldSummary!E:E), 0)</f>
        <v>0</v>
      </c>
      <c r="AG869">
        <f>IFERROR(_xlfn.XLOOKUP(B869, HoldSummary!$A:$A, HoldSummary!F:F), 0)</f>
        <v>0</v>
      </c>
      <c r="AH869">
        <f>IFERROR(_xlfn.XLOOKUP(B869, HoldSummary!$A:$A, HoldSummary!G:G), 0)</f>
        <v>0</v>
      </c>
      <c r="AI869">
        <f>IFERROR(_xlfn.XLOOKUP(B869, HoldSummary!$A:$A, HoldSummary!H:H), 0)</f>
        <v>0</v>
      </c>
      <c r="AJ869">
        <f>IFERROR(_xlfn.XLOOKUP(B869, HoldSummary!$A:$A, HoldSummary!I:I), 0)</f>
        <v>0</v>
      </c>
      <c r="AK869">
        <f t="shared" si="135"/>
        <v>0</v>
      </c>
      <c r="AL869">
        <f t="shared" si="136"/>
        <v>119.30116898148117</v>
      </c>
      <c r="AM869">
        <f t="shared" si="137"/>
        <v>119.30116898148117</v>
      </c>
      <c r="AN869" s="12">
        <f t="shared" si="138"/>
        <v>45629</v>
      </c>
      <c r="AO869">
        <f t="shared" si="139"/>
        <v>1</v>
      </c>
    </row>
    <row r="870" spans="1:41" x14ac:dyDescent="0.35">
      <c r="A870" t="s">
        <v>23</v>
      </c>
      <c r="B870" t="s">
        <v>1921</v>
      </c>
      <c r="C870" t="s">
        <v>43</v>
      </c>
      <c r="D870" t="s">
        <v>44</v>
      </c>
      <c r="E870" t="s">
        <v>45</v>
      </c>
      <c r="F870" t="s">
        <v>1719</v>
      </c>
      <c r="H870" t="s">
        <v>1922</v>
      </c>
      <c r="I870" t="s">
        <v>30</v>
      </c>
      <c r="J870" t="s">
        <v>31</v>
      </c>
      <c r="K870" t="s">
        <v>48</v>
      </c>
      <c r="L870" t="s">
        <v>39</v>
      </c>
      <c r="N870" s="2">
        <v>45545.608657407407</v>
      </c>
      <c r="O870" s="2"/>
      <c r="P870" s="2"/>
      <c r="Q870" s="2">
        <v>45554</v>
      </c>
      <c r="R870" s="2">
        <v>45554.79903234954</v>
      </c>
      <c r="T870" s="2"/>
      <c r="U870" s="2"/>
      <c r="V870" s="2"/>
      <c r="W870" s="2"/>
      <c r="X870" s="3" t="str">
        <f t="shared" si="130"/>
        <v/>
      </c>
      <c r="Y870" t="str">
        <f t="shared" si="131"/>
        <v/>
      </c>
      <c r="Z870">
        <f t="shared" si="132"/>
        <v>0</v>
      </c>
      <c r="AA870">
        <f t="shared" si="133"/>
        <v>8.3913425925929914</v>
      </c>
      <c r="AB870">
        <f t="shared" si="134"/>
        <v>8.3913425925929914</v>
      </c>
      <c r="AC870">
        <f>IFERROR(_xlfn.XLOOKUP(B870, HoldSummary!$A:$A, HoldSummary!B:B), 0)</f>
        <v>0</v>
      </c>
      <c r="AD870">
        <f>IFERROR(_xlfn.XLOOKUP(B870, HoldSummary!$A:$A, HoldSummary!C:C), 0)</f>
        <v>0</v>
      </c>
      <c r="AE870">
        <f>IFERROR(_xlfn.XLOOKUP(B870, HoldSummary!$A:$A, HoldSummary!D:D), 0)</f>
        <v>0</v>
      </c>
      <c r="AF870">
        <f>IFERROR(_xlfn.XLOOKUP(B870, HoldSummary!$A:$A, HoldSummary!E:E), 0)</f>
        <v>0</v>
      </c>
      <c r="AG870">
        <f>IFERROR(_xlfn.XLOOKUP(B870, HoldSummary!$A:$A, HoldSummary!F:F), 0)</f>
        <v>0</v>
      </c>
      <c r="AH870">
        <f>IFERROR(_xlfn.XLOOKUP(B870, HoldSummary!$A:$A, HoldSummary!G:G), 0)</f>
        <v>0</v>
      </c>
      <c r="AI870">
        <f>IFERROR(_xlfn.XLOOKUP(B870, HoldSummary!$A:$A, HoldSummary!H:H), 0)</f>
        <v>0</v>
      </c>
      <c r="AJ870">
        <f>IFERROR(_xlfn.XLOOKUP(B870, HoldSummary!$A:$A, HoldSummary!I:I), 0)</f>
        <v>0</v>
      </c>
      <c r="AK870">
        <f t="shared" si="135"/>
        <v>0</v>
      </c>
      <c r="AL870">
        <f t="shared" si="136"/>
        <v>8.3913425925929914</v>
      </c>
      <c r="AM870">
        <f t="shared" si="137"/>
        <v>8.3913425925929914</v>
      </c>
      <c r="AN870" s="12">
        <f t="shared" si="138"/>
        <v>45554</v>
      </c>
      <c r="AO870">
        <f t="shared" si="139"/>
        <v>1</v>
      </c>
    </row>
    <row r="871" spans="1:41" x14ac:dyDescent="0.35">
      <c r="A871" t="s">
        <v>23</v>
      </c>
      <c r="B871">
        <v>107594</v>
      </c>
      <c r="C871" t="s">
        <v>76</v>
      </c>
      <c r="D871" t="s">
        <v>44</v>
      </c>
      <c r="E871" t="s">
        <v>55</v>
      </c>
      <c r="F871" t="s">
        <v>1719</v>
      </c>
      <c r="H871" t="s">
        <v>1923</v>
      </c>
      <c r="I871" t="s">
        <v>30</v>
      </c>
      <c r="J871" t="s">
        <v>31</v>
      </c>
      <c r="K871" t="s">
        <v>57</v>
      </c>
      <c r="L871" t="s">
        <v>39</v>
      </c>
      <c r="M871" t="s">
        <v>81</v>
      </c>
      <c r="N871" s="2">
        <v>45516.166666666664</v>
      </c>
      <c r="O871" s="2"/>
      <c r="P871" s="2"/>
      <c r="Q871" s="2">
        <v>45603</v>
      </c>
      <c r="R871" s="2">
        <v>45603.807507175923</v>
      </c>
      <c r="T871" s="2">
        <v>45561.166666666664</v>
      </c>
      <c r="U871" s="2">
        <v>45562.166666666664</v>
      </c>
      <c r="V871" s="2">
        <v>45562.166666666664</v>
      </c>
      <c r="W871" s="2">
        <v>45565.166666666664</v>
      </c>
      <c r="X871" s="3">
        <f t="shared" si="130"/>
        <v>1</v>
      </c>
      <c r="Y871">
        <f t="shared" si="131"/>
        <v>3</v>
      </c>
      <c r="Z871">
        <f t="shared" si="132"/>
        <v>4</v>
      </c>
      <c r="AA871">
        <f t="shared" si="133"/>
        <v>86.833333333335759</v>
      </c>
      <c r="AB871">
        <f t="shared" si="134"/>
        <v>82.833333333335759</v>
      </c>
      <c r="AC871">
        <f>IFERROR(_xlfn.XLOOKUP(B871, HoldSummary!$A:$A, HoldSummary!B:B), 0)</f>
        <v>0</v>
      </c>
      <c r="AD871">
        <f>IFERROR(_xlfn.XLOOKUP(B871, HoldSummary!$A:$A, HoldSummary!C:C), 0)</f>
        <v>0</v>
      </c>
      <c r="AE871">
        <f>IFERROR(_xlfn.XLOOKUP(B871, HoldSummary!$A:$A, HoldSummary!D:D), 0)</f>
        <v>0</v>
      </c>
      <c r="AF871">
        <f>IFERROR(_xlfn.XLOOKUP(B871, HoldSummary!$A:$A, HoldSummary!E:E), 0)</f>
        <v>0</v>
      </c>
      <c r="AG871">
        <f>IFERROR(_xlfn.XLOOKUP(B871, HoldSummary!$A:$A, HoldSummary!F:F), 0)</f>
        <v>0</v>
      </c>
      <c r="AH871">
        <f>IFERROR(_xlfn.XLOOKUP(B871, HoldSummary!$A:$A, HoldSummary!G:G), 0)</f>
        <v>0</v>
      </c>
      <c r="AI871">
        <f>IFERROR(_xlfn.XLOOKUP(B871, HoldSummary!$A:$A, HoldSummary!H:H), 0)</f>
        <v>0</v>
      </c>
      <c r="AJ871">
        <f>IFERROR(_xlfn.XLOOKUP(B871, HoldSummary!$A:$A, HoldSummary!I:I), 0)</f>
        <v>0</v>
      </c>
      <c r="AK871">
        <f t="shared" si="135"/>
        <v>0</v>
      </c>
      <c r="AL871">
        <f t="shared" si="136"/>
        <v>86.833333333335759</v>
      </c>
      <c r="AM871">
        <f t="shared" si="137"/>
        <v>82.833333333335759</v>
      </c>
      <c r="AN871" s="12">
        <f t="shared" si="138"/>
        <v>45603</v>
      </c>
      <c r="AO871">
        <f t="shared" si="139"/>
        <v>1</v>
      </c>
    </row>
    <row r="872" spans="1:41" x14ac:dyDescent="0.35">
      <c r="A872" t="s">
        <v>23</v>
      </c>
      <c r="B872" t="s">
        <v>1924</v>
      </c>
      <c r="C872" t="s">
        <v>76</v>
      </c>
      <c r="D872" t="s">
        <v>44</v>
      </c>
      <c r="E872" t="s">
        <v>45</v>
      </c>
      <c r="F872" t="s">
        <v>1719</v>
      </c>
      <c r="H872" t="s">
        <v>1925</v>
      </c>
      <c r="I872" t="s">
        <v>30</v>
      </c>
      <c r="J872" t="s">
        <v>31</v>
      </c>
      <c r="K872" t="s">
        <v>48</v>
      </c>
      <c r="L872" t="s">
        <v>49</v>
      </c>
      <c r="M872" t="s">
        <v>33</v>
      </c>
      <c r="N872" s="2">
        <v>45511.721226851849</v>
      </c>
      <c r="O872" s="2"/>
      <c r="P872" s="2"/>
      <c r="Q872" s="2">
        <v>45600</v>
      </c>
      <c r="R872" s="2">
        <v>45601.588344629628</v>
      </c>
      <c r="S872" t="s">
        <v>751</v>
      </c>
      <c r="T872" s="2"/>
      <c r="U872" s="2"/>
      <c r="V872" s="2"/>
      <c r="W872" s="2"/>
      <c r="X872" s="3" t="str">
        <f t="shared" si="130"/>
        <v/>
      </c>
      <c r="Y872" t="str">
        <f t="shared" si="131"/>
        <v/>
      </c>
      <c r="Z872">
        <f t="shared" si="132"/>
        <v>0</v>
      </c>
      <c r="AA872">
        <f t="shared" si="133"/>
        <v>88.278773148151231</v>
      </c>
      <c r="AB872">
        <f t="shared" si="134"/>
        <v>88.278773148151231</v>
      </c>
      <c r="AC872">
        <f>IFERROR(_xlfn.XLOOKUP(B872, HoldSummary!$A:$A, HoldSummary!B:B), 0)</f>
        <v>0</v>
      </c>
      <c r="AD872">
        <f>IFERROR(_xlfn.XLOOKUP(B872, HoldSummary!$A:$A, HoldSummary!C:C), 0)</f>
        <v>4.9938314699102193</v>
      </c>
      <c r="AE872">
        <f>IFERROR(_xlfn.XLOOKUP(B872, HoldSummary!$A:$A, HoldSummary!D:D), 0)</f>
        <v>0</v>
      </c>
      <c r="AF872">
        <f>IFERROR(_xlfn.XLOOKUP(B872, HoldSummary!$A:$A, HoldSummary!E:E), 0)</f>
        <v>0</v>
      </c>
      <c r="AG872">
        <f>IFERROR(_xlfn.XLOOKUP(B872, HoldSummary!$A:$A, HoldSummary!F:F), 0)</f>
        <v>0</v>
      </c>
      <c r="AH872">
        <f>IFERROR(_xlfn.XLOOKUP(B872, HoldSummary!$A:$A, HoldSummary!G:G), 0)</f>
        <v>0</v>
      </c>
      <c r="AI872">
        <f>IFERROR(_xlfn.XLOOKUP(B872, HoldSummary!$A:$A, HoldSummary!H:H), 0)</f>
        <v>0</v>
      </c>
      <c r="AJ872">
        <f>IFERROR(_xlfn.XLOOKUP(B872, HoldSummary!$A:$A, HoldSummary!I:I), 0)</f>
        <v>0</v>
      </c>
      <c r="AK872">
        <f t="shared" si="135"/>
        <v>4.9938314699102193</v>
      </c>
      <c r="AL872">
        <f t="shared" si="136"/>
        <v>83.284941678241012</v>
      </c>
      <c r="AM872">
        <f t="shared" si="137"/>
        <v>83.284941678241012</v>
      </c>
      <c r="AN872" s="12">
        <f t="shared" si="138"/>
        <v>45600</v>
      </c>
      <c r="AO872">
        <f t="shared" si="139"/>
        <v>1</v>
      </c>
    </row>
    <row r="873" spans="1:41" s="50" customFormat="1" x14ac:dyDescent="0.35">
      <c r="A873" t="s">
        <v>23</v>
      </c>
      <c r="B873" t="s">
        <v>1926</v>
      </c>
      <c r="C873" t="s">
        <v>43</v>
      </c>
      <c r="D873" t="s">
        <v>44</v>
      </c>
      <c r="E873" t="s">
        <v>27</v>
      </c>
      <c r="F873" t="s">
        <v>1719</v>
      </c>
      <c r="G873"/>
      <c r="H873" t="s">
        <v>1927</v>
      </c>
      <c r="I873" t="s">
        <v>30</v>
      </c>
      <c r="J873" t="s">
        <v>70</v>
      </c>
      <c r="K873" t="s">
        <v>38</v>
      </c>
      <c r="L873" t="s">
        <v>39</v>
      </c>
      <c r="M873"/>
      <c r="N873" s="2">
        <v>45553.55841435185</v>
      </c>
      <c r="O873" s="2"/>
      <c r="P873" s="2"/>
      <c r="Q873" s="2">
        <v>45621</v>
      </c>
      <c r="R873" s="2">
        <v>45621.831535046294</v>
      </c>
      <c r="S873"/>
      <c r="T873" s="2"/>
      <c r="U873" s="2"/>
      <c r="V873" s="2"/>
      <c r="W873" s="2"/>
      <c r="X873" s="3" t="str">
        <f t="shared" si="130"/>
        <v/>
      </c>
      <c r="Y873" t="str">
        <f t="shared" si="131"/>
        <v/>
      </c>
      <c r="Z873">
        <f t="shared" si="132"/>
        <v>0</v>
      </c>
      <c r="AA873">
        <f t="shared" si="133"/>
        <v>67.441585648150067</v>
      </c>
      <c r="AB873">
        <f t="shared" si="134"/>
        <v>67.441585648150067</v>
      </c>
      <c r="AC873">
        <f>IFERROR(_xlfn.XLOOKUP(B873, HoldSummary!$A:$A, HoldSummary!B:B), 0)</f>
        <v>0</v>
      </c>
      <c r="AD873">
        <f>IFERROR(_xlfn.XLOOKUP(B873, HoldSummary!$A:$A, HoldSummary!C:C), 0)</f>
        <v>0</v>
      </c>
      <c r="AE873">
        <f>IFERROR(_xlfn.XLOOKUP(B873, HoldSummary!$A:$A, HoldSummary!D:D), 0)</f>
        <v>0</v>
      </c>
      <c r="AF873">
        <f>IFERROR(_xlfn.XLOOKUP(B873, HoldSummary!$A:$A, HoldSummary!E:E), 0)</f>
        <v>0</v>
      </c>
      <c r="AG873">
        <f>IFERROR(_xlfn.XLOOKUP(B873, HoldSummary!$A:$A, HoldSummary!F:F), 0)</f>
        <v>0</v>
      </c>
      <c r="AH873">
        <f>IFERROR(_xlfn.XLOOKUP(B873, HoldSummary!$A:$A, HoldSummary!G:G), 0)</f>
        <v>0</v>
      </c>
      <c r="AI873">
        <f>IFERROR(_xlfn.XLOOKUP(B873, HoldSummary!$A:$A, HoldSummary!H:H), 0)</f>
        <v>0</v>
      </c>
      <c r="AJ873">
        <f>IFERROR(_xlfn.XLOOKUP(B873, HoldSummary!$A:$A, HoldSummary!I:I), 0)</f>
        <v>0</v>
      </c>
      <c r="AK873">
        <f t="shared" si="135"/>
        <v>0</v>
      </c>
      <c r="AL873">
        <f t="shared" si="136"/>
        <v>67.441585648150067</v>
      </c>
      <c r="AM873">
        <f t="shared" si="137"/>
        <v>67.441585648150067</v>
      </c>
      <c r="AN873" s="12">
        <f t="shared" si="138"/>
        <v>45621</v>
      </c>
      <c r="AO873">
        <f t="shared" si="139"/>
        <v>1</v>
      </c>
    </row>
    <row r="874" spans="1:41" x14ac:dyDescent="0.35">
      <c r="A874" t="s">
        <v>23</v>
      </c>
      <c r="B874">
        <v>108493</v>
      </c>
      <c r="C874" t="s">
        <v>43</v>
      </c>
      <c r="D874" t="s">
        <v>44</v>
      </c>
      <c r="E874" t="s">
        <v>55</v>
      </c>
      <c r="F874" t="s">
        <v>1719</v>
      </c>
      <c r="H874" t="s">
        <v>1928</v>
      </c>
      <c r="I874" t="s">
        <v>30</v>
      </c>
      <c r="J874" t="s">
        <v>31</v>
      </c>
      <c r="K874" t="s">
        <v>57</v>
      </c>
      <c r="L874" t="s">
        <v>39</v>
      </c>
      <c r="N874" s="2">
        <v>45555.166666666664</v>
      </c>
      <c r="O874" s="2"/>
      <c r="P874" s="2"/>
      <c r="Q874" s="2">
        <v>45561</v>
      </c>
      <c r="R874" s="2">
        <v>45561.803582233799</v>
      </c>
      <c r="T874" s="2"/>
      <c r="U874" s="2"/>
      <c r="V874" s="2"/>
      <c r="W874" s="2"/>
      <c r="X874" s="3" t="str">
        <f t="shared" si="130"/>
        <v/>
      </c>
      <c r="Y874" t="str">
        <f t="shared" si="131"/>
        <v/>
      </c>
      <c r="Z874">
        <f t="shared" si="132"/>
        <v>0</v>
      </c>
      <c r="AA874">
        <f t="shared" si="133"/>
        <v>5.8333333333357587</v>
      </c>
      <c r="AB874">
        <f t="shared" si="134"/>
        <v>5.8333333333357587</v>
      </c>
      <c r="AC874">
        <f>IFERROR(_xlfn.XLOOKUP(B874, HoldSummary!$A:$A, HoldSummary!B:B), 0)</f>
        <v>0</v>
      </c>
      <c r="AD874">
        <f>IFERROR(_xlfn.XLOOKUP(B874, HoldSummary!$A:$A, HoldSummary!C:C), 0)</f>
        <v>0</v>
      </c>
      <c r="AE874">
        <f>IFERROR(_xlfn.XLOOKUP(B874, HoldSummary!$A:$A, HoldSummary!D:D), 0)</f>
        <v>0</v>
      </c>
      <c r="AF874">
        <f>IFERROR(_xlfn.XLOOKUP(B874, HoldSummary!$A:$A, HoldSummary!E:E), 0)</f>
        <v>0</v>
      </c>
      <c r="AG874">
        <f>IFERROR(_xlfn.XLOOKUP(B874, HoldSummary!$A:$A, HoldSummary!F:F), 0)</f>
        <v>0</v>
      </c>
      <c r="AH874">
        <f>IFERROR(_xlfn.XLOOKUP(B874, HoldSummary!$A:$A, HoldSummary!G:G), 0)</f>
        <v>0</v>
      </c>
      <c r="AI874">
        <f>IFERROR(_xlfn.XLOOKUP(B874, HoldSummary!$A:$A, HoldSummary!H:H), 0)</f>
        <v>0</v>
      </c>
      <c r="AJ874">
        <f>IFERROR(_xlfn.XLOOKUP(B874, HoldSummary!$A:$A, HoldSummary!I:I), 0)</f>
        <v>0</v>
      </c>
      <c r="AK874">
        <f t="shared" si="135"/>
        <v>0</v>
      </c>
      <c r="AL874">
        <f t="shared" si="136"/>
        <v>5.8333333333357587</v>
      </c>
      <c r="AM874">
        <f t="shared" si="137"/>
        <v>5.8333333333357587</v>
      </c>
      <c r="AN874" s="12">
        <f t="shared" si="138"/>
        <v>45561</v>
      </c>
      <c r="AO874">
        <f t="shared" si="139"/>
        <v>1</v>
      </c>
    </row>
    <row r="875" spans="1:41" x14ac:dyDescent="0.35">
      <c r="A875" t="s">
        <v>23</v>
      </c>
      <c r="B875" t="s">
        <v>1929</v>
      </c>
      <c r="C875" t="s">
        <v>1930</v>
      </c>
      <c r="D875" t="s">
        <v>44</v>
      </c>
      <c r="E875" t="s">
        <v>44</v>
      </c>
      <c r="F875" t="s">
        <v>1719</v>
      </c>
      <c r="H875" t="s">
        <v>1931</v>
      </c>
      <c r="I875" t="s">
        <v>30</v>
      </c>
      <c r="J875" t="s">
        <v>31</v>
      </c>
      <c r="K875" t="s">
        <v>48</v>
      </c>
      <c r="M875" t="s">
        <v>33</v>
      </c>
      <c r="N875" s="2">
        <v>45567.166666666664</v>
      </c>
      <c r="O875" s="2"/>
      <c r="P875" s="2"/>
      <c r="Q875" s="2">
        <v>45573</v>
      </c>
      <c r="R875" s="2">
        <v>45573.613499722225</v>
      </c>
      <c r="T875" s="2"/>
      <c r="U875" s="2"/>
      <c r="V875" s="2"/>
      <c r="W875" s="2"/>
      <c r="X875" s="3" t="str">
        <f t="shared" si="130"/>
        <v/>
      </c>
      <c r="Y875" t="str">
        <f t="shared" si="131"/>
        <v/>
      </c>
      <c r="Z875">
        <f t="shared" si="132"/>
        <v>0</v>
      </c>
      <c r="AA875">
        <f t="shared" si="133"/>
        <v>5.8333333333357587</v>
      </c>
      <c r="AB875">
        <f t="shared" si="134"/>
        <v>5.8333333333357587</v>
      </c>
      <c r="AC875">
        <f>IFERROR(_xlfn.XLOOKUP(B875, HoldSummary!$A:$A, HoldSummary!B:B), 0)</f>
        <v>0</v>
      </c>
      <c r="AD875">
        <f>IFERROR(_xlfn.XLOOKUP(B875, HoldSummary!$A:$A, HoldSummary!C:C), 0)</f>
        <v>0</v>
      </c>
      <c r="AE875">
        <f>IFERROR(_xlfn.XLOOKUP(B875, HoldSummary!$A:$A, HoldSummary!D:D), 0)</f>
        <v>0</v>
      </c>
      <c r="AF875">
        <f>IFERROR(_xlfn.XLOOKUP(B875, HoldSummary!$A:$A, HoldSummary!E:E), 0)</f>
        <v>0</v>
      </c>
      <c r="AG875">
        <f>IFERROR(_xlfn.XLOOKUP(B875, HoldSummary!$A:$A, HoldSummary!F:F), 0)</f>
        <v>0</v>
      </c>
      <c r="AH875">
        <f>IFERROR(_xlfn.XLOOKUP(B875, HoldSummary!$A:$A, HoldSummary!G:G), 0)</f>
        <v>0</v>
      </c>
      <c r="AI875">
        <f>IFERROR(_xlfn.XLOOKUP(B875, HoldSummary!$A:$A, HoldSummary!H:H), 0)</f>
        <v>0</v>
      </c>
      <c r="AJ875">
        <f>IFERROR(_xlfn.XLOOKUP(B875, HoldSummary!$A:$A, HoldSummary!I:I), 0)</f>
        <v>0</v>
      </c>
      <c r="AK875">
        <f t="shared" si="135"/>
        <v>0</v>
      </c>
      <c r="AL875">
        <f t="shared" si="136"/>
        <v>5.8333333333357587</v>
      </c>
      <c r="AM875">
        <f t="shared" si="137"/>
        <v>5.8333333333357587</v>
      </c>
      <c r="AN875" s="12">
        <f t="shared" si="138"/>
        <v>45573</v>
      </c>
      <c r="AO875">
        <f t="shared" si="139"/>
        <v>1</v>
      </c>
    </row>
    <row r="876" spans="1:41" x14ac:dyDescent="0.35">
      <c r="A876" t="s">
        <v>23</v>
      </c>
      <c r="B876" t="s">
        <v>1932</v>
      </c>
      <c r="C876" t="s">
        <v>461</v>
      </c>
      <c r="D876" t="s">
        <v>44</v>
      </c>
      <c r="E876" t="s">
        <v>45</v>
      </c>
      <c r="F876" t="s">
        <v>1719</v>
      </c>
      <c r="H876" t="s">
        <v>1933</v>
      </c>
      <c r="I876" t="s">
        <v>30</v>
      </c>
      <c r="J876" t="s">
        <v>31</v>
      </c>
      <c r="K876" t="s">
        <v>48</v>
      </c>
      <c r="L876" t="s">
        <v>39</v>
      </c>
      <c r="N876" s="2">
        <v>45572.68513888889</v>
      </c>
      <c r="O876" s="2"/>
      <c r="P876" s="2"/>
      <c r="Q876" s="2">
        <v>45581</v>
      </c>
      <c r="R876" s="2">
        <v>45583.522282662037</v>
      </c>
      <c r="T876" s="2"/>
      <c r="U876" s="2"/>
      <c r="V876" s="2"/>
      <c r="W876" s="2"/>
      <c r="X876" s="3" t="str">
        <f t="shared" si="130"/>
        <v/>
      </c>
      <c r="Y876" t="str">
        <f t="shared" si="131"/>
        <v/>
      </c>
      <c r="Z876">
        <f t="shared" si="132"/>
        <v>0</v>
      </c>
      <c r="AA876">
        <f t="shared" si="133"/>
        <v>8.3148611111100763</v>
      </c>
      <c r="AB876">
        <f t="shared" si="134"/>
        <v>8.3148611111100763</v>
      </c>
      <c r="AC876">
        <f>IFERROR(_xlfn.XLOOKUP(B876, HoldSummary!$A:$A, HoldSummary!B:B), 0)</f>
        <v>0</v>
      </c>
      <c r="AD876">
        <f>IFERROR(_xlfn.XLOOKUP(B876, HoldSummary!$A:$A, HoldSummary!C:C), 0)</f>
        <v>0</v>
      </c>
      <c r="AE876">
        <f>IFERROR(_xlfn.XLOOKUP(B876, HoldSummary!$A:$A, HoldSummary!D:D), 0)</f>
        <v>0</v>
      </c>
      <c r="AF876">
        <f>IFERROR(_xlfn.XLOOKUP(B876, HoldSummary!$A:$A, HoldSummary!E:E), 0)</f>
        <v>0</v>
      </c>
      <c r="AG876">
        <f>IFERROR(_xlfn.XLOOKUP(B876, HoldSummary!$A:$A, HoldSummary!F:F), 0)</f>
        <v>0</v>
      </c>
      <c r="AH876">
        <f>IFERROR(_xlfn.XLOOKUP(B876, HoldSummary!$A:$A, HoldSummary!G:G), 0)</f>
        <v>0</v>
      </c>
      <c r="AI876">
        <f>IFERROR(_xlfn.XLOOKUP(B876, HoldSummary!$A:$A, HoldSummary!H:H), 0)</f>
        <v>0</v>
      </c>
      <c r="AJ876">
        <f>IFERROR(_xlfn.XLOOKUP(B876, HoldSummary!$A:$A, HoldSummary!I:I), 0)</f>
        <v>0</v>
      </c>
      <c r="AK876">
        <f t="shared" si="135"/>
        <v>0</v>
      </c>
      <c r="AL876">
        <f t="shared" si="136"/>
        <v>8.3148611111100763</v>
      </c>
      <c r="AM876">
        <f t="shared" si="137"/>
        <v>8.3148611111100763</v>
      </c>
      <c r="AN876" s="12">
        <f t="shared" si="138"/>
        <v>45581</v>
      </c>
      <c r="AO876">
        <f t="shared" si="139"/>
        <v>1</v>
      </c>
    </row>
    <row r="877" spans="1:41" x14ac:dyDescent="0.35">
      <c r="A877" t="s">
        <v>23</v>
      </c>
      <c r="B877" t="s">
        <v>1934</v>
      </c>
      <c r="C877" t="s">
        <v>36</v>
      </c>
      <c r="D877" t="s">
        <v>44</v>
      </c>
      <c r="E877" t="s">
        <v>45</v>
      </c>
      <c r="F877" t="s">
        <v>1719</v>
      </c>
      <c r="H877" t="s">
        <v>1935</v>
      </c>
      <c r="I877" t="s">
        <v>30</v>
      </c>
      <c r="J877" t="s">
        <v>31</v>
      </c>
      <c r="K877" t="s">
        <v>38</v>
      </c>
      <c r="L877" t="s">
        <v>39</v>
      </c>
      <c r="N877" s="2">
        <v>45551.769594907404</v>
      </c>
      <c r="O877" s="2"/>
      <c r="P877" s="2"/>
      <c r="Q877" s="2">
        <v>45665</v>
      </c>
      <c r="R877" s="2">
        <v>45670.879327858798</v>
      </c>
      <c r="T877" s="2"/>
      <c r="U877" s="2"/>
      <c r="V877" s="2"/>
      <c r="W877" s="2"/>
      <c r="X877" s="3" t="str">
        <f t="shared" si="130"/>
        <v/>
      </c>
      <c r="Y877" t="str">
        <f t="shared" si="131"/>
        <v/>
      </c>
      <c r="Z877">
        <f t="shared" si="132"/>
        <v>0</v>
      </c>
      <c r="AA877">
        <f t="shared" si="133"/>
        <v>113.2304050925959</v>
      </c>
      <c r="AB877">
        <f t="shared" si="134"/>
        <v>113.2304050925959</v>
      </c>
      <c r="AC877">
        <f>IFERROR(_xlfn.XLOOKUP(B877, HoldSummary!$A:$A, HoldSummary!B:B), 0)</f>
        <v>0</v>
      </c>
      <c r="AD877">
        <f>IFERROR(_xlfn.XLOOKUP(B877, HoldSummary!$A:$A, HoldSummary!C:C), 0)</f>
        <v>0</v>
      </c>
      <c r="AE877">
        <f>IFERROR(_xlfn.XLOOKUP(B877, HoldSummary!$A:$A, HoldSummary!D:D), 0)</f>
        <v>0</v>
      </c>
      <c r="AF877">
        <f>IFERROR(_xlfn.XLOOKUP(B877, HoldSummary!$A:$A, HoldSummary!E:E), 0)</f>
        <v>0</v>
      </c>
      <c r="AG877">
        <f>IFERROR(_xlfn.XLOOKUP(B877, HoldSummary!$A:$A, HoldSummary!F:F), 0)</f>
        <v>0</v>
      </c>
      <c r="AH877">
        <f>IFERROR(_xlfn.XLOOKUP(B877, HoldSummary!$A:$A, HoldSummary!G:G), 0)</f>
        <v>0</v>
      </c>
      <c r="AI877">
        <f>IFERROR(_xlfn.XLOOKUP(B877, HoldSummary!$A:$A, HoldSummary!H:H), 0)</f>
        <v>0</v>
      </c>
      <c r="AJ877">
        <f>IFERROR(_xlfn.XLOOKUP(B877, HoldSummary!$A:$A, HoldSummary!I:I), 0)</f>
        <v>0</v>
      </c>
      <c r="AK877">
        <f t="shared" si="135"/>
        <v>0</v>
      </c>
      <c r="AL877">
        <f t="shared" si="136"/>
        <v>113.2304050925959</v>
      </c>
      <c r="AM877">
        <f t="shared" si="137"/>
        <v>113.2304050925959</v>
      </c>
      <c r="AN877" s="12">
        <f t="shared" si="138"/>
        <v>45665</v>
      </c>
      <c r="AO877">
        <f t="shared" si="139"/>
        <v>1</v>
      </c>
    </row>
    <row r="878" spans="1:41" x14ac:dyDescent="0.35">
      <c r="A878" t="s">
        <v>23</v>
      </c>
      <c r="B878" t="s">
        <v>1936</v>
      </c>
      <c r="C878" t="s">
        <v>76</v>
      </c>
      <c r="D878" t="s">
        <v>44</v>
      </c>
      <c r="E878" t="s">
        <v>27</v>
      </c>
      <c r="F878" t="s">
        <v>1719</v>
      </c>
      <c r="H878" t="s">
        <v>1937</v>
      </c>
      <c r="I878" t="s">
        <v>30</v>
      </c>
      <c r="J878" t="s">
        <v>31</v>
      </c>
      <c r="K878" t="s">
        <v>38</v>
      </c>
      <c r="L878" t="s">
        <v>39</v>
      </c>
      <c r="M878" t="s">
        <v>140</v>
      </c>
      <c r="N878" s="2">
        <v>45547.869305555556</v>
      </c>
      <c r="O878" s="2"/>
      <c r="P878" s="2"/>
      <c r="Q878" s="2">
        <v>45608</v>
      </c>
      <c r="R878" s="2">
        <v>45608.831553194446</v>
      </c>
      <c r="T878" s="2">
        <v>45603.208333333336</v>
      </c>
      <c r="U878" s="2">
        <v>45604.208333333336</v>
      </c>
      <c r="V878" s="2">
        <v>45604.208333333336</v>
      </c>
      <c r="W878" s="2">
        <v>45607.208333333336</v>
      </c>
      <c r="X878" s="3">
        <f t="shared" si="130"/>
        <v>1</v>
      </c>
      <c r="Y878">
        <f t="shared" si="131"/>
        <v>3</v>
      </c>
      <c r="Z878">
        <f t="shared" si="132"/>
        <v>4</v>
      </c>
      <c r="AA878">
        <f t="shared" si="133"/>
        <v>60.130694444444089</v>
      </c>
      <c r="AB878">
        <f t="shared" si="134"/>
        <v>56.130694444444089</v>
      </c>
      <c r="AC878">
        <f>IFERROR(_xlfn.XLOOKUP(B878, HoldSummary!$A:$A, HoldSummary!B:B), 0)</f>
        <v>4</v>
      </c>
      <c r="AD878">
        <f>IFERROR(_xlfn.XLOOKUP(B878, HoldSummary!$A:$A, HoldSummary!C:C), 0)</f>
        <v>0</v>
      </c>
      <c r="AE878">
        <f>IFERROR(_xlfn.XLOOKUP(B878, HoldSummary!$A:$A, HoldSummary!D:D), 0)</f>
        <v>0</v>
      </c>
      <c r="AF878">
        <f>IFERROR(_xlfn.XLOOKUP(B878, HoldSummary!$A:$A, HoldSummary!E:E), 0)</f>
        <v>0</v>
      </c>
      <c r="AG878">
        <f>IFERROR(_xlfn.XLOOKUP(B878, HoldSummary!$A:$A, HoldSummary!F:F), 0)</f>
        <v>0</v>
      </c>
      <c r="AH878">
        <f>IFERROR(_xlfn.XLOOKUP(B878, HoldSummary!$A:$A, HoldSummary!G:G), 0)</f>
        <v>0</v>
      </c>
      <c r="AI878">
        <f>IFERROR(_xlfn.XLOOKUP(B878, HoldSummary!$A:$A, HoldSummary!H:H), 0)</f>
        <v>0</v>
      </c>
      <c r="AJ878">
        <f>IFERROR(_xlfn.XLOOKUP(B878, HoldSummary!$A:$A, HoldSummary!I:I), 0)</f>
        <v>0</v>
      </c>
      <c r="AK878">
        <f t="shared" si="135"/>
        <v>4</v>
      </c>
      <c r="AL878">
        <f t="shared" si="136"/>
        <v>56.130694444444089</v>
      </c>
      <c r="AM878">
        <f t="shared" si="137"/>
        <v>52.130694444444089</v>
      </c>
      <c r="AN878" s="12">
        <f t="shared" si="138"/>
        <v>45608</v>
      </c>
      <c r="AO878">
        <f t="shared" si="139"/>
        <v>1</v>
      </c>
    </row>
    <row r="879" spans="1:41" x14ac:dyDescent="0.35">
      <c r="A879" t="s">
        <v>23</v>
      </c>
      <c r="B879">
        <v>109098</v>
      </c>
      <c r="C879" t="s">
        <v>461</v>
      </c>
      <c r="D879" t="s">
        <v>44</v>
      </c>
      <c r="E879" t="s">
        <v>55</v>
      </c>
      <c r="F879" t="s">
        <v>1719</v>
      </c>
      <c r="H879" t="s">
        <v>1938</v>
      </c>
      <c r="I879" t="s">
        <v>30</v>
      </c>
      <c r="J879" t="s">
        <v>31</v>
      </c>
      <c r="K879" t="s">
        <v>57</v>
      </c>
      <c r="L879" t="s">
        <v>39</v>
      </c>
      <c r="N879" s="2">
        <v>45587.166666666664</v>
      </c>
      <c r="O879" s="2"/>
      <c r="P879" s="2"/>
      <c r="Q879" s="2">
        <v>45666</v>
      </c>
      <c r="R879" s="2">
        <v>45666.71125497685</v>
      </c>
      <c r="T879" s="2">
        <v>45608.208333333336</v>
      </c>
      <c r="U879" s="2">
        <v>45610.208333333336</v>
      </c>
      <c r="V879" s="2">
        <v>45610.208333333336</v>
      </c>
      <c r="W879" s="2">
        <v>45616.208333333336</v>
      </c>
      <c r="X879" s="3">
        <f t="shared" si="130"/>
        <v>2</v>
      </c>
      <c r="Y879">
        <f t="shared" si="131"/>
        <v>6</v>
      </c>
      <c r="Z879">
        <f t="shared" si="132"/>
        <v>8</v>
      </c>
      <c r="AA879">
        <f t="shared" si="133"/>
        <v>78.833333333335759</v>
      </c>
      <c r="AB879">
        <f t="shared" si="134"/>
        <v>70.833333333335759</v>
      </c>
      <c r="AC879">
        <f>IFERROR(_xlfn.XLOOKUP(B879, HoldSummary!$A:$A, HoldSummary!B:B), 0)</f>
        <v>0</v>
      </c>
      <c r="AD879">
        <f>IFERROR(_xlfn.XLOOKUP(B879, HoldSummary!$A:$A, HoldSummary!C:C), 0)</f>
        <v>2</v>
      </c>
      <c r="AE879">
        <f>IFERROR(_xlfn.XLOOKUP(B879, HoldSummary!$A:$A, HoldSummary!D:D), 0)</f>
        <v>0</v>
      </c>
      <c r="AF879">
        <f>IFERROR(_xlfn.XLOOKUP(B879, HoldSummary!$A:$A, HoldSummary!E:E), 0)</f>
        <v>0</v>
      </c>
      <c r="AG879">
        <f>IFERROR(_xlfn.XLOOKUP(B879, HoldSummary!$A:$A, HoldSummary!F:F), 0)</f>
        <v>2</v>
      </c>
      <c r="AH879">
        <f>IFERROR(_xlfn.XLOOKUP(B879, HoldSummary!$A:$A, HoldSummary!G:G), 0)</f>
        <v>0</v>
      </c>
      <c r="AI879">
        <f>IFERROR(_xlfn.XLOOKUP(B879, HoldSummary!$A:$A, HoldSummary!H:H), 0)</f>
        <v>0</v>
      </c>
      <c r="AJ879">
        <f>IFERROR(_xlfn.XLOOKUP(B879, HoldSummary!$A:$A, HoldSummary!I:I), 0)</f>
        <v>0</v>
      </c>
      <c r="AK879">
        <f t="shared" si="135"/>
        <v>4</v>
      </c>
      <c r="AL879">
        <f t="shared" si="136"/>
        <v>74.833333333335759</v>
      </c>
      <c r="AM879">
        <f t="shared" si="137"/>
        <v>66.833333333335759</v>
      </c>
      <c r="AN879" s="12">
        <f t="shared" si="138"/>
        <v>45666</v>
      </c>
      <c r="AO879">
        <f t="shared" si="139"/>
        <v>1</v>
      </c>
    </row>
    <row r="880" spans="1:41" x14ac:dyDescent="0.35">
      <c r="A880" t="s">
        <v>23</v>
      </c>
      <c r="B880" t="s">
        <v>1939</v>
      </c>
      <c r="C880" t="s">
        <v>36</v>
      </c>
      <c r="D880" t="s">
        <v>44</v>
      </c>
      <c r="E880" t="s">
        <v>45</v>
      </c>
      <c r="F880" t="s">
        <v>1719</v>
      </c>
      <c r="H880" t="s">
        <v>1940</v>
      </c>
      <c r="I880" t="s">
        <v>30</v>
      </c>
      <c r="J880" t="s">
        <v>70</v>
      </c>
      <c r="K880" t="s">
        <v>38</v>
      </c>
      <c r="L880" t="s">
        <v>39</v>
      </c>
      <c r="M880" t="s">
        <v>33</v>
      </c>
      <c r="N880" s="2">
        <v>45608.495567129627</v>
      </c>
      <c r="O880" s="2"/>
      <c r="P880" s="2"/>
      <c r="Q880" s="2">
        <v>45677</v>
      </c>
      <c r="R880" s="2">
        <v>45684.665539479167</v>
      </c>
      <c r="T880" s="2"/>
      <c r="U880" s="2"/>
      <c r="V880" s="2"/>
      <c r="W880" s="2"/>
      <c r="X880" s="3" t="str">
        <f t="shared" si="130"/>
        <v/>
      </c>
      <c r="Y880" t="str">
        <f t="shared" si="131"/>
        <v/>
      </c>
      <c r="Z880">
        <f t="shared" si="132"/>
        <v>0</v>
      </c>
      <c r="AA880">
        <f t="shared" si="133"/>
        <v>68.504432870373421</v>
      </c>
      <c r="AB880">
        <f t="shared" si="134"/>
        <v>68.504432870373421</v>
      </c>
      <c r="AC880">
        <f>IFERROR(_xlfn.XLOOKUP(B880, HoldSummary!$A:$A, HoldSummary!B:B), 0)</f>
        <v>0</v>
      </c>
      <c r="AD880">
        <f>IFERROR(_xlfn.XLOOKUP(B880, HoldSummary!$A:$A, HoldSummary!C:C), 0)</f>
        <v>0</v>
      </c>
      <c r="AE880">
        <f>IFERROR(_xlfn.XLOOKUP(B880, HoldSummary!$A:$A, HoldSummary!D:D), 0)</f>
        <v>0</v>
      </c>
      <c r="AF880">
        <f>IFERROR(_xlfn.XLOOKUP(B880, HoldSummary!$A:$A, HoldSummary!E:E), 0)</f>
        <v>0</v>
      </c>
      <c r="AG880">
        <f>IFERROR(_xlfn.XLOOKUP(B880, HoldSummary!$A:$A, HoldSummary!F:F), 0)</f>
        <v>0</v>
      </c>
      <c r="AH880">
        <f>IFERROR(_xlfn.XLOOKUP(B880, HoldSummary!$A:$A, HoldSummary!G:G), 0)</f>
        <v>0</v>
      </c>
      <c r="AI880">
        <f>IFERROR(_xlfn.XLOOKUP(B880, HoldSummary!$A:$A, HoldSummary!H:H), 0)</f>
        <v>0</v>
      </c>
      <c r="AJ880">
        <f>IFERROR(_xlfn.XLOOKUP(B880, HoldSummary!$A:$A, HoldSummary!I:I), 0)</f>
        <v>0</v>
      </c>
      <c r="AK880">
        <f t="shared" si="135"/>
        <v>0</v>
      </c>
      <c r="AL880">
        <f t="shared" si="136"/>
        <v>68.504432870373421</v>
      </c>
      <c r="AM880">
        <f t="shared" si="137"/>
        <v>68.504432870373421</v>
      </c>
      <c r="AN880" s="12">
        <f t="shared" si="138"/>
        <v>45677</v>
      </c>
      <c r="AO880">
        <f t="shared" si="139"/>
        <v>1</v>
      </c>
    </row>
    <row r="881" spans="1:41" x14ac:dyDescent="0.35">
      <c r="A881" t="s">
        <v>23</v>
      </c>
      <c r="B881" t="s">
        <v>1941</v>
      </c>
      <c r="C881" t="s">
        <v>36</v>
      </c>
      <c r="D881" t="s">
        <v>44</v>
      </c>
      <c r="E881" t="s">
        <v>45</v>
      </c>
      <c r="F881" t="s">
        <v>1719</v>
      </c>
      <c r="H881" t="s">
        <v>1942</v>
      </c>
      <c r="I881" t="s">
        <v>30</v>
      </c>
      <c r="J881" t="s">
        <v>31</v>
      </c>
      <c r="K881" t="s">
        <v>48</v>
      </c>
      <c r="L881" t="s">
        <v>49</v>
      </c>
      <c r="M881" t="s">
        <v>33</v>
      </c>
      <c r="N881" s="2">
        <v>45617.590567129628</v>
      </c>
      <c r="O881" s="2"/>
      <c r="P881" s="2"/>
      <c r="Q881" s="2">
        <v>45618</v>
      </c>
      <c r="R881" s="2">
        <v>45619.034274965277</v>
      </c>
      <c r="T881" s="2">
        <v>45617.208333333336</v>
      </c>
      <c r="U881" s="2">
        <v>45618.208333333336</v>
      </c>
      <c r="V881" s="2">
        <v>45618.208333333336</v>
      </c>
      <c r="W881" s="2">
        <v>45618.208333333336</v>
      </c>
      <c r="X881" s="3">
        <f t="shared" si="130"/>
        <v>1</v>
      </c>
      <c r="Y881">
        <f t="shared" si="131"/>
        <v>0</v>
      </c>
      <c r="Z881">
        <f t="shared" si="132"/>
        <v>1</v>
      </c>
      <c r="AA881">
        <f t="shared" si="133"/>
        <v>0.40943287037225673</v>
      </c>
      <c r="AB881">
        <f t="shared" si="134"/>
        <v>-0.59056712962774327</v>
      </c>
      <c r="AC881">
        <f>IFERROR(_xlfn.XLOOKUP(B881, HoldSummary!$A:$A, HoldSummary!B:B), 0)</f>
        <v>0</v>
      </c>
      <c r="AD881">
        <f>IFERROR(_xlfn.XLOOKUP(B881, HoldSummary!$A:$A, HoldSummary!C:C), 0)</f>
        <v>0</v>
      </c>
      <c r="AE881">
        <f>IFERROR(_xlfn.XLOOKUP(B881, HoldSummary!$A:$A, HoldSummary!D:D), 0)</f>
        <v>0</v>
      </c>
      <c r="AF881">
        <f>IFERROR(_xlfn.XLOOKUP(B881, HoldSummary!$A:$A, HoldSummary!E:E), 0)</f>
        <v>0</v>
      </c>
      <c r="AG881">
        <f>IFERROR(_xlfn.XLOOKUP(B881, HoldSummary!$A:$A, HoldSummary!F:F), 0)</f>
        <v>0</v>
      </c>
      <c r="AH881">
        <f>IFERROR(_xlfn.XLOOKUP(B881, HoldSummary!$A:$A, HoldSummary!G:G), 0)</f>
        <v>0</v>
      </c>
      <c r="AI881">
        <f>IFERROR(_xlfn.XLOOKUP(B881, HoldSummary!$A:$A, HoldSummary!H:H), 0)</f>
        <v>0</v>
      </c>
      <c r="AJ881">
        <f>IFERROR(_xlfn.XLOOKUP(B881, HoldSummary!$A:$A, HoldSummary!I:I), 0)</f>
        <v>0</v>
      </c>
      <c r="AK881">
        <f t="shared" si="135"/>
        <v>0</v>
      </c>
      <c r="AL881">
        <f t="shared" si="136"/>
        <v>0.40943287037225673</v>
      </c>
      <c r="AM881">
        <f t="shared" si="137"/>
        <v>-0.59056712962774327</v>
      </c>
      <c r="AN881" s="12">
        <f t="shared" si="138"/>
        <v>45618</v>
      </c>
      <c r="AO881">
        <f t="shared" si="139"/>
        <v>1</v>
      </c>
    </row>
    <row r="882" spans="1:41" x14ac:dyDescent="0.35">
      <c r="A882" t="s">
        <v>23</v>
      </c>
      <c r="B882" t="s">
        <v>1943</v>
      </c>
      <c r="C882" t="s">
        <v>461</v>
      </c>
      <c r="D882" t="s">
        <v>44</v>
      </c>
      <c r="E882" t="s">
        <v>45</v>
      </c>
      <c r="F882" t="s">
        <v>1719</v>
      </c>
      <c r="H882" t="s">
        <v>1944</v>
      </c>
      <c r="I882" t="s">
        <v>30</v>
      </c>
      <c r="J882" t="s">
        <v>31</v>
      </c>
      <c r="K882" t="s">
        <v>57</v>
      </c>
      <c r="L882" t="s">
        <v>39</v>
      </c>
      <c r="M882" t="s">
        <v>33</v>
      </c>
      <c r="N882" s="2">
        <v>45623.777268518519</v>
      </c>
      <c r="O882" s="2"/>
      <c r="P882" s="2"/>
      <c r="Q882" s="2">
        <v>45635</v>
      </c>
      <c r="R882" s="2">
        <v>45635.918317939817</v>
      </c>
      <c r="T882" s="2"/>
      <c r="U882" s="2"/>
      <c r="V882" s="2"/>
      <c r="W882" s="2"/>
      <c r="X882" s="3" t="str">
        <f t="shared" si="130"/>
        <v/>
      </c>
      <c r="Y882" t="str">
        <f t="shared" si="131"/>
        <v/>
      </c>
      <c r="Z882">
        <f t="shared" si="132"/>
        <v>0</v>
      </c>
      <c r="AA882">
        <f t="shared" si="133"/>
        <v>11.222731481480878</v>
      </c>
      <c r="AB882">
        <f t="shared" si="134"/>
        <v>11.222731481480878</v>
      </c>
      <c r="AC882">
        <f>IFERROR(_xlfn.XLOOKUP(B882, HoldSummary!$A:$A, HoldSummary!B:B), 0)</f>
        <v>0</v>
      </c>
      <c r="AD882">
        <f>IFERROR(_xlfn.XLOOKUP(B882, HoldSummary!$A:$A, HoldSummary!C:C), 0)</f>
        <v>0</v>
      </c>
      <c r="AE882">
        <f>IFERROR(_xlfn.XLOOKUP(B882, HoldSummary!$A:$A, HoldSummary!D:D), 0)</f>
        <v>0</v>
      </c>
      <c r="AF882">
        <f>IFERROR(_xlfn.XLOOKUP(B882, HoldSummary!$A:$A, HoldSummary!E:E), 0)</f>
        <v>0</v>
      </c>
      <c r="AG882">
        <f>IFERROR(_xlfn.XLOOKUP(B882, HoldSummary!$A:$A, HoldSummary!F:F), 0)</f>
        <v>0</v>
      </c>
      <c r="AH882">
        <f>IFERROR(_xlfn.XLOOKUP(B882, HoldSummary!$A:$A, HoldSummary!G:G), 0)</f>
        <v>0</v>
      </c>
      <c r="AI882">
        <f>IFERROR(_xlfn.XLOOKUP(B882, HoldSummary!$A:$A, HoldSummary!H:H), 0)</f>
        <v>0</v>
      </c>
      <c r="AJ882">
        <f>IFERROR(_xlfn.XLOOKUP(B882, HoldSummary!$A:$A, HoldSummary!I:I), 0)</f>
        <v>0</v>
      </c>
      <c r="AK882">
        <f t="shared" si="135"/>
        <v>0</v>
      </c>
      <c r="AL882">
        <f t="shared" si="136"/>
        <v>11.222731481480878</v>
      </c>
      <c r="AM882">
        <f t="shared" si="137"/>
        <v>11.222731481480878</v>
      </c>
      <c r="AN882" s="12">
        <f t="shared" si="138"/>
        <v>45635</v>
      </c>
      <c r="AO882">
        <f t="shared" si="139"/>
        <v>1</v>
      </c>
    </row>
    <row r="883" spans="1:41" x14ac:dyDescent="0.35">
      <c r="A883" t="s">
        <v>23</v>
      </c>
      <c r="B883" t="s">
        <v>1945</v>
      </c>
      <c r="C883" t="s">
        <v>461</v>
      </c>
      <c r="D883" t="s">
        <v>44</v>
      </c>
      <c r="E883" t="s">
        <v>45</v>
      </c>
      <c r="F883" t="s">
        <v>1719</v>
      </c>
      <c r="H883" t="s">
        <v>1946</v>
      </c>
      <c r="I883" t="s">
        <v>30</v>
      </c>
      <c r="J883" t="s">
        <v>31</v>
      </c>
      <c r="K883" t="s">
        <v>38</v>
      </c>
      <c r="L883" t="s">
        <v>39</v>
      </c>
      <c r="N883" s="2">
        <v>45609.563842592594</v>
      </c>
      <c r="O883" s="2"/>
      <c r="P883" s="2"/>
      <c r="Q883" s="2">
        <v>45635</v>
      </c>
      <c r="R883" s="2">
        <v>45635.666669837963</v>
      </c>
      <c r="T883" s="2"/>
      <c r="U883" s="2"/>
      <c r="V883" s="2"/>
      <c r="W883" s="2"/>
      <c r="X883" s="3" t="str">
        <f t="shared" si="130"/>
        <v/>
      </c>
      <c r="Y883" t="str">
        <f t="shared" si="131"/>
        <v/>
      </c>
      <c r="Z883">
        <f t="shared" si="132"/>
        <v>0</v>
      </c>
      <c r="AA883">
        <f t="shared" si="133"/>
        <v>25.436157407406427</v>
      </c>
      <c r="AB883">
        <f t="shared" si="134"/>
        <v>25.436157407406427</v>
      </c>
      <c r="AC883">
        <f>IFERROR(_xlfn.XLOOKUP(B883, HoldSummary!$A:$A, HoldSummary!B:B), 0)</f>
        <v>0</v>
      </c>
      <c r="AD883">
        <f>IFERROR(_xlfn.XLOOKUP(B883, HoldSummary!$A:$A, HoldSummary!C:C), 0)</f>
        <v>0</v>
      </c>
      <c r="AE883">
        <f>IFERROR(_xlfn.XLOOKUP(B883, HoldSummary!$A:$A, HoldSummary!D:D), 0)</f>
        <v>0</v>
      </c>
      <c r="AF883">
        <f>IFERROR(_xlfn.XLOOKUP(B883, HoldSummary!$A:$A, HoldSummary!E:E), 0)</f>
        <v>0</v>
      </c>
      <c r="AG883">
        <f>IFERROR(_xlfn.XLOOKUP(B883, HoldSummary!$A:$A, HoldSummary!F:F), 0)</f>
        <v>0</v>
      </c>
      <c r="AH883">
        <f>IFERROR(_xlfn.XLOOKUP(B883, HoldSummary!$A:$A, HoldSummary!G:G), 0)</f>
        <v>0</v>
      </c>
      <c r="AI883">
        <f>IFERROR(_xlfn.XLOOKUP(B883, HoldSummary!$A:$A, HoldSummary!H:H), 0)</f>
        <v>0</v>
      </c>
      <c r="AJ883">
        <f>IFERROR(_xlfn.XLOOKUP(B883, HoldSummary!$A:$A, HoldSummary!I:I), 0)</f>
        <v>0</v>
      </c>
      <c r="AK883">
        <f t="shared" si="135"/>
        <v>0</v>
      </c>
      <c r="AL883">
        <f t="shared" si="136"/>
        <v>25.436157407406427</v>
      </c>
      <c r="AM883">
        <f t="shared" si="137"/>
        <v>25.436157407406427</v>
      </c>
      <c r="AN883" s="12">
        <f t="shared" si="138"/>
        <v>45635</v>
      </c>
      <c r="AO883">
        <f t="shared" si="139"/>
        <v>1</v>
      </c>
    </row>
    <row r="884" spans="1:41" x14ac:dyDescent="0.35">
      <c r="A884" t="s">
        <v>23</v>
      </c>
      <c r="B884" t="s">
        <v>1947</v>
      </c>
      <c r="C884" t="s">
        <v>36</v>
      </c>
      <c r="D884" t="s">
        <v>44</v>
      </c>
      <c r="E884" t="s">
        <v>45</v>
      </c>
      <c r="F884" t="s">
        <v>1719</v>
      </c>
      <c r="H884" t="s">
        <v>1948</v>
      </c>
      <c r="I884" t="s">
        <v>30</v>
      </c>
      <c r="J884" t="s">
        <v>31</v>
      </c>
      <c r="K884" t="s">
        <v>38</v>
      </c>
      <c r="L884" t="s">
        <v>39</v>
      </c>
      <c r="M884" t="s">
        <v>33</v>
      </c>
      <c r="N884" s="2">
        <v>45579.840138888889</v>
      </c>
      <c r="O884" s="2"/>
      <c r="P884" s="2"/>
      <c r="Q884" s="2">
        <v>45663</v>
      </c>
      <c r="R884" s="2">
        <v>45663.768144791669</v>
      </c>
      <c r="T884" s="2"/>
      <c r="U884" s="2"/>
      <c r="V884" s="2"/>
      <c r="W884" s="2"/>
      <c r="X884" s="3" t="str">
        <f t="shared" si="130"/>
        <v/>
      </c>
      <c r="Y884" t="str">
        <f t="shared" si="131"/>
        <v/>
      </c>
      <c r="Z884">
        <f t="shared" si="132"/>
        <v>0</v>
      </c>
      <c r="AA884">
        <f t="shared" si="133"/>
        <v>83.15986111111124</v>
      </c>
      <c r="AB884">
        <f t="shared" si="134"/>
        <v>83.15986111111124</v>
      </c>
      <c r="AC884">
        <f>IFERROR(_xlfn.XLOOKUP(B884, HoldSummary!$A:$A, HoldSummary!B:B), 0)</f>
        <v>0</v>
      </c>
      <c r="AD884">
        <f>IFERROR(_xlfn.XLOOKUP(B884, HoldSummary!$A:$A, HoldSummary!C:C), 0)</f>
        <v>0</v>
      </c>
      <c r="AE884">
        <f>IFERROR(_xlfn.XLOOKUP(B884, HoldSummary!$A:$A, HoldSummary!D:D), 0)</f>
        <v>0</v>
      </c>
      <c r="AF884">
        <f>IFERROR(_xlfn.XLOOKUP(B884, HoldSummary!$A:$A, HoldSummary!E:E), 0)</f>
        <v>0</v>
      </c>
      <c r="AG884">
        <f>IFERROR(_xlfn.XLOOKUP(B884, HoldSummary!$A:$A, HoldSummary!F:F), 0)</f>
        <v>0</v>
      </c>
      <c r="AH884">
        <f>IFERROR(_xlfn.XLOOKUP(B884, HoldSummary!$A:$A, HoldSummary!G:G), 0)</f>
        <v>0</v>
      </c>
      <c r="AI884">
        <f>IFERROR(_xlfn.XLOOKUP(B884, HoldSummary!$A:$A, HoldSummary!H:H), 0)</f>
        <v>0</v>
      </c>
      <c r="AJ884">
        <f>IFERROR(_xlfn.XLOOKUP(B884, HoldSummary!$A:$A, HoldSummary!I:I), 0)</f>
        <v>0</v>
      </c>
      <c r="AK884">
        <f t="shared" si="135"/>
        <v>0</v>
      </c>
      <c r="AL884">
        <f t="shared" si="136"/>
        <v>83.15986111111124</v>
      </c>
      <c r="AM884">
        <f t="shared" si="137"/>
        <v>83.15986111111124</v>
      </c>
      <c r="AN884" s="12">
        <f t="shared" si="138"/>
        <v>45663</v>
      </c>
      <c r="AO884">
        <f t="shared" si="139"/>
        <v>1</v>
      </c>
    </row>
    <row r="885" spans="1:41" x14ac:dyDescent="0.35">
      <c r="A885" t="s">
        <v>23</v>
      </c>
      <c r="B885" t="s">
        <v>1949</v>
      </c>
      <c r="C885" t="s">
        <v>36</v>
      </c>
      <c r="D885" t="s">
        <v>44</v>
      </c>
      <c r="E885" t="s">
        <v>44</v>
      </c>
      <c r="F885" t="s">
        <v>1719</v>
      </c>
      <c r="H885" t="s">
        <v>1950</v>
      </c>
      <c r="I885" t="s">
        <v>30</v>
      </c>
      <c r="J885" t="s">
        <v>31</v>
      </c>
      <c r="K885" t="s">
        <v>38</v>
      </c>
      <c r="L885" t="s">
        <v>39</v>
      </c>
      <c r="N885" s="2">
        <v>45631.208333333336</v>
      </c>
      <c r="O885" s="2"/>
      <c r="P885" s="2"/>
      <c r="Q885" s="2">
        <v>45671</v>
      </c>
      <c r="R885" s="2">
        <v>45671.869302210645</v>
      </c>
      <c r="S885" t="s">
        <v>1951</v>
      </c>
      <c r="T885" s="2"/>
      <c r="U885" s="2"/>
      <c r="V885" s="2"/>
      <c r="W885" s="2"/>
      <c r="X885" s="3" t="str">
        <f t="shared" si="130"/>
        <v/>
      </c>
      <c r="Y885" t="str">
        <f t="shared" si="131"/>
        <v/>
      </c>
      <c r="Z885">
        <f t="shared" si="132"/>
        <v>0</v>
      </c>
      <c r="AA885">
        <f t="shared" si="133"/>
        <v>39.791666666664241</v>
      </c>
      <c r="AB885">
        <f t="shared" si="134"/>
        <v>39.791666666664241</v>
      </c>
      <c r="AC885">
        <f>IFERROR(_xlfn.XLOOKUP(B885, HoldSummary!$A:$A, HoldSummary!B:B), 0)</f>
        <v>0</v>
      </c>
      <c r="AD885">
        <f>IFERROR(_xlfn.XLOOKUP(B885, HoldSummary!$A:$A, HoldSummary!C:C), 0)</f>
        <v>0</v>
      </c>
      <c r="AE885">
        <f>IFERROR(_xlfn.XLOOKUP(B885, HoldSummary!$A:$A, HoldSummary!D:D), 0)</f>
        <v>0</v>
      </c>
      <c r="AF885">
        <f>IFERROR(_xlfn.XLOOKUP(B885, HoldSummary!$A:$A, HoldSummary!E:E), 0)</f>
        <v>0</v>
      </c>
      <c r="AG885">
        <f>IFERROR(_xlfn.XLOOKUP(B885, HoldSummary!$A:$A, HoldSummary!F:F), 0)</f>
        <v>0</v>
      </c>
      <c r="AH885">
        <f>IFERROR(_xlfn.XLOOKUP(B885, HoldSummary!$A:$A, HoldSummary!G:G), 0)</f>
        <v>0</v>
      </c>
      <c r="AI885">
        <f>IFERROR(_xlfn.XLOOKUP(B885, HoldSummary!$A:$A, HoldSummary!H:H), 0)</f>
        <v>0</v>
      </c>
      <c r="AJ885">
        <f>IFERROR(_xlfn.XLOOKUP(B885, HoldSummary!$A:$A, HoldSummary!I:I), 0)</f>
        <v>0</v>
      </c>
      <c r="AK885">
        <f t="shared" si="135"/>
        <v>0</v>
      </c>
      <c r="AL885">
        <f t="shared" si="136"/>
        <v>39.791666666664241</v>
      </c>
      <c r="AM885">
        <f t="shared" si="137"/>
        <v>39.791666666664241</v>
      </c>
      <c r="AN885" s="12">
        <f t="shared" si="138"/>
        <v>45671</v>
      </c>
      <c r="AO885">
        <f t="shared" si="139"/>
        <v>1</v>
      </c>
    </row>
    <row r="886" spans="1:41" x14ac:dyDescent="0.35">
      <c r="A886" t="s">
        <v>23</v>
      </c>
      <c r="B886" t="s">
        <v>1952</v>
      </c>
      <c r="C886" t="s">
        <v>36</v>
      </c>
      <c r="D886" t="s">
        <v>44</v>
      </c>
      <c r="E886" t="s">
        <v>45</v>
      </c>
      <c r="F886" t="s">
        <v>1719</v>
      </c>
      <c r="H886" t="s">
        <v>1953</v>
      </c>
      <c r="I886" t="s">
        <v>30</v>
      </c>
      <c r="J886" t="s">
        <v>31</v>
      </c>
      <c r="K886" t="s">
        <v>48</v>
      </c>
      <c r="L886" t="s">
        <v>39</v>
      </c>
      <c r="M886" t="s">
        <v>33</v>
      </c>
      <c r="N886" s="2">
        <v>45665.822245370371</v>
      </c>
      <c r="O886" s="2"/>
      <c r="P886" s="2"/>
      <c r="Q886" s="2">
        <v>45679</v>
      </c>
      <c r="R886" s="2">
        <v>45681.751274456015</v>
      </c>
      <c r="T886" s="2"/>
      <c r="U886" s="2"/>
      <c r="V886" s="2"/>
      <c r="W886" s="2"/>
      <c r="X886" s="3" t="str">
        <f t="shared" si="130"/>
        <v/>
      </c>
      <c r="Y886" t="str">
        <f t="shared" si="131"/>
        <v/>
      </c>
      <c r="Z886">
        <f t="shared" si="132"/>
        <v>0</v>
      </c>
      <c r="AA886">
        <f t="shared" si="133"/>
        <v>13.177754629628907</v>
      </c>
      <c r="AB886">
        <f t="shared" si="134"/>
        <v>13.177754629628907</v>
      </c>
      <c r="AC886">
        <f>IFERROR(_xlfn.XLOOKUP(B886, HoldSummary!$A:$A, HoldSummary!B:B), 0)</f>
        <v>0</v>
      </c>
      <c r="AD886">
        <f>IFERROR(_xlfn.XLOOKUP(B886, HoldSummary!$A:$A, HoldSummary!C:C), 0)</f>
        <v>0</v>
      </c>
      <c r="AE886">
        <f>IFERROR(_xlfn.XLOOKUP(B886, HoldSummary!$A:$A, HoldSummary!D:D), 0)</f>
        <v>0</v>
      </c>
      <c r="AF886">
        <f>IFERROR(_xlfn.XLOOKUP(B886, HoldSummary!$A:$A, HoldSummary!E:E), 0)</f>
        <v>0</v>
      </c>
      <c r="AG886">
        <f>IFERROR(_xlfn.XLOOKUP(B886, HoldSummary!$A:$A, HoldSummary!F:F), 0)</f>
        <v>0</v>
      </c>
      <c r="AH886">
        <f>IFERROR(_xlfn.XLOOKUP(B886, HoldSummary!$A:$A, HoldSummary!G:G), 0)</f>
        <v>0</v>
      </c>
      <c r="AI886">
        <f>IFERROR(_xlfn.XLOOKUP(B886, HoldSummary!$A:$A, HoldSummary!H:H), 0)</f>
        <v>0</v>
      </c>
      <c r="AJ886">
        <f>IFERROR(_xlfn.XLOOKUP(B886, HoldSummary!$A:$A, HoldSummary!I:I), 0)</f>
        <v>0</v>
      </c>
      <c r="AK886">
        <f t="shared" si="135"/>
        <v>0</v>
      </c>
      <c r="AL886">
        <f t="shared" si="136"/>
        <v>13.177754629628907</v>
      </c>
      <c r="AM886">
        <f t="shared" si="137"/>
        <v>13.177754629628907</v>
      </c>
      <c r="AN886" s="12">
        <f t="shared" si="138"/>
        <v>45679</v>
      </c>
      <c r="AO886">
        <f t="shared" si="139"/>
        <v>1</v>
      </c>
    </row>
    <row r="887" spans="1:41" x14ac:dyDescent="0.35">
      <c r="A887" t="s">
        <v>23</v>
      </c>
      <c r="B887" t="s">
        <v>1954</v>
      </c>
      <c r="C887" t="s">
        <v>36</v>
      </c>
      <c r="D887" t="s">
        <v>44</v>
      </c>
      <c r="E887" t="s">
        <v>45</v>
      </c>
      <c r="F887" t="s">
        <v>1719</v>
      </c>
      <c r="H887" t="s">
        <v>1955</v>
      </c>
      <c r="I887" t="s">
        <v>30</v>
      </c>
      <c r="J887" t="s">
        <v>208</v>
      </c>
      <c r="K887" t="s">
        <v>48</v>
      </c>
      <c r="L887" t="s">
        <v>49</v>
      </c>
      <c r="M887" t="s">
        <v>33</v>
      </c>
      <c r="N887" s="2">
        <v>45649.582094907404</v>
      </c>
      <c r="O887" s="2"/>
      <c r="P887" s="2"/>
      <c r="Q887" s="2">
        <v>45685</v>
      </c>
      <c r="R887" s="2">
        <v>45685.875191828702</v>
      </c>
      <c r="T887" s="2"/>
      <c r="U887" s="2"/>
      <c r="V887" s="2"/>
      <c r="W887" s="2"/>
      <c r="X887" s="3" t="str">
        <f t="shared" si="130"/>
        <v/>
      </c>
      <c r="Y887" t="str">
        <f t="shared" si="131"/>
        <v/>
      </c>
      <c r="Z887">
        <f t="shared" si="132"/>
        <v>0</v>
      </c>
      <c r="AA887">
        <f t="shared" si="133"/>
        <v>35.417905092595902</v>
      </c>
      <c r="AB887">
        <f t="shared" si="134"/>
        <v>35.417905092595902</v>
      </c>
      <c r="AC887">
        <f>IFERROR(_xlfn.XLOOKUP(B887, HoldSummary!$A:$A, HoldSummary!B:B), 0)</f>
        <v>0</v>
      </c>
      <c r="AD887">
        <f>IFERROR(_xlfn.XLOOKUP(B887, HoldSummary!$A:$A, HoldSummary!C:C), 0)</f>
        <v>0</v>
      </c>
      <c r="AE887">
        <f>IFERROR(_xlfn.XLOOKUP(B887, HoldSummary!$A:$A, HoldSummary!D:D), 0)</f>
        <v>0</v>
      </c>
      <c r="AF887">
        <f>IFERROR(_xlfn.XLOOKUP(B887, HoldSummary!$A:$A, HoldSummary!E:E), 0)</f>
        <v>0</v>
      </c>
      <c r="AG887">
        <f>IFERROR(_xlfn.XLOOKUP(B887, HoldSummary!$A:$A, HoldSummary!F:F), 0)</f>
        <v>0</v>
      </c>
      <c r="AH887">
        <f>IFERROR(_xlfn.XLOOKUP(B887, HoldSummary!$A:$A, HoldSummary!G:G), 0)</f>
        <v>0</v>
      </c>
      <c r="AI887">
        <f>IFERROR(_xlfn.XLOOKUP(B887, HoldSummary!$A:$A, HoldSummary!H:H), 0)</f>
        <v>0</v>
      </c>
      <c r="AJ887">
        <f>IFERROR(_xlfn.XLOOKUP(B887, HoldSummary!$A:$A, HoldSummary!I:I), 0)</f>
        <v>0</v>
      </c>
      <c r="AK887">
        <f t="shared" si="135"/>
        <v>0</v>
      </c>
      <c r="AL887">
        <f t="shared" si="136"/>
        <v>35.417905092595902</v>
      </c>
      <c r="AM887">
        <f t="shared" si="137"/>
        <v>35.417905092595902</v>
      </c>
      <c r="AN887" s="12">
        <f t="shared" si="138"/>
        <v>45685</v>
      </c>
      <c r="AO887">
        <f t="shared" si="139"/>
        <v>1</v>
      </c>
    </row>
    <row r="888" spans="1:41" x14ac:dyDescent="0.35">
      <c r="A888" t="s">
        <v>23</v>
      </c>
      <c r="B888" t="s">
        <v>1956</v>
      </c>
      <c r="C888" t="s">
        <v>36</v>
      </c>
      <c r="D888" t="s">
        <v>44</v>
      </c>
      <c r="E888" t="s">
        <v>45</v>
      </c>
      <c r="F888" t="s">
        <v>1719</v>
      </c>
      <c r="H888" t="s">
        <v>1957</v>
      </c>
      <c r="I888" t="s">
        <v>30</v>
      </c>
      <c r="J888" t="s">
        <v>31</v>
      </c>
      <c r="K888" t="s">
        <v>38</v>
      </c>
      <c r="L888" t="s">
        <v>39</v>
      </c>
      <c r="N888" s="2">
        <v>45672.696782407409</v>
      </c>
      <c r="O888" s="2"/>
      <c r="P888" s="2"/>
      <c r="Q888" s="2">
        <v>45684</v>
      </c>
      <c r="R888" s="2">
        <v>45685.859332777778</v>
      </c>
      <c r="T888" s="2"/>
      <c r="U888" s="2"/>
      <c r="V888" s="2"/>
      <c r="W888" s="2"/>
      <c r="X888" s="3" t="str">
        <f t="shared" si="130"/>
        <v/>
      </c>
      <c r="Y888" t="str">
        <f t="shared" si="131"/>
        <v/>
      </c>
      <c r="Z888">
        <f t="shared" si="132"/>
        <v>0</v>
      </c>
      <c r="AA888">
        <f t="shared" si="133"/>
        <v>11.303217592590954</v>
      </c>
      <c r="AB888">
        <f t="shared" si="134"/>
        <v>11.303217592590954</v>
      </c>
      <c r="AC888">
        <f>IFERROR(_xlfn.XLOOKUP(B888, HoldSummary!$A:$A, HoldSummary!B:B), 0)</f>
        <v>0</v>
      </c>
      <c r="AD888">
        <f>IFERROR(_xlfn.XLOOKUP(B888, HoldSummary!$A:$A, HoldSummary!C:C), 0)</f>
        <v>0</v>
      </c>
      <c r="AE888">
        <f>IFERROR(_xlfn.XLOOKUP(B888, HoldSummary!$A:$A, HoldSummary!D:D), 0)</f>
        <v>0</v>
      </c>
      <c r="AF888">
        <f>IFERROR(_xlfn.XLOOKUP(B888, HoldSummary!$A:$A, HoldSummary!E:E), 0)</f>
        <v>0</v>
      </c>
      <c r="AG888">
        <f>IFERROR(_xlfn.XLOOKUP(B888, HoldSummary!$A:$A, HoldSummary!F:F), 0)</f>
        <v>0</v>
      </c>
      <c r="AH888">
        <f>IFERROR(_xlfn.XLOOKUP(B888, HoldSummary!$A:$A, HoldSummary!G:G), 0)</f>
        <v>0</v>
      </c>
      <c r="AI888">
        <f>IFERROR(_xlfn.XLOOKUP(B888, HoldSummary!$A:$A, HoldSummary!H:H), 0)</f>
        <v>0</v>
      </c>
      <c r="AJ888">
        <f>IFERROR(_xlfn.XLOOKUP(B888, HoldSummary!$A:$A, HoldSummary!I:I), 0)</f>
        <v>0</v>
      </c>
      <c r="AK888">
        <f t="shared" si="135"/>
        <v>0</v>
      </c>
      <c r="AL888">
        <f t="shared" si="136"/>
        <v>11.303217592590954</v>
      </c>
      <c r="AM888">
        <f t="shared" si="137"/>
        <v>11.303217592590954</v>
      </c>
      <c r="AN888" s="12">
        <f t="shared" si="138"/>
        <v>45684</v>
      </c>
      <c r="AO888">
        <f t="shared" si="139"/>
        <v>1</v>
      </c>
    </row>
    <row r="889" spans="1:41" s="194" customFormat="1" x14ac:dyDescent="0.35">
      <c r="X889" s="197"/>
      <c r="AN889" s="198"/>
    </row>
  </sheetData>
  <autoFilter ref="A1:AJ888"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FF9B4-F013-40D5-997A-D4A41E7559A7}">
  <sheetPr>
    <tabColor rgb="FF92D050"/>
  </sheetPr>
  <dimension ref="A3:W46"/>
  <sheetViews>
    <sheetView topLeftCell="A17" zoomScaleNormal="100" workbookViewId="0">
      <selection activeCell="N32" sqref="N32"/>
    </sheetView>
  </sheetViews>
  <sheetFormatPr defaultRowHeight="14.5" x14ac:dyDescent="0.35"/>
  <cols>
    <col min="1" max="1" width="14.26953125" bestFit="1" customWidth="1"/>
    <col min="2" max="2" width="15.6328125" bestFit="1" customWidth="1"/>
    <col min="3" max="3" width="6.6328125" bestFit="1" customWidth="1"/>
    <col min="4" max="4" width="10.7265625" bestFit="1" customWidth="1"/>
    <col min="5" max="5" width="7.7265625" bestFit="1" customWidth="1"/>
    <col min="6" max="6" width="14.26953125" bestFit="1" customWidth="1"/>
    <col min="7" max="7" width="15.6328125" bestFit="1" customWidth="1"/>
    <col min="8" max="8" width="6.6328125" bestFit="1" customWidth="1"/>
    <col min="9" max="9" width="10.7265625" bestFit="1" customWidth="1"/>
    <col min="10" max="11" width="7.7265625" bestFit="1" customWidth="1"/>
    <col min="12" max="12" width="18.08984375" bestFit="1" customWidth="1"/>
    <col min="13" max="13" width="15.6328125" bestFit="1" customWidth="1"/>
    <col min="14" max="14" width="6.6328125" bestFit="1" customWidth="1"/>
    <col min="15" max="15" width="4.08984375" bestFit="1" customWidth="1"/>
    <col min="16" max="16" width="4.36328125" bestFit="1" customWidth="1"/>
    <col min="17" max="17" width="3.90625" bestFit="1" customWidth="1"/>
    <col min="18" max="18" width="4.6328125" bestFit="1" customWidth="1"/>
    <col min="19" max="19" width="3.81640625" bestFit="1" customWidth="1"/>
    <col min="20" max="20" width="3.26953125" bestFit="1" customWidth="1"/>
    <col min="21" max="21" width="4.1796875" bestFit="1" customWidth="1"/>
    <col min="22" max="22" width="9.54296875" bestFit="1" customWidth="1"/>
    <col min="23" max="23" width="10.7265625" bestFit="1" customWidth="1"/>
    <col min="24" max="32" width="10.453125" bestFit="1" customWidth="1"/>
    <col min="33" max="33" width="8.26953125" bestFit="1" customWidth="1"/>
    <col min="34" max="34" width="5.7265625" bestFit="1" customWidth="1"/>
    <col min="35" max="35" width="6.08984375" bestFit="1" customWidth="1"/>
    <col min="36" max="36" width="5.6328125" bestFit="1" customWidth="1"/>
    <col min="37" max="37" width="6.26953125" bestFit="1" customWidth="1"/>
    <col min="38" max="38" width="5.453125" bestFit="1" customWidth="1"/>
    <col min="39" max="39" width="4.90625" bestFit="1" customWidth="1"/>
    <col min="40" max="40" width="5.81640625" bestFit="1" customWidth="1"/>
    <col min="41" max="41" width="9.54296875" bestFit="1" customWidth="1"/>
    <col min="42" max="42" width="10.7265625" bestFit="1" customWidth="1"/>
    <col min="43" max="366" width="10.453125" bestFit="1" customWidth="1"/>
    <col min="367" max="367" width="10.7265625" bestFit="1" customWidth="1"/>
  </cols>
  <sheetData>
    <row r="3" spans="1:15" x14ac:dyDescent="0.35">
      <c r="B3" s="58" t="s">
        <v>2046</v>
      </c>
    </row>
    <row r="4" spans="1:15" ht="29" x14ac:dyDescent="0.35">
      <c r="B4" t="s">
        <v>2047</v>
      </c>
      <c r="H4" t="s">
        <v>2048</v>
      </c>
      <c r="N4" s="70" t="s">
        <v>2049</v>
      </c>
      <c r="O4" s="70" t="s">
        <v>2050</v>
      </c>
    </row>
    <row r="5" spans="1:15" x14ac:dyDescent="0.35">
      <c r="A5" s="58" t="s">
        <v>2042</v>
      </c>
      <c r="B5" t="s">
        <v>174</v>
      </c>
      <c r="C5" t="s">
        <v>48</v>
      </c>
      <c r="D5" t="s">
        <v>57</v>
      </c>
      <c r="E5" t="s">
        <v>38</v>
      </c>
      <c r="F5" t="s">
        <v>349</v>
      </c>
      <c r="G5" t="s">
        <v>32</v>
      </c>
      <c r="H5" t="s">
        <v>174</v>
      </c>
      <c r="I5" t="s">
        <v>48</v>
      </c>
      <c r="J5" t="s">
        <v>57</v>
      </c>
      <c r="K5" t="s">
        <v>38</v>
      </c>
      <c r="L5" t="s">
        <v>349</v>
      </c>
      <c r="M5" t="s">
        <v>32</v>
      </c>
      <c r="N5" s="70"/>
      <c r="O5" s="70"/>
    </row>
    <row r="6" spans="1:15" x14ac:dyDescent="0.35">
      <c r="A6" s="24" t="s">
        <v>2044</v>
      </c>
      <c r="B6" s="59">
        <v>89.121430041152053</v>
      </c>
      <c r="C6" s="59">
        <v>137.5189714461566</v>
      </c>
      <c r="D6" s="59">
        <v>116.28211650439131</v>
      </c>
      <c r="E6" s="59">
        <v>140.84788363655977</v>
      </c>
      <c r="F6" s="59">
        <v>613.56258535879624</v>
      </c>
      <c r="G6" s="59">
        <v>199.98043942901131</v>
      </c>
      <c r="H6" s="59">
        <v>75.899207818929824</v>
      </c>
      <c r="I6" s="59">
        <v>129.4584298711458</v>
      </c>
      <c r="J6" s="59">
        <v>111.57077629820576</v>
      </c>
      <c r="K6" s="59">
        <v>127.21045673597496</v>
      </c>
      <c r="L6" s="59">
        <v>604.93469938801991</v>
      </c>
      <c r="M6" s="59">
        <v>190.99710609567799</v>
      </c>
      <c r="N6" s="59">
        <v>147.37504412203916</v>
      </c>
      <c r="O6" s="59">
        <v>137.83140696787771</v>
      </c>
    </row>
    <row r="7" spans="1:15" x14ac:dyDescent="0.35">
      <c r="A7" s="24" t="s">
        <v>2045</v>
      </c>
      <c r="B7" s="59">
        <v>112.94803989651273</v>
      </c>
      <c r="C7" s="59">
        <v>146.72805212962902</v>
      </c>
      <c r="D7" s="59">
        <v>114.0150971395494</v>
      </c>
      <c r="E7" s="59">
        <v>138.3639956723018</v>
      </c>
      <c r="F7" s="59"/>
      <c r="G7" s="59">
        <v>241.24297528375047</v>
      </c>
      <c r="H7" s="59">
        <v>92.653922249453899</v>
      </c>
      <c r="I7" s="59">
        <v>127.25951483323983</v>
      </c>
      <c r="J7" s="59">
        <v>103.33652571097797</v>
      </c>
      <c r="K7" s="59">
        <v>118.48573480273657</v>
      </c>
      <c r="L7" s="59"/>
      <c r="M7" s="59">
        <v>218.50103979987949</v>
      </c>
      <c r="N7" s="59">
        <v>145.45453596037814</v>
      </c>
      <c r="O7" s="59">
        <v>126.94416630325998</v>
      </c>
    </row>
    <row r="8" spans="1:15" x14ac:dyDescent="0.35">
      <c r="A8" s="24" t="s">
        <v>2043</v>
      </c>
      <c r="B8" s="59">
        <v>100.69435482804153</v>
      </c>
      <c r="C8" s="59">
        <v>141.38184086036483</v>
      </c>
      <c r="D8" s="59">
        <v>115.45235778261912</v>
      </c>
      <c r="E8" s="59">
        <v>139.84911749708542</v>
      </c>
      <c r="F8" s="59">
        <v>613.56258535879624</v>
      </c>
      <c r="G8" s="59">
        <v>214.03690768721916</v>
      </c>
      <c r="H8" s="59">
        <v>84.037211970898667</v>
      </c>
      <c r="I8" s="59">
        <v>128.536066180749</v>
      </c>
      <c r="J8" s="59">
        <v>108.55693294601781</v>
      </c>
      <c r="K8" s="59">
        <v>123.70226435023226</v>
      </c>
      <c r="L8" s="59">
        <v>604.93469938801991</v>
      </c>
      <c r="M8" s="59">
        <v>200.36657801688949</v>
      </c>
      <c r="N8" s="59">
        <v>146.61654262076317</v>
      </c>
      <c r="O8" s="59">
        <v>133.53150939195518</v>
      </c>
    </row>
    <row r="15" spans="1:15" x14ac:dyDescent="0.35">
      <c r="A15" s="58" t="s">
        <v>2066</v>
      </c>
      <c r="B15" s="58" t="s">
        <v>2046</v>
      </c>
    </row>
    <row r="16" spans="1:15" x14ac:dyDescent="0.35">
      <c r="B16" t="s">
        <v>2044</v>
      </c>
      <c r="C16" t="s">
        <v>2045</v>
      </c>
      <c r="D16" t="s">
        <v>2043</v>
      </c>
    </row>
    <row r="19" spans="1:23" x14ac:dyDescent="0.35">
      <c r="A19" s="58" t="s">
        <v>2042</v>
      </c>
    </row>
    <row r="20" spans="1:23" x14ac:dyDescent="0.35">
      <c r="A20" s="24" t="s">
        <v>300</v>
      </c>
      <c r="B20" s="69">
        <v>25</v>
      </c>
      <c r="C20" s="69">
        <v>11</v>
      </c>
      <c r="D20" s="69">
        <v>36</v>
      </c>
    </row>
    <row r="21" spans="1:23" x14ac:dyDescent="0.35">
      <c r="A21" s="24" t="s">
        <v>70</v>
      </c>
      <c r="B21" s="69">
        <v>120</v>
      </c>
      <c r="C21" s="69">
        <v>59</v>
      </c>
      <c r="D21" s="69">
        <v>179</v>
      </c>
    </row>
    <row r="22" spans="1:23" x14ac:dyDescent="0.35">
      <c r="A22" s="24" t="s">
        <v>208</v>
      </c>
      <c r="B22" s="69">
        <v>7</v>
      </c>
      <c r="C22" s="69">
        <v>10</v>
      </c>
      <c r="D22" s="69">
        <v>17</v>
      </c>
    </row>
    <row r="23" spans="1:23" x14ac:dyDescent="0.35">
      <c r="A23" s="24" t="s">
        <v>31</v>
      </c>
      <c r="B23" s="69">
        <v>375</v>
      </c>
      <c r="C23" s="69">
        <v>264</v>
      </c>
      <c r="D23" s="69">
        <v>639</v>
      </c>
    </row>
    <row r="24" spans="1:23" x14ac:dyDescent="0.35">
      <c r="A24" s="24" t="s">
        <v>2043</v>
      </c>
      <c r="B24" s="69">
        <v>527</v>
      </c>
      <c r="C24" s="69">
        <v>344</v>
      </c>
      <c r="D24" s="69">
        <v>871</v>
      </c>
    </row>
    <row r="29" spans="1:23" x14ac:dyDescent="0.35">
      <c r="A29" s="58" t="s">
        <v>2066</v>
      </c>
      <c r="B29" s="58" t="s">
        <v>2046</v>
      </c>
      <c r="F29" s="58" t="s">
        <v>2066</v>
      </c>
      <c r="G29" s="58" t="s">
        <v>2046</v>
      </c>
      <c r="J29" s="58"/>
      <c r="M29" s="58" t="s">
        <v>2046</v>
      </c>
    </row>
    <row r="30" spans="1:23" x14ac:dyDescent="0.35">
      <c r="B30" t="s">
        <v>2044</v>
      </c>
      <c r="C30" t="s">
        <v>2045</v>
      </c>
      <c r="D30" t="s">
        <v>2043</v>
      </c>
      <c r="G30" t="s">
        <v>2044</v>
      </c>
      <c r="H30" t="s">
        <v>2045</v>
      </c>
      <c r="I30" t="s">
        <v>2043</v>
      </c>
      <c r="M30" t="s">
        <v>2044</v>
      </c>
      <c r="N30" t="s">
        <v>2045</v>
      </c>
      <c r="V30" t="s">
        <v>2311</v>
      </c>
      <c r="W30" t="s">
        <v>2043</v>
      </c>
    </row>
    <row r="31" spans="1:23" x14ac:dyDescent="0.35">
      <c r="N31" t="s">
        <v>595</v>
      </c>
      <c r="O31" t="s">
        <v>1114</v>
      </c>
      <c r="P31" t="s">
        <v>236</v>
      </c>
      <c r="Q31" t="s">
        <v>198</v>
      </c>
      <c r="R31" t="s">
        <v>226</v>
      </c>
      <c r="S31" t="s">
        <v>1538</v>
      </c>
      <c r="T31" t="s">
        <v>2026</v>
      </c>
      <c r="U31" t="s">
        <v>239</v>
      </c>
    </row>
    <row r="32" spans="1:23" x14ac:dyDescent="0.35">
      <c r="L32" t="s">
        <v>2310</v>
      </c>
      <c r="M32" s="69">
        <v>310</v>
      </c>
      <c r="N32" s="69">
        <v>33</v>
      </c>
      <c r="O32" s="69">
        <v>42</v>
      </c>
      <c r="P32" s="69">
        <v>26</v>
      </c>
      <c r="Q32" s="69">
        <v>29</v>
      </c>
      <c r="R32" s="69">
        <v>23</v>
      </c>
      <c r="S32" s="69">
        <v>25</v>
      </c>
      <c r="T32" s="69">
        <v>28</v>
      </c>
      <c r="U32" s="69">
        <v>2</v>
      </c>
      <c r="V32" s="69">
        <v>208</v>
      </c>
      <c r="W32" s="69">
        <v>518</v>
      </c>
    </row>
    <row r="33" spans="1:9" x14ac:dyDescent="0.35">
      <c r="A33" s="58" t="s">
        <v>2042</v>
      </c>
      <c r="F33" s="58" t="s">
        <v>2042</v>
      </c>
    </row>
    <row r="34" spans="1:9" x14ac:dyDescent="0.35">
      <c r="A34" s="24" t="s">
        <v>46</v>
      </c>
      <c r="B34" s="69">
        <v>27</v>
      </c>
      <c r="C34" s="69">
        <v>42</v>
      </c>
      <c r="D34" s="69">
        <v>69</v>
      </c>
      <c r="F34" s="24" t="s">
        <v>414</v>
      </c>
      <c r="G34" s="69">
        <v>7</v>
      </c>
      <c r="H34" s="69"/>
      <c r="I34" s="69">
        <v>7</v>
      </c>
    </row>
    <row r="35" spans="1:9" x14ac:dyDescent="0.35">
      <c r="A35" s="24" t="s">
        <v>28</v>
      </c>
      <c r="B35" s="69">
        <v>276</v>
      </c>
      <c r="C35" s="69">
        <v>297</v>
      </c>
      <c r="D35" s="69">
        <v>573</v>
      </c>
      <c r="F35" s="24" t="s">
        <v>49</v>
      </c>
      <c r="G35" s="69">
        <v>54</v>
      </c>
      <c r="H35" s="69">
        <v>60</v>
      </c>
      <c r="I35" s="69">
        <v>114</v>
      </c>
    </row>
    <row r="36" spans="1:9" x14ac:dyDescent="0.35">
      <c r="A36" s="24" t="s">
        <v>1441</v>
      </c>
      <c r="B36" s="69">
        <v>86</v>
      </c>
      <c r="C36" s="69">
        <v>1</v>
      </c>
      <c r="D36" s="69">
        <v>87</v>
      </c>
      <c r="F36" s="24" t="s">
        <v>827</v>
      </c>
      <c r="G36" s="69"/>
      <c r="H36" s="69">
        <v>14</v>
      </c>
      <c r="I36" s="69">
        <v>14</v>
      </c>
    </row>
    <row r="37" spans="1:9" x14ac:dyDescent="0.35">
      <c r="A37" s="24" t="s">
        <v>1633</v>
      </c>
      <c r="B37" s="69">
        <v>40</v>
      </c>
      <c r="C37" s="69"/>
      <c r="D37" s="69">
        <v>40</v>
      </c>
      <c r="F37" s="24" t="s">
        <v>192</v>
      </c>
      <c r="G37" s="69">
        <v>59</v>
      </c>
      <c r="H37" s="69">
        <v>22</v>
      </c>
      <c r="I37" s="69">
        <v>81</v>
      </c>
    </row>
    <row r="38" spans="1:9" x14ac:dyDescent="0.35">
      <c r="A38" s="24" t="s">
        <v>1719</v>
      </c>
      <c r="B38" s="69">
        <v>97</v>
      </c>
      <c r="C38" s="69">
        <v>4</v>
      </c>
      <c r="D38" s="69">
        <v>101</v>
      </c>
      <c r="F38" s="24" t="s">
        <v>695</v>
      </c>
      <c r="G38" s="69">
        <v>19</v>
      </c>
      <c r="H38" s="69">
        <v>8</v>
      </c>
      <c r="I38" s="69">
        <v>27</v>
      </c>
    </row>
    <row r="39" spans="1:9" x14ac:dyDescent="0.35">
      <c r="A39" s="24" t="s">
        <v>1716</v>
      </c>
      <c r="B39" s="69">
        <v>1</v>
      </c>
      <c r="C39" s="69"/>
      <c r="D39" s="69">
        <v>1</v>
      </c>
      <c r="F39" s="24" t="s">
        <v>39</v>
      </c>
      <c r="G39" s="69">
        <v>224</v>
      </c>
      <c r="H39" s="69">
        <v>150</v>
      </c>
      <c r="I39" s="69">
        <v>374</v>
      </c>
    </row>
    <row r="40" spans="1:9" x14ac:dyDescent="0.35">
      <c r="A40" s="24" t="s">
        <v>2043</v>
      </c>
      <c r="B40" s="69">
        <v>527</v>
      </c>
      <c r="C40" s="69">
        <v>344</v>
      </c>
      <c r="D40" s="69">
        <v>871</v>
      </c>
      <c r="F40" s="24" t="s">
        <v>58</v>
      </c>
      <c r="G40" s="69">
        <v>20</v>
      </c>
      <c r="H40" s="69">
        <v>24</v>
      </c>
      <c r="I40" s="69">
        <v>44</v>
      </c>
    </row>
    <row r="41" spans="1:9" x14ac:dyDescent="0.35">
      <c r="F41" s="24" t="s">
        <v>174</v>
      </c>
      <c r="G41" s="69">
        <v>18</v>
      </c>
      <c r="H41" s="69">
        <v>16</v>
      </c>
      <c r="I41" s="69">
        <v>34</v>
      </c>
    </row>
    <row r="42" spans="1:9" x14ac:dyDescent="0.35">
      <c r="F42" s="24" t="s">
        <v>53</v>
      </c>
      <c r="G42" s="69">
        <v>42</v>
      </c>
      <c r="H42" s="69">
        <v>8</v>
      </c>
      <c r="I42" s="69">
        <v>50</v>
      </c>
    </row>
    <row r="43" spans="1:9" x14ac:dyDescent="0.35">
      <c r="F43" s="24" t="s">
        <v>185</v>
      </c>
      <c r="G43" s="69">
        <v>10</v>
      </c>
      <c r="H43" s="69">
        <v>14</v>
      </c>
      <c r="I43" s="69">
        <v>24</v>
      </c>
    </row>
    <row r="44" spans="1:9" x14ac:dyDescent="0.35">
      <c r="F44" s="24" t="s">
        <v>32</v>
      </c>
      <c r="G44" s="69">
        <v>47</v>
      </c>
      <c r="H44" s="69">
        <v>24</v>
      </c>
      <c r="I44" s="69">
        <v>71</v>
      </c>
    </row>
    <row r="45" spans="1:9" x14ac:dyDescent="0.35">
      <c r="F45" s="24" t="s">
        <v>2067</v>
      </c>
      <c r="G45" s="69">
        <v>27</v>
      </c>
      <c r="H45" s="69">
        <v>4</v>
      </c>
      <c r="I45" s="69">
        <v>31</v>
      </c>
    </row>
    <row r="46" spans="1:9" x14ac:dyDescent="0.35">
      <c r="F46" s="24" t="s">
        <v>2043</v>
      </c>
      <c r="G46" s="69">
        <v>527</v>
      </c>
      <c r="H46" s="69">
        <v>344</v>
      </c>
      <c r="I46" s="69">
        <v>871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1E59-B293-4010-A943-2EB7C860EF3E}">
  <sheetPr>
    <tabColor rgb="FFFFC000"/>
  </sheetPr>
  <dimension ref="A1:Y58"/>
  <sheetViews>
    <sheetView topLeftCell="A40" workbookViewId="0">
      <selection activeCell="M61" sqref="M61"/>
    </sheetView>
  </sheetViews>
  <sheetFormatPr defaultRowHeight="14.5" x14ac:dyDescent="0.35"/>
  <cols>
    <col min="1" max="1" width="17.54296875" bestFit="1" customWidth="1"/>
    <col min="2" max="10" width="9.7265625" bestFit="1" customWidth="1"/>
    <col min="11" max="13" width="10.7265625" bestFit="1" customWidth="1"/>
    <col min="14" max="22" width="9.7265625" bestFit="1" customWidth="1"/>
    <col min="23" max="25" width="10.7265625" bestFit="1" customWidth="1"/>
  </cols>
  <sheetData>
    <row r="1" spans="1:25" x14ac:dyDescent="0.35">
      <c r="A1" s="13" t="s">
        <v>2011</v>
      </c>
      <c r="B1" s="14">
        <v>45292</v>
      </c>
      <c r="C1" s="14">
        <v>45323</v>
      </c>
      <c r="D1" s="14">
        <v>45352</v>
      </c>
      <c r="E1" s="14">
        <v>45383</v>
      </c>
      <c r="F1" s="14">
        <v>45413</v>
      </c>
      <c r="G1" s="14">
        <v>45444</v>
      </c>
      <c r="H1" s="14">
        <v>45474</v>
      </c>
      <c r="I1" s="14">
        <v>45505</v>
      </c>
      <c r="J1" s="14">
        <v>45536</v>
      </c>
      <c r="K1" s="14">
        <v>45566</v>
      </c>
      <c r="L1" s="14">
        <v>45597</v>
      </c>
      <c r="M1" s="14">
        <v>45627</v>
      </c>
      <c r="N1" s="14">
        <v>45658</v>
      </c>
      <c r="O1" s="14">
        <v>45689</v>
      </c>
      <c r="P1" s="14">
        <v>45717</v>
      </c>
      <c r="Q1" s="14">
        <v>45748</v>
      </c>
      <c r="R1" s="14">
        <v>45778</v>
      </c>
      <c r="S1" s="14">
        <v>45809</v>
      </c>
      <c r="T1" s="14">
        <v>45839</v>
      </c>
      <c r="U1" s="14">
        <v>45870</v>
      </c>
      <c r="V1" s="14">
        <v>45901</v>
      </c>
      <c r="W1" s="14">
        <v>45931</v>
      </c>
      <c r="X1" s="14">
        <v>45962</v>
      </c>
      <c r="Y1" s="14">
        <v>45992</v>
      </c>
    </row>
    <row r="2" spans="1:25" x14ac:dyDescent="0.35">
      <c r="A2" s="13" t="s">
        <v>2012</v>
      </c>
      <c r="B2" s="14">
        <f>EOMONTH(B1, 0)</f>
        <v>45322</v>
      </c>
      <c r="C2" s="14">
        <f>EOMONTH(C1, 0)</f>
        <v>45351</v>
      </c>
      <c r="D2" s="14">
        <f t="shared" ref="D2:Y2" si="0">EOMONTH(D1, 0)</f>
        <v>45382</v>
      </c>
      <c r="E2" s="14">
        <f t="shared" si="0"/>
        <v>45412</v>
      </c>
      <c r="F2" s="14">
        <f t="shared" si="0"/>
        <v>45443</v>
      </c>
      <c r="G2" s="14">
        <f t="shared" si="0"/>
        <v>45473</v>
      </c>
      <c r="H2" s="14">
        <f t="shared" si="0"/>
        <v>45504</v>
      </c>
      <c r="I2" s="14">
        <f t="shared" si="0"/>
        <v>45535</v>
      </c>
      <c r="J2" s="14">
        <f t="shared" si="0"/>
        <v>45565</v>
      </c>
      <c r="K2" s="14">
        <f t="shared" si="0"/>
        <v>45596</v>
      </c>
      <c r="L2" s="14">
        <f t="shared" si="0"/>
        <v>45626</v>
      </c>
      <c r="M2" s="14">
        <f t="shared" si="0"/>
        <v>45657</v>
      </c>
      <c r="N2" s="14">
        <f t="shared" si="0"/>
        <v>45688</v>
      </c>
      <c r="O2" s="14">
        <f t="shared" si="0"/>
        <v>45716</v>
      </c>
      <c r="P2" s="14">
        <f t="shared" si="0"/>
        <v>45747</v>
      </c>
      <c r="Q2" s="14">
        <f t="shared" si="0"/>
        <v>45777</v>
      </c>
      <c r="R2" s="14">
        <f t="shared" si="0"/>
        <v>45808</v>
      </c>
      <c r="S2" s="14">
        <f t="shared" si="0"/>
        <v>45838</v>
      </c>
      <c r="T2" s="14">
        <f t="shared" si="0"/>
        <v>45869</v>
      </c>
      <c r="U2" s="14">
        <f t="shared" si="0"/>
        <v>45900</v>
      </c>
      <c r="V2" s="14">
        <f t="shared" si="0"/>
        <v>45930</v>
      </c>
      <c r="W2" s="14">
        <f t="shared" si="0"/>
        <v>45961</v>
      </c>
      <c r="X2" s="14">
        <f t="shared" si="0"/>
        <v>45991</v>
      </c>
      <c r="Y2" s="14">
        <f t="shared" si="0"/>
        <v>46022</v>
      </c>
    </row>
    <row r="5" spans="1:25" x14ac:dyDescent="0.35">
      <c r="B5" s="221" t="s">
        <v>2022</v>
      </c>
      <c r="C5" s="222"/>
      <c r="D5" s="222"/>
      <c r="E5" s="222"/>
      <c r="F5" s="222"/>
      <c r="G5" s="222"/>
      <c r="H5" s="222"/>
      <c r="I5" s="222"/>
      <c r="J5" s="222"/>
      <c r="K5" s="222"/>
      <c r="L5" s="222"/>
      <c r="M5" s="223"/>
    </row>
    <row r="6" spans="1:25" x14ac:dyDescent="0.35">
      <c r="A6" s="15" t="s">
        <v>2013</v>
      </c>
      <c r="B6" s="19">
        <v>45292</v>
      </c>
      <c r="C6" s="19">
        <v>45323</v>
      </c>
      <c r="D6" s="19">
        <v>45352</v>
      </c>
      <c r="E6" s="19">
        <v>45383</v>
      </c>
      <c r="F6" s="19">
        <v>45413</v>
      </c>
      <c r="G6" s="19">
        <v>45444</v>
      </c>
      <c r="H6" s="19">
        <v>45474</v>
      </c>
      <c r="I6" s="19">
        <v>45505</v>
      </c>
      <c r="J6" s="19">
        <v>45536</v>
      </c>
      <c r="K6" s="19">
        <v>45566</v>
      </c>
      <c r="L6" s="19">
        <v>45597</v>
      </c>
      <c r="M6" s="20">
        <v>45627</v>
      </c>
      <c r="N6" s="22">
        <v>45658</v>
      </c>
      <c r="O6" s="22">
        <v>45689</v>
      </c>
      <c r="P6" s="22">
        <v>45717</v>
      </c>
      <c r="Q6" s="22">
        <v>45748</v>
      </c>
      <c r="R6" s="22">
        <v>45778</v>
      </c>
      <c r="S6" s="22">
        <v>45809</v>
      </c>
      <c r="T6" s="22">
        <v>45839</v>
      </c>
      <c r="U6" s="22">
        <v>45870</v>
      </c>
      <c r="V6" s="22">
        <v>45901</v>
      </c>
      <c r="W6" s="22">
        <v>45931</v>
      </c>
      <c r="X6" s="22">
        <v>45962</v>
      </c>
      <c r="Y6" s="22">
        <v>45992</v>
      </c>
    </row>
    <row r="7" spans="1:25" x14ac:dyDescent="0.35">
      <c r="A7" s="16" t="s">
        <v>2014</v>
      </c>
      <c r="B7">
        <f>COUNTIFS(AllTasks!$Q:$Q, "&gt;=" &amp; B$1, AllTasks!$Q:$Q, "&lt;=" &amp; B$2)</f>
        <v>41</v>
      </c>
      <c r="C7">
        <f>COUNTIFS(AllTasks!$Q:$Q, "&gt;=" &amp; C$1, AllTasks!$Q:$Q, "&lt;=" &amp; C$2)</f>
        <v>46</v>
      </c>
      <c r="D7">
        <f>COUNTIFS(AllTasks!$Q:$Q, "&gt;=" &amp; D$1, AllTasks!$Q:$Q, "&lt;=" &amp; D$2)</f>
        <v>37</v>
      </c>
      <c r="E7">
        <f>COUNTIFS(AllTasks!$Q:$Q, "&gt;=" &amp; E$1, AllTasks!$Q:$Q, "&lt;=" &amp; E$2)</f>
        <v>46</v>
      </c>
      <c r="F7">
        <f>COUNTIFS(AllTasks!$Q:$Q, "&gt;=" &amp; F$1, AllTasks!$Q:$Q, "&lt;=" &amp; F$2)</f>
        <v>51</v>
      </c>
      <c r="G7">
        <f>COUNTIFS(AllTasks!$Q:$Q, "&gt;=" &amp; G$1, AllTasks!$Q:$Q, "&lt;=" &amp; G$2)</f>
        <v>43</v>
      </c>
      <c r="H7">
        <f>COUNTIFS(AllTasks!$Q:$Q, "&gt;=" &amp; H$1, AllTasks!$Q:$Q, "&lt;=" &amp; H$2)</f>
        <v>41</v>
      </c>
      <c r="I7">
        <f>COUNTIFS(AllTasks!$Q:$Q, "&gt;=" &amp; I$1, AllTasks!$Q:$Q, "&lt;=" &amp; I$2)</f>
        <v>45</v>
      </c>
      <c r="J7">
        <f>COUNTIFS(AllTasks!$Q:$Q, "&gt;=" &amp; J$1, AllTasks!$Q:$Q, "&lt;=" &amp; J$2)</f>
        <v>37</v>
      </c>
      <c r="K7">
        <f>COUNTIFS(AllTasks!$Q:$Q, "&gt;=" &amp; K$1, AllTasks!$Q:$Q, "&lt;=" &amp; K$2)</f>
        <v>54</v>
      </c>
      <c r="L7">
        <f>COUNTIFS(AllTasks!$Q:$Q, "&gt;=" &amp; L$1, AllTasks!$Q:$Q, "&lt;=" &amp; L$2)</f>
        <v>54</v>
      </c>
      <c r="M7">
        <f>COUNTIFS(AllTasks!$Q:$Q, "&gt;=" &amp; M$1, AllTasks!$Q:$Q, "&lt;=" &amp; M$2)</f>
        <v>40</v>
      </c>
      <c r="N7">
        <f>COUNTIFS(AllTasks!$Q:$Q, "&gt;=" &amp; N$1, AllTasks!$Q:$Q, "&lt;=" &amp; N$2)</f>
        <v>54</v>
      </c>
      <c r="O7">
        <f>COUNTIFS(AllTasks!$Q:$Q, "&gt;=" &amp; O$1, AllTasks!$Q:$Q, "&lt;=" &amp; O$2)</f>
        <v>60</v>
      </c>
      <c r="P7">
        <f>COUNTIFS(AllTasks!$Q:$Q, "&gt;=" &amp; P$1, AllTasks!$Q:$Q, "&lt;=" &amp; P$2)</f>
        <v>44</v>
      </c>
      <c r="Q7">
        <f>COUNTIFS(AllTasks!$Q:$Q, "&gt;=" &amp; Q$1, AllTasks!$Q:$Q, "&lt;=" &amp; Q$2)</f>
        <v>51</v>
      </c>
      <c r="R7">
        <f>COUNTIFS(AllTasks!$Q:$Q, "&gt;=" &amp; R$1, AllTasks!$Q:$Q, "&lt;=" &amp; R$2)</f>
        <v>44</v>
      </c>
      <c r="S7">
        <f>COUNTIFS(AllTasks!$Q:$Q, "&gt;=" &amp; S$1, AllTasks!$Q:$Q, "&lt;=" &amp; S$2)</f>
        <v>52</v>
      </c>
      <c r="T7">
        <f>COUNTIFS(AllTasks!$Q:$Q, "&gt;=" &amp; T$1, AllTasks!$Q:$Q, "&lt;=" &amp; T$2)</f>
        <v>44</v>
      </c>
      <c r="U7">
        <f>COUNTIFS(AllTasks!$Q:$Q, "&gt;=" &amp; U$1, AllTasks!$Q:$Q, "&lt;=" &amp; U$2)</f>
        <v>3</v>
      </c>
      <c r="V7">
        <f>COUNTIFS(AllTasks!$Q:$Q, "&gt;=" &amp; V$1, AllTasks!$Q:$Q, "&lt;=" &amp; V$2)</f>
        <v>0</v>
      </c>
      <c r="W7">
        <f>COUNTIFS(AllTasks!$Q:$Q, "&gt;=" &amp; W$1, AllTasks!$Q:$Q, "&lt;=" &amp; W$2)</f>
        <v>0</v>
      </c>
      <c r="X7">
        <f>COUNTIFS(AllTasks!$Q:$Q, "&gt;=" &amp; X$1, AllTasks!$Q:$Q, "&lt;=" &amp; X$2)</f>
        <v>0</v>
      </c>
      <c r="Y7">
        <f>COUNTIFS(AllTasks!$Q:$Q, "&gt;=" &amp; Y$1, AllTasks!$Q:$Q, "&lt;=" &amp; Y$2)</f>
        <v>0</v>
      </c>
    </row>
    <row r="8" spans="1:25" x14ac:dyDescent="0.35">
      <c r="A8" s="16" t="s">
        <v>1961</v>
      </c>
      <c r="B8">
        <f>SUMIFS(AllTasks!$AA:$AA, AllTasks!$Q:$Q, "&gt;=" &amp; B$1, AllTasks!$Q:$Q, "&lt;=" &amp; B$2)</f>
        <v>5930.9953819444636</v>
      </c>
      <c r="C8">
        <f>SUMIFS(AllTasks!$AA:$AA, AllTasks!$Q:$Q, "&gt;=" &amp; C$1, AllTasks!$Q:$Q, "&lt;=" &amp; C$2)</f>
        <v>5484.0236805555614</v>
      </c>
      <c r="D8">
        <f>SUMIFS(AllTasks!$AA:$AA, AllTasks!$Q:$Q, "&gt;=" &amp; D$1, AllTasks!$Q:$Q, "&lt;=" &amp; D$2)</f>
        <v>5208.9899884258921</v>
      </c>
      <c r="E8">
        <f>SUMIFS(AllTasks!$AA:$AA, AllTasks!$Q:$Q, "&gt;=" &amp; E$1, AllTasks!$Q:$Q, "&lt;=" &amp; E$2)</f>
        <v>9092.4363310185145</v>
      </c>
      <c r="F8">
        <f>SUMIFS(AllTasks!$AA:$AA, AllTasks!$Q:$Q, "&gt;=" &amp; F$1, AllTasks!$Q:$Q, "&lt;=" &amp; F$2)</f>
        <v>5180.4083680555632</v>
      </c>
      <c r="G8">
        <f>SUMIFS(AllTasks!$AA:$AA, AllTasks!$Q:$Q, "&gt;=" &amp; G$1, AllTasks!$Q:$Q, "&lt;=" &amp; G$2)</f>
        <v>8336.9926851851924</v>
      </c>
      <c r="H8">
        <f>SUMIFS(AllTasks!$AA:$AA, AllTasks!$Q:$Q, "&gt;=" &amp; H$1, AllTasks!$Q:$Q, "&lt;=" &amp; H$2)</f>
        <v>5302.5919212962981</v>
      </c>
      <c r="I8">
        <f>SUMIFS(AllTasks!$AA:$AA, AllTasks!$Q:$Q, "&gt;=" &amp; I$1, AllTasks!$Q:$Q, "&lt;=" &amp; I$2)</f>
        <v>5305.8373958333686</v>
      </c>
      <c r="J8">
        <f>SUMIFS(AllTasks!$AA:$AA, AllTasks!$Q:$Q, "&gt;=" &amp; J$1, AllTasks!$Q:$Q, "&lt;=" &amp; J$2)</f>
        <v>4332.0742361111188</v>
      </c>
      <c r="K8">
        <f>SUMIFS(AllTasks!$AA:$AA, AllTasks!$Q:$Q, "&gt;=" &amp; K$1, AllTasks!$Q:$Q, "&lt;=" &amp; K$2)</f>
        <v>11404.667916666716</v>
      </c>
      <c r="L8">
        <f>SUMIFS(AllTasks!$AA:$AA, AllTasks!$Q:$Q, "&gt;=" &amp; L$1, AllTasks!$Q:$Q, "&lt;=" &amp; L$2)</f>
        <v>7315.4662962963339</v>
      </c>
      <c r="M8">
        <f>SUMIFS(AllTasks!$AA:$AA, AllTasks!$Q:$Q, "&gt;=" &amp; M$1, AllTasks!$Q:$Q, "&lt;=" &amp; M$2)</f>
        <v>4861.3278472222228</v>
      </c>
      <c r="N8">
        <f>SUMIFS(AllTasks!$AA:$AA, AllTasks!$Q:$Q, "&gt;=" &amp; N$1, AllTasks!$Q:$Q, "&lt;=" &amp; N$2)</f>
        <v>7836.4070254629551</v>
      </c>
      <c r="O8">
        <f>SUMIFS(AllTasks!$AA:$AA, AllTasks!$Q:$Q, "&gt;=" &amp; O$1, AllTasks!$Q:$Q, "&lt;=" &amp; O$2)</f>
        <v>8638.4076967592191</v>
      </c>
      <c r="P8">
        <f>SUMIFS(AllTasks!$AA:$AA, AllTasks!$Q:$Q, "&gt;=" &amp; P$1, AllTasks!$Q:$Q, "&lt;=" &amp; P$2)</f>
        <v>8547.7724189814617</v>
      </c>
      <c r="Q8">
        <f>SUMIFS(AllTasks!$AA:$AA, AllTasks!$Q:$Q, "&gt;=" &amp; Q$1, AllTasks!$Q:$Q, "&lt;=" &amp; Q$2)</f>
        <v>7058.881597222251</v>
      </c>
      <c r="R8">
        <f>SUMIFS(AllTasks!$AA:$AA, AllTasks!$Q:$Q, "&gt;=" &amp; R$1, AllTasks!$Q:$Q, "&lt;=" &amp; R$2)</f>
        <v>5434.1082754629679</v>
      </c>
      <c r="S8">
        <f>SUMIFS(AllTasks!$AA:$AA, AllTasks!$Q:$Q, "&gt;=" &amp; S$1, AllTasks!$Q:$Q, "&lt;=" &amp; S$2)</f>
        <v>6983.0405555555844</v>
      </c>
      <c r="T8">
        <f>SUMIFS(AllTasks!$AA:$AA, AllTasks!$Q:$Q, "&gt;=" &amp; T$1, AllTasks!$Q:$Q, "&lt;=" &amp; T$2)</f>
        <v>5760.0700347222446</v>
      </c>
      <c r="U8">
        <f>SUMIFS(AllTasks!$AA:$AA, AllTasks!$Q:$Q, "&gt;=" &amp; U$1, AllTasks!$Q:$Q, "&lt;=" &amp; U$2)</f>
        <v>159.21634259259736</v>
      </c>
      <c r="V8">
        <f>SUMIFS(AllTasks!$AA:$AA, AllTasks!$Q:$Q, "&gt;=" &amp; V$1, AllTasks!$Q:$Q, "&lt;=" &amp; V$2)</f>
        <v>0</v>
      </c>
      <c r="W8">
        <f>SUMIFS(AllTasks!$AA:$AA, AllTasks!$Q:$Q, "&gt;=" &amp; W$1, AllTasks!$Q:$Q, "&lt;=" &amp; W$2)</f>
        <v>0</v>
      </c>
      <c r="X8">
        <f>SUMIFS(AllTasks!$AA:$AA, AllTasks!$Q:$Q, "&gt;=" &amp; X$1, AllTasks!$Q:$Q, "&lt;=" &amp; X$2)</f>
        <v>0</v>
      </c>
      <c r="Y8">
        <f>SUMIFS(AllTasks!$AA:$AA, AllTasks!$Q:$Q, "&gt;=" &amp; Y$1, AllTasks!$Q:$Q, "&lt;=" &amp; Y$2)</f>
        <v>0</v>
      </c>
    </row>
    <row r="9" spans="1:25" x14ac:dyDescent="0.35">
      <c r="A9" s="16" t="s">
        <v>2015</v>
      </c>
      <c r="B9" s="17">
        <f>IF(B7=0, "", B8 / B7)</f>
        <v>144.65842394986495</v>
      </c>
      <c r="C9" s="17">
        <f t="shared" ref="C9:Y9" si="1">IF(C7=0, "", C8 / C7)</f>
        <v>119.21790609903394</v>
      </c>
      <c r="D9" s="17">
        <f t="shared" si="1"/>
        <v>140.78351320069979</v>
      </c>
      <c r="E9" s="17">
        <f t="shared" si="1"/>
        <v>197.66165936996771</v>
      </c>
      <c r="F9" s="17">
        <f t="shared" si="1"/>
        <v>101.57663466775614</v>
      </c>
      <c r="G9" s="17">
        <f t="shared" si="1"/>
        <v>193.88355081826029</v>
      </c>
      <c r="H9" s="17">
        <f t="shared" si="1"/>
        <v>129.33151027551946</v>
      </c>
      <c r="I9" s="17">
        <f t="shared" si="1"/>
        <v>117.90749768518597</v>
      </c>
      <c r="J9" s="17">
        <f t="shared" si="1"/>
        <v>117.08308746246267</v>
      </c>
      <c r="K9" s="17">
        <f t="shared" si="1"/>
        <v>211.19755401234659</v>
      </c>
      <c r="L9" s="17">
        <f t="shared" si="1"/>
        <v>135.47159807956174</v>
      </c>
      <c r="M9" s="17">
        <f t="shared" si="1"/>
        <v>121.53319618055556</v>
      </c>
      <c r="N9" s="17">
        <f t="shared" si="1"/>
        <v>145.11864861968436</v>
      </c>
      <c r="O9" s="17">
        <f t="shared" si="1"/>
        <v>143.97346161265367</v>
      </c>
      <c r="P9" s="17">
        <f t="shared" si="1"/>
        <v>194.26755497685141</v>
      </c>
      <c r="Q9" s="17">
        <f t="shared" si="1"/>
        <v>138.40944308278924</v>
      </c>
      <c r="R9" s="17">
        <f t="shared" si="1"/>
        <v>123.50246080597654</v>
      </c>
      <c r="S9" s="17">
        <f t="shared" si="1"/>
        <v>134.289241452992</v>
      </c>
      <c r="T9" s="17">
        <f t="shared" si="1"/>
        <v>130.91068260732374</v>
      </c>
      <c r="U9" s="17">
        <f t="shared" si="1"/>
        <v>53.07211419753245</v>
      </c>
      <c r="V9" s="17" t="str">
        <f t="shared" si="1"/>
        <v/>
      </c>
      <c r="W9" s="17" t="str">
        <f t="shared" si="1"/>
        <v/>
      </c>
      <c r="X9" s="17" t="str">
        <f t="shared" si="1"/>
        <v/>
      </c>
      <c r="Y9" s="17" t="str">
        <f t="shared" si="1"/>
        <v/>
      </c>
    </row>
    <row r="10" spans="1:25" x14ac:dyDescent="0.35">
      <c r="A10" s="16" t="s">
        <v>2016</v>
      </c>
      <c r="B10" s="17">
        <f>IF(B7=0, "", AVERAGEIFS(AllTasks!$AK:$AK, AllTasks!$Q:$Q, "&gt;=" &amp; B$1, AllTasks!$Q:$Q, "&lt;=" &amp; B$2))</f>
        <v>6.2935531752485012</v>
      </c>
      <c r="C10" s="17">
        <f>IF(C7=0, "", AVERAGEIFS(AllTasks!$AK:$AK, AllTasks!$Q:$Q, "&gt;=" &amp; C$1, AllTasks!$Q:$Q, "&lt;=" &amp; C$2))</f>
        <v>1.7392628592995449</v>
      </c>
      <c r="D10" s="17">
        <f>IF(D7=0, "", AVERAGEIFS(AllTasks!$AK:$AK, AllTasks!$Q:$Q, "&gt;=" &amp; D$1, AllTasks!$Q:$Q, "&lt;=" &amp; D$2))</f>
        <v>6.4191638360236931</v>
      </c>
      <c r="E10" s="17">
        <f>IF(E7=0, "", AVERAGEIFS(AllTasks!$AK:$AK, AllTasks!$Q:$Q, "&gt;=" &amp; E$1, AllTasks!$Q:$Q, "&lt;=" &amp; E$2))</f>
        <v>7.3740281594709023</v>
      </c>
      <c r="F10" s="17">
        <f>IF(F7=0, "", AVERAGEIFS(AllTasks!$AK:$AK, AllTasks!$Q:$Q, "&gt;=" &amp; F$1, AllTasks!$Q:$Q, "&lt;=" &amp; F$2))</f>
        <v>2.9977782427833484</v>
      </c>
      <c r="G10" s="17">
        <f>IF(G7=0, "", AVERAGEIFS(AllTasks!$AK:$AK, AllTasks!$Q:$Q, "&gt;=" &amp; G$1, AllTasks!$Q:$Q, "&lt;=" &amp; G$2))</f>
        <v>9.7131124475130246</v>
      </c>
      <c r="H10" s="17">
        <f>IF(H7=0, "", AVERAGEIFS(AllTasks!$AK:$AK, AllTasks!$Q:$Q, "&gt;=" &amp; H$1, AllTasks!$Q:$Q, "&lt;=" &amp; H$2))</f>
        <v>6.5829788722334257</v>
      </c>
      <c r="I10" s="17">
        <f>IF(I7=0, "", AVERAGEIFS(AllTasks!$AK:$AK, AllTasks!$Q:$Q, "&gt;=" &amp; I$1, AllTasks!$Q:$Q, "&lt;=" &amp; I$2))</f>
        <v>10.871071442129324</v>
      </c>
      <c r="J10" s="17">
        <f>IF(J7=0, "", AVERAGEIFS(AllTasks!$AK:$AK, AllTasks!$Q:$Q, "&gt;=" &amp; J$1, AllTasks!$Q:$Q, "&lt;=" &amp; J$2))</f>
        <v>11.945211238426005</v>
      </c>
      <c r="K10" s="17">
        <f>IF(K7=0, "", AVERAGEIFS(AllTasks!$AK:$AK, AllTasks!$Q:$Q, "&gt;=" &amp; K$1, AllTasks!$Q:$Q, "&lt;=" &amp; K$2))</f>
        <v>12.647598536951355</v>
      </c>
      <c r="L10" s="17">
        <f>IF(L7=0, "", AVERAGEIFS(AllTasks!$AK:$AK, AllTasks!$Q:$Q, "&gt;=" &amp; L$1, AllTasks!$Q:$Q, "&lt;=" &amp; L$2))</f>
        <v>11.802930252486274</v>
      </c>
      <c r="M10" s="17">
        <f>IF(M7=0, "", AVERAGEIFS(AllTasks!$AK:$AK, AllTasks!$Q:$Q, "&gt;=" &amp; M$1, AllTasks!$Q:$Q, "&lt;=" &amp; M$2))</f>
        <v>25.669710163194395</v>
      </c>
      <c r="N10" s="17">
        <f>IF(N7=0, "", AVERAGEIFS(AllTasks!$AK:$AK, AllTasks!$Q:$Q, "&gt;=" &amp; N$1, AllTasks!$Q:$Q, "&lt;=" &amp; N$2))</f>
        <v>23.191783860811146</v>
      </c>
      <c r="O10" s="17">
        <f>IF(O7=0, "", AVERAGEIFS(AllTasks!$AK:$AK, AllTasks!$Q:$Q, "&gt;=" &amp; O$1, AllTasks!$Q:$Q, "&lt;=" &amp; O$2))</f>
        <v>20.928832739583836</v>
      </c>
      <c r="P10" s="17">
        <f>IF(P7=0, "", AVERAGEIFS(AllTasks!$AK:$AK, AllTasks!$Q:$Q, "&gt;=" &amp; P$1, AllTasks!$Q:$Q, "&lt;=" &amp; P$2))</f>
        <v>27.113315623421922</v>
      </c>
      <c r="Q10" s="17">
        <f>IF(Q7=0, "", AVERAGEIFS(AllTasks!$AK:$AK, AllTasks!$Q:$Q, "&gt;=" &amp; Q$1, AllTasks!$Q:$Q, "&lt;=" &amp; Q$2))</f>
        <v>12.169027291666447</v>
      </c>
      <c r="R10" s="17">
        <f>IF(R7=0, "", AVERAGEIFS(AllTasks!$AK:$AK, AllTasks!$Q:$Q, "&gt;=" &amp; R$1, AllTasks!$Q:$Q, "&lt;=" &amp; R$2))</f>
        <v>12.142603001630876</v>
      </c>
      <c r="S10" s="17">
        <f>IF(S7=0, "", AVERAGEIFS(AllTasks!$AK:$AK, AllTasks!$Q:$Q, "&gt;=" &amp; S$1, AllTasks!$Q:$Q, "&lt;=" &amp; S$2))</f>
        <v>11.616659899171841</v>
      </c>
      <c r="T10" s="17">
        <f>IF(T7=0, "", AVERAGEIFS(AllTasks!$AK:$AK, AllTasks!$Q:$Q, "&gt;=" &amp; T$1, AllTasks!$Q:$Q, "&lt;=" &amp; T$2))</f>
        <v>20.625766887626511</v>
      </c>
      <c r="U10" s="17">
        <f>IF(U7=0, "", AVERAGEIFS(AllTasks!$AK:$AK, AllTasks!$Q:$Q, "&gt;=" &amp; U$1, AllTasks!$Q:$Q, "&lt;=" &amp; U$2))</f>
        <v>1.3333333333333333</v>
      </c>
      <c r="V10" s="17" t="str">
        <f>IF(V7=0, "", AVERAGEIFS(AllTasks!$AK:$AK, AllTasks!$Q:$Q, "&gt;=" &amp; V$1, AllTasks!$Q:$Q, "&lt;=" &amp; V$2))</f>
        <v/>
      </c>
      <c r="W10" s="17" t="str">
        <f>IF(W7=0, "", AVERAGEIFS(AllTasks!$AK:$AK, AllTasks!$Q:$Q, "&gt;=" &amp; W$1, AllTasks!$Q:$Q, "&lt;=" &amp; W$2))</f>
        <v/>
      </c>
      <c r="X10" s="17" t="str">
        <f>IF(X7=0, "", AVERAGEIFS(AllTasks!$AK:$AK, AllTasks!$Q:$Q, "&gt;=" &amp; X$1, AllTasks!$Q:$Q, "&lt;=" &amp; X$2))</f>
        <v/>
      </c>
      <c r="Y10" s="17" t="str">
        <f>IF(Y7=0, "", AVERAGEIFS(AllTasks!$AK:$AK, AllTasks!$Q:$Q, "&gt;=" &amp; Y$1, AllTasks!$Q:$Q, "&lt;=" &amp; Y$2))</f>
        <v/>
      </c>
    </row>
    <row r="11" spans="1:25" x14ac:dyDescent="0.35">
      <c r="A11" s="16" t="s">
        <v>2017</v>
      </c>
      <c r="B11" s="17">
        <f>IFERROR(AVERAGEIFS(AllTasks!$AL:$AL, AllTasks!$Q:$Q, "&gt;=" &amp; B$1, AllTasks!$Q:$Q, "&lt;=" &amp; B$2), "")</f>
        <v>138.36487077461646</v>
      </c>
      <c r="C11" s="17">
        <f>IFERROR(AVERAGEIFS(AllTasks!$AL:$AL, AllTasks!$Q:$Q, "&gt;=" &amp; C$1, AllTasks!$Q:$Q, "&lt;=" &amp; C$2), "")</f>
        <v>117.4786432397344</v>
      </c>
      <c r="D11" s="17">
        <f>IFERROR(AVERAGEIFS(AllTasks!$AL:$AL, AllTasks!$Q:$Q, "&gt;=" &amp; D$1, AllTasks!$Q:$Q, "&lt;=" &amp; D$2), "")</f>
        <v>134.36434936467609</v>
      </c>
      <c r="E11" s="17">
        <f>IFERROR(AVERAGEIFS(AllTasks!$AL:$AL, AllTasks!$Q:$Q, "&gt;=" &amp; E$1, AllTasks!$Q:$Q, "&lt;=" &amp; E$2), "")</f>
        <v>190.28763121049681</v>
      </c>
      <c r="F11" s="17">
        <f>IFERROR(AVERAGEIFS(AllTasks!$AL:$AL, AllTasks!$Q:$Q, "&gt;=" &amp; F$1, AllTasks!$Q:$Q, "&lt;=" &amp; F$2), "")</f>
        <v>98.578856424972798</v>
      </c>
      <c r="G11" s="17">
        <f>IFERROR(AVERAGEIFS(AllTasks!$AL:$AL, AllTasks!$Q:$Q, "&gt;=" &amp; G$1, AllTasks!$Q:$Q, "&lt;=" &amp; G$2), "")</f>
        <v>184.17043837074726</v>
      </c>
      <c r="H11" s="17">
        <f>IFERROR(AVERAGEIFS(AllTasks!$AL:$AL, AllTasks!$Q:$Q, "&gt;=" &amp; H$1, AllTasks!$Q:$Q, "&lt;=" &amp; H$2), "")</f>
        <v>122.74853140328604</v>
      </c>
      <c r="I11" s="17">
        <f>IFERROR(AVERAGEIFS(AllTasks!$AL:$AL, AllTasks!$Q:$Q, "&gt;=" &amp; I$1, AllTasks!$Q:$Q, "&lt;=" &amp; I$2), "")</f>
        <v>107.03642624305665</v>
      </c>
      <c r="J11" s="17">
        <f>IFERROR(AVERAGEIFS(AllTasks!$AL:$AL, AllTasks!$Q:$Q, "&gt;=" &amp; J$1, AllTasks!$Q:$Q, "&lt;=" &amp; J$2), "")</f>
        <v>105.13787622403666</v>
      </c>
      <c r="K11" s="17">
        <f>IFERROR(AVERAGEIFS(AllTasks!$AL:$AL, AllTasks!$Q:$Q, "&gt;=" &amp; K$1, AllTasks!$Q:$Q, "&lt;=" &amp; K$2), "")</f>
        <v>198.54995547539525</v>
      </c>
      <c r="L11" s="17">
        <f>IFERROR(AVERAGEIFS(AllTasks!$AL:$AL, AllTasks!$Q:$Q, "&gt;=" &amp; L$1, AllTasks!$Q:$Q, "&lt;=" &amp; L$2), "")</f>
        <v>123.66866782707547</v>
      </c>
      <c r="M11" s="17">
        <f>IFERROR(AVERAGEIFS(AllTasks!$AL:$AL, AllTasks!$Q:$Q, "&gt;=" &amp; M$1, AllTasks!$Q:$Q, "&lt;=" &amp; M$2), "")</f>
        <v>95.863486017361168</v>
      </c>
      <c r="N11" s="17">
        <f>IFERROR(AVERAGEIFS(AllTasks!$AL:$AL, AllTasks!$Q:$Q, "&gt;=" &amp; N$1, AllTasks!$Q:$Q, "&lt;=" &amp; N$2), "")</f>
        <v>121.92686475887321</v>
      </c>
      <c r="O11" s="17">
        <f>IFERROR(AVERAGEIFS(AllTasks!$AL:$AL, AllTasks!$Q:$Q, "&gt;=" &amp; O$1, AllTasks!$Q:$Q, "&lt;=" &amp; O$2), "")</f>
        <v>123.04462887306981</v>
      </c>
      <c r="P11" s="17">
        <f>IFERROR(AVERAGEIFS(AllTasks!$AL:$AL, AllTasks!$Q:$Q, "&gt;=" &amp; P$1, AllTasks!$Q:$Q, "&lt;=" &amp; P$2), "")</f>
        <v>167.15423935342949</v>
      </c>
      <c r="Q11" s="17">
        <f>IFERROR(AVERAGEIFS(AllTasks!$AL:$AL, AllTasks!$Q:$Q, "&gt;=" &amp; Q$1, AllTasks!$Q:$Q, "&lt;=" &amp; Q$2), "")</f>
        <v>126.24041579112279</v>
      </c>
      <c r="R11" s="17">
        <f>IFERROR(AVERAGEIFS(AllTasks!$AL:$AL, AllTasks!$Q:$Q, "&gt;=" &amp; R$1, AllTasks!$Q:$Q, "&lt;=" &amp; R$2), "")</f>
        <v>111.35985780434567</v>
      </c>
      <c r="S11" s="17">
        <f>IFERROR(AVERAGEIFS(AllTasks!$AL:$AL, AllTasks!$Q:$Q, "&gt;=" &amp; S$1, AllTasks!$Q:$Q, "&lt;=" &amp; S$2), "")</f>
        <v>122.67258155382017</v>
      </c>
      <c r="T11" s="17">
        <f>IFERROR(AVERAGEIFS(AllTasks!$AL:$AL, AllTasks!$Q:$Q, "&gt;=" &amp; T$1, AllTasks!$Q:$Q, "&lt;=" &amp; T$2), "")</f>
        <v>110.28491571969722</v>
      </c>
      <c r="U11" s="17">
        <f>IFERROR(AVERAGEIFS(AllTasks!$AL:$AL, AllTasks!$Q:$Q, "&gt;=" &amp; U$1, AllTasks!$Q:$Q, "&lt;=" &amp; U$2), "")</f>
        <v>51.738780864199121</v>
      </c>
      <c r="V11" s="17" t="str">
        <f>IFERROR(AVERAGEIFS(AllTasks!$AL:$AL, AllTasks!$Q:$Q, "&gt;=" &amp; V$1, AllTasks!$Q:$Q, "&lt;=" &amp; V$2), "")</f>
        <v/>
      </c>
      <c r="W11" s="17" t="str">
        <f>IFERROR(AVERAGEIFS(AllTasks!$AL:$AL, AllTasks!$Q:$Q, "&gt;=" &amp; W$1, AllTasks!$Q:$Q, "&lt;=" &amp; W$2), "")</f>
        <v/>
      </c>
      <c r="X11" s="17" t="str">
        <f>IFERROR(AVERAGEIFS(AllTasks!$AL:$AL, AllTasks!$Q:$Q, "&gt;=" &amp; X$1, AllTasks!$Q:$Q, "&lt;=" &amp; X$2), "")</f>
        <v/>
      </c>
      <c r="Y11" s="17" t="str">
        <f>IFERROR(AVERAGEIFS(AllTasks!$AL:$AL, AllTasks!$Q:$Q, "&gt;=" &amp; Y$1, AllTasks!$Q:$Q, "&lt;=" &amp; Y$2), "")</f>
        <v/>
      </c>
    </row>
    <row r="14" spans="1:25" x14ac:dyDescent="0.35">
      <c r="B14" s="221" t="s">
        <v>2018</v>
      </c>
      <c r="C14" s="222"/>
      <c r="D14" s="222"/>
      <c r="E14" s="222"/>
      <c r="F14" s="222"/>
      <c r="G14" s="222"/>
      <c r="H14" s="222"/>
      <c r="I14" s="222"/>
      <c r="J14" s="222"/>
      <c r="K14" s="222"/>
      <c r="L14" s="222"/>
      <c r="M14" s="223"/>
    </row>
    <row r="15" spans="1:25" x14ac:dyDescent="0.35">
      <c r="A15" s="15" t="s">
        <v>2013</v>
      </c>
      <c r="B15" s="19">
        <v>45292</v>
      </c>
      <c r="C15" s="19">
        <v>45323</v>
      </c>
      <c r="D15" s="19">
        <v>45352</v>
      </c>
      <c r="E15" s="19">
        <v>45383</v>
      </c>
      <c r="F15" s="19">
        <v>45413</v>
      </c>
      <c r="G15" s="19">
        <v>45444</v>
      </c>
      <c r="H15" s="19">
        <v>45474</v>
      </c>
      <c r="I15" s="19">
        <v>45505</v>
      </c>
      <c r="J15" s="19">
        <v>45536</v>
      </c>
      <c r="K15" s="19">
        <v>45566</v>
      </c>
      <c r="L15" s="19">
        <v>45597</v>
      </c>
      <c r="M15" s="20">
        <v>45627</v>
      </c>
      <c r="N15" s="22">
        <v>45658</v>
      </c>
      <c r="O15" s="22">
        <v>45689</v>
      </c>
      <c r="P15" s="22">
        <v>45717</v>
      </c>
      <c r="Q15" s="22">
        <v>45748</v>
      </c>
      <c r="R15" s="22">
        <v>45778</v>
      </c>
      <c r="S15" s="22">
        <v>45809</v>
      </c>
      <c r="T15" s="22">
        <v>45839</v>
      </c>
      <c r="U15" s="22">
        <v>45870</v>
      </c>
      <c r="V15" s="22">
        <v>45901</v>
      </c>
      <c r="W15" s="22">
        <v>45931</v>
      </c>
      <c r="X15" s="22">
        <v>45962</v>
      </c>
      <c r="Y15" s="22">
        <v>45992</v>
      </c>
    </row>
    <row r="16" spans="1:25" x14ac:dyDescent="0.35">
      <c r="A16" s="16" t="s">
        <v>2014</v>
      </c>
      <c r="B16">
        <f>COUNTIFS(
  AllTasks!$I:$I, "Repair-EA",
  AllTasks!$Q:$Q, "&gt;=" &amp; B$1,
  AllTasks!$Q:$Q, "&lt;=" &amp; B$2
)</f>
        <v>41</v>
      </c>
      <c r="C16">
        <f>COUNTIFS(
  AllTasks!$I:$I, "Repair-EA",
  AllTasks!$Q:$Q, "&gt;=" &amp; C$1,
  AllTasks!$Q:$Q, "&lt;=" &amp; C$2
)</f>
        <v>46</v>
      </c>
      <c r="D16">
        <f>COUNTIFS(
  AllTasks!$I:$I, "Repair-EA",
  AllTasks!$Q:$Q, "&gt;=" &amp; D$1,
  AllTasks!$Q:$Q, "&lt;=" &amp; D$2
)</f>
        <v>37</v>
      </c>
      <c r="E16">
        <f>COUNTIFS(
  AllTasks!$I:$I, "Repair-EA",
  AllTasks!$Q:$Q, "&gt;=" &amp; E$1,
  AllTasks!$Q:$Q, "&lt;=" &amp; E$2
)</f>
        <v>46</v>
      </c>
      <c r="F16">
        <f>COUNTIFS(
  AllTasks!$I:$I, "Repair-EA",
  AllTasks!$Q:$Q, "&gt;=" &amp; F$1,
  AllTasks!$Q:$Q, "&lt;=" &amp; F$2
)</f>
        <v>51</v>
      </c>
      <c r="G16">
        <f>COUNTIFS(
  AllTasks!$I:$I, "Repair-EA",
  AllTasks!$Q:$Q, "&gt;=" &amp; G$1,
  AllTasks!$Q:$Q, "&lt;=" &amp; G$2
)</f>
        <v>43</v>
      </c>
      <c r="H16">
        <f>COUNTIFS(
  AllTasks!$I:$I, "Repair-EA",
  AllTasks!$Q:$Q, "&gt;=" &amp; H$1,
  AllTasks!$Q:$Q, "&lt;=" &amp; H$2
)</f>
        <v>41</v>
      </c>
      <c r="I16">
        <f>COUNTIFS(
  AllTasks!$I:$I, "Repair-EA",
  AllTasks!$Q:$Q, "&gt;=" &amp; I$1,
  AllTasks!$Q:$Q, "&lt;=" &amp; I$2
)</f>
        <v>45</v>
      </c>
      <c r="J16">
        <f>COUNTIFS(
  AllTasks!$I:$I, "Repair-EA",
  AllTasks!$Q:$Q, "&gt;=" &amp; J$1,
  AllTasks!$Q:$Q, "&lt;=" &amp; J$2
)</f>
        <v>37</v>
      </c>
      <c r="K16">
        <f>COUNTIFS(
  AllTasks!$I:$I, "Repair-EA",
  AllTasks!$Q:$Q, "&gt;=" &amp; K$1,
  AllTasks!$Q:$Q, "&lt;=" &amp; K$2
)</f>
        <v>54</v>
      </c>
      <c r="L16">
        <f>COUNTIFS(
  AllTasks!$I:$I, "Repair-EA",
  AllTasks!$Q:$Q, "&gt;=" &amp; L$1,
  AllTasks!$Q:$Q, "&lt;=" &amp; L$2
)</f>
        <v>54</v>
      </c>
      <c r="M16">
        <f>COUNTIFS(
  AllTasks!$I:$I, "Repair-EA",
  AllTasks!$Q:$Q, "&gt;=" &amp; M$1,
  AllTasks!$Q:$Q, "&lt;=" &amp; M$2
)</f>
        <v>40</v>
      </c>
      <c r="N16">
        <f>COUNTIFS(
  AllTasks!$I:$I, "Repair-EA",
  AllTasks!$Q:$Q, "&gt;=" &amp; N$1,
  AllTasks!$Q:$Q, "&lt;=" &amp; N$2
)</f>
        <v>54</v>
      </c>
      <c r="O16">
        <f>COUNTIFS(
  AllTasks!$I:$I, "Repair-EA",
  AllTasks!$Q:$Q, "&gt;=" &amp; O$1,
  AllTasks!$Q:$Q, "&lt;=" &amp; O$2
)</f>
        <v>60</v>
      </c>
      <c r="P16">
        <f>COUNTIFS(
  AllTasks!$I:$I, "Repair-EA",
  AllTasks!$Q:$Q, "&gt;=" &amp; P$1,
  AllTasks!$Q:$Q, "&lt;=" &amp; P$2
)</f>
        <v>44</v>
      </c>
      <c r="Q16">
        <f>COUNTIFS(
  AllTasks!$I:$I, "Repair-EA",
  AllTasks!$Q:$Q, "&gt;=" &amp; Q$1,
  AllTasks!$Q:$Q, "&lt;=" &amp; Q$2
)</f>
        <v>51</v>
      </c>
      <c r="R16">
        <f>COUNTIFS(
  AllTasks!$I:$I, "Repair-EA",
  AllTasks!$Q:$Q, "&gt;=" &amp; R$1,
  AllTasks!$Q:$Q, "&lt;=" &amp; R$2
)</f>
        <v>44</v>
      </c>
      <c r="S16">
        <f>COUNTIFS(
  AllTasks!$I:$I, "Repair-EA",
  AllTasks!$Q:$Q, "&gt;=" &amp; S$1,
  AllTasks!$Q:$Q, "&lt;=" &amp; S$2
)</f>
        <v>52</v>
      </c>
      <c r="T16">
        <f>COUNTIFS(
  AllTasks!$I:$I, "Repair-EA",
  AllTasks!$Q:$Q, "&gt;=" &amp; T$1,
  AllTasks!$Q:$Q, "&lt;=" &amp; T$2
)</f>
        <v>44</v>
      </c>
      <c r="U16">
        <f>COUNTIFS(
  AllTasks!$I:$I, "Repair-EA",
  AllTasks!$Q:$Q, "&gt;=" &amp; U$1,
  AllTasks!$Q:$Q, "&lt;=" &amp; U$2
)</f>
        <v>3</v>
      </c>
      <c r="V16">
        <f>COUNTIFS(
  AllTasks!$I:$I, "Repair-EA",
  AllTasks!$Q:$Q, "&gt;=" &amp; V$1,
  AllTasks!$Q:$Q, "&lt;=" &amp; V$2
)</f>
        <v>0</v>
      </c>
      <c r="W16">
        <f>COUNTIFS(
  AllTasks!$I:$I, "Repair-EA",
  AllTasks!$Q:$Q, "&gt;=" &amp; W$1,
  AllTasks!$Q:$Q, "&lt;=" &amp; W$2
)</f>
        <v>0</v>
      </c>
      <c r="X16">
        <f>COUNTIFS(
  AllTasks!$I:$I, "Repair-EA",
  AllTasks!$Q:$Q, "&gt;=" &amp; X$1,
  AllTasks!$Q:$Q, "&lt;=" &amp; X$2
)</f>
        <v>0</v>
      </c>
      <c r="Y16">
        <f>COUNTIFS(
  AllTasks!$I:$I, "Repair-EA",
  AllTasks!$Q:$Q, "&gt;=" &amp; Y$1,
  AllTasks!$Q:$Q, "&lt;=" &amp; Y$2
)</f>
        <v>0</v>
      </c>
    </row>
    <row r="17" spans="1:25" x14ac:dyDescent="0.35">
      <c r="A17" s="16" t="s">
        <v>1961</v>
      </c>
      <c r="B17">
        <f>SUMIFS(
  AllTasks!$AA:$AA,
  AllTasks!$I:$I, "Repair-EA",
  AllTasks!$Q:$Q, "&gt;=" &amp; B$1,
  AllTasks!$Q:$Q, "&lt;=" &amp; B$2
)</f>
        <v>5930.9953819444636</v>
      </c>
      <c r="C17">
        <f>SUMIFS(
  AllTasks!$AA:$AA,
  AllTasks!$I:$I, "Repair-EA",
  AllTasks!$Q:$Q, "&gt;=" &amp; C$1,
  AllTasks!$Q:$Q, "&lt;=" &amp; C$2
)</f>
        <v>5484.0236805555614</v>
      </c>
      <c r="D17">
        <f>SUMIFS(
  AllTasks!$AA:$AA,
  AllTasks!$I:$I, "Repair-EA",
  AllTasks!$Q:$Q, "&gt;=" &amp; D$1,
  AllTasks!$Q:$Q, "&lt;=" &amp; D$2
)</f>
        <v>5208.9899884258921</v>
      </c>
      <c r="E17">
        <f>SUMIFS(
  AllTasks!$AA:$AA,
  AllTasks!$I:$I, "Repair-EA",
  AllTasks!$Q:$Q, "&gt;=" &amp; E$1,
  AllTasks!$Q:$Q, "&lt;=" &amp; E$2
)</f>
        <v>9092.4363310185145</v>
      </c>
      <c r="F17">
        <f>SUMIFS(
  AllTasks!$AA:$AA,
  AllTasks!$I:$I, "Repair-EA",
  AllTasks!$Q:$Q, "&gt;=" &amp; F$1,
  AllTasks!$Q:$Q, "&lt;=" &amp; F$2
)</f>
        <v>5180.4083680555632</v>
      </c>
      <c r="G17">
        <f>SUMIFS(
  AllTasks!$AA:$AA,
  AllTasks!$I:$I, "Repair-EA",
  AllTasks!$Q:$Q, "&gt;=" &amp; G$1,
  AllTasks!$Q:$Q, "&lt;=" &amp; G$2
)</f>
        <v>8336.9926851851924</v>
      </c>
      <c r="H17">
        <f>SUMIFS(
  AllTasks!$AA:$AA,
  AllTasks!$I:$I, "Repair-EA",
  AllTasks!$Q:$Q, "&gt;=" &amp; H$1,
  AllTasks!$Q:$Q, "&lt;=" &amp; H$2
)</f>
        <v>5302.5919212962981</v>
      </c>
      <c r="I17">
        <f>SUMIFS(
  AllTasks!$AA:$AA,
  AllTasks!$I:$I, "Repair-EA",
  AllTasks!$Q:$Q, "&gt;=" &amp; I$1,
  AllTasks!$Q:$Q, "&lt;=" &amp; I$2
)</f>
        <v>5305.8373958333686</v>
      </c>
      <c r="J17">
        <f>SUMIFS(
  AllTasks!$AA:$AA,
  AllTasks!$I:$I, "Repair-EA",
  AllTasks!$Q:$Q, "&gt;=" &amp; J$1,
  AllTasks!$Q:$Q, "&lt;=" &amp; J$2
)</f>
        <v>4332.0742361111188</v>
      </c>
      <c r="K17">
        <f>SUMIFS(
  AllTasks!$AA:$AA,
  AllTasks!$I:$I, "Repair-EA",
  AllTasks!$Q:$Q, "&gt;=" &amp; K$1,
  AllTasks!$Q:$Q, "&lt;=" &amp; K$2
)</f>
        <v>11404.667916666716</v>
      </c>
      <c r="L17">
        <f>SUMIFS(
  AllTasks!$AA:$AA,
  AllTasks!$I:$I, "Repair-EA",
  AllTasks!$Q:$Q, "&gt;=" &amp; L$1,
  AllTasks!$Q:$Q, "&lt;=" &amp; L$2
)</f>
        <v>7315.4662962963339</v>
      </c>
      <c r="M17">
        <f>SUMIFS(
  AllTasks!$AA:$AA,
  AllTasks!$I:$I, "Repair-EA",
  AllTasks!$Q:$Q, "&gt;=" &amp; M$1,
  AllTasks!$Q:$Q, "&lt;=" &amp; M$2
)</f>
        <v>4861.3278472222228</v>
      </c>
      <c r="N17">
        <f>SUMIFS(
  AllTasks!$AA:$AA,
  AllTasks!$I:$I, "Repair-EA",
  AllTasks!$Q:$Q, "&gt;=" &amp; N$1,
  AllTasks!$Q:$Q, "&lt;=" &amp; N$2
)</f>
        <v>7836.4070254629551</v>
      </c>
      <c r="O17">
        <f>SUMIFS(
  AllTasks!$AA:$AA,
  AllTasks!$I:$I, "Repair-EA",
  AllTasks!$Q:$Q, "&gt;=" &amp; O$1,
  AllTasks!$Q:$Q, "&lt;=" &amp; O$2
)</f>
        <v>8638.4076967592191</v>
      </c>
      <c r="P17">
        <f>SUMIFS(
  AllTasks!$AA:$AA,
  AllTasks!$I:$I, "Repair-EA",
  AllTasks!$Q:$Q, "&gt;=" &amp; P$1,
  AllTasks!$Q:$Q, "&lt;=" &amp; P$2
)</f>
        <v>8547.7724189814617</v>
      </c>
      <c r="Q17">
        <f>SUMIFS(
  AllTasks!$AA:$AA,
  AllTasks!$I:$I, "Repair-EA",
  AllTasks!$Q:$Q, "&gt;=" &amp; Q$1,
  AllTasks!$Q:$Q, "&lt;=" &amp; Q$2
)</f>
        <v>7058.881597222251</v>
      </c>
      <c r="R17">
        <f>SUMIFS(
  AllTasks!$AA:$AA,
  AllTasks!$I:$I, "Repair-EA",
  AllTasks!$Q:$Q, "&gt;=" &amp; R$1,
  AllTasks!$Q:$Q, "&lt;=" &amp; R$2
)</f>
        <v>5434.1082754629679</v>
      </c>
      <c r="S17">
        <f>SUMIFS(
  AllTasks!$AA:$AA,
  AllTasks!$I:$I, "Repair-EA",
  AllTasks!$Q:$Q, "&gt;=" &amp; S$1,
  AllTasks!$Q:$Q, "&lt;=" &amp; S$2
)</f>
        <v>6983.0405555555844</v>
      </c>
      <c r="T17">
        <f>SUMIFS(
  AllTasks!$AA:$AA,
  AllTasks!$I:$I, "Repair-EA",
  AllTasks!$Q:$Q, "&gt;=" &amp; T$1,
  AllTasks!$Q:$Q, "&lt;=" &amp; T$2
)</f>
        <v>5760.0700347222446</v>
      </c>
      <c r="U17">
        <f>SUMIFS(
  AllTasks!$AA:$AA,
  AllTasks!$I:$I, "Repair-EA",
  AllTasks!$Q:$Q, "&gt;=" &amp; U$1,
  AllTasks!$Q:$Q, "&lt;=" &amp; U$2
)</f>
        <v>159.21634259259736</v>
      </c>
      <c r="V17">
        <f>SUMIFS(
  AllTasks!$AA:$AA,
  AllTasks!$I:$I, "Repair-EA",
  AllTasks!$Q:$Q, "&gt;=" &amp; V$1,
  AllTasks!$Q:$Q, "&lt;=" &amp; V$2
)</f>
        <v>0</v>
      </c>
      <c r="W17">
        <f>SUMIFS(
  AllTasks!$AA:$AA,
  AllTasks!$I:$I, "Repair-EA",
  AllTasks!$Q:$Q, "&gt;=" &amp; W$1,
  AllTasks!$Q:$Q, "&lt;=" &amp; W$2
)</f>
        <v>0</v>
      </c>
      <c r="X17">
        <f>SUMIFS(
  AllTasks!$AA:$AA,
  AllTasks!$I:$I, "Repair-EA",
  AllTasks!$Q:$Q, "&gt;=" &amp; X$1,
  AllTasks!$Q:$Q, "&lt;=" &amp; X$2
)</f>
        <v>0</v>
      </c>
      <c r="Y17">
        <f>SUMIFS(
  AllTasks!$AA:$AA,
  AllTasks!$I:$I, "Repair-EA",
  AllTasks!$Q:$Q, "&gt;=" &amp; Y$1,
  AllTasks!$Q:$Q, "&lt;=" &amp; Y$2
)</f>
        <v>0</v>
      </c>
    </row>
    <row r="18" spans="1:25" x14ac:dyDescent="0.35">
      <c r="A18" s="16" t="s">
        <v>2015</v>
      </c>
      <c r="B18" s="17">
        <f>IF(B16=0, "", B17 / B16)</f>
        <v>144.65842394986495</v>
      </c>
      <c r="C18" s="17">
        <f t="shared" ref="C18:Y18" si="2">IF(C16=0, "", C17 / C16)</f>
        <v>119.21790609903394</v>
      </c>
      <c r="D18" s="17">
        <f t="shared" si="2"/>
        <v>140.78351320069979</v>
      </c>
      <c r="E18" s="17">
        <f t="shared" si="2"/>
        <v>197.66165936996771</v>
      </c>
      <c r="F18" s="17">
        <f t="shared" si="2"/>
        <v>101.57663466775614</v>
      </c>
      <c r="G18" s="17">
        <f t="shared" si="2"/>
        <v>193.88355081826029</v>
      </c>
      <c r="H18" s="17">
        <f t="shared" si="2"/>
        <v>129.33151027551946</v>
      </c>
      <c r="I18" s="17">
        <f t="shared" si="2"/>
        <v>117.90749768518597</v>
      </c>
      <c r="J18" s="17">
        <f t="shared" si="2"/>
        <v>117.08308746246267</v>
      </c>
      <c r="K18" s="17">
        <f t="shared" si="2"/>
        <v>211.19755401234659</v>
      </c>
      <c r="L18" s="17">
        <f t="shared" si="2"/>
        <v>135.47159807956174</v>
      </c>
      <c r="M18" s="17">
        <f t="shared" si="2"/>
        <v>121.53319618055556</v>
      </c>
      <c r="N18" s="17">
        <f t="shared" si="2"/>
        <v>145.11864861968436</v>
      </c>
      <c r="O18" s="17">
        <f t="shared" si="2"/>
        <v>143.97346161265367</v>
      </c>
      <c r="P18" s="17">
        <f t="shared" si="2"/>
        <v>194.26755497685141</v>
      </c>
      <c r="Q18" s="17">
        <f t="shared" si="2"/>
        <v>138.40944308278924</v>
      </c>
      <c r="R18" s="17">
        <f t="shared" si="2"/>
        <v>123.50246080597654</v>
      </c>
      <c r="S18" s="17">
        <f t="shared" si="2"/>
        <v>134.289241452992</v>
      </c>
      <c r="T18" s="17">
        <f t="shared" si="2"/>
        <v>130.91068260732374</v>
      </c>
      <c r="U18" s="17">
        <f t="shared" si="2"/>
        <v>53.07211419753245</v>
      </c>
      <c r="V18" s="17" t="str">
        <f t="shared" si="2"/>
        <v/>
      </c>
      <c r="W18" s="17" t="str">
        <f t="shared" si="2"/>
        <v/>
      </c>
      <c r="X18" s="17" t="str">
        <f t="shared" si="2"/>
        <v/>
      </c>
      <c r="Y18" s="17" t="str">
        <f t="shared" si="2"/>
        <v/>
      </c>
    </row>
    <row r="19" spans="1:25" x14ac:dyDescent="0.35">
      <c r="A19" s="16" t="s">
        <v>2016</v>
      </c>
      <c r="B19" s="17">
        <f>IF(B16=0, "", AVERAGEIFS(
  AllTasks!$AK:$AK,
  AllTasks!$I:$I, "Repair-EA",
  AllTasks!$Q:$Q, "&gt;=" &amp; B$1,
  AllTasks!$Q:$Q, "&lt;=" &amp; B$2
))</f>
        <v>6.2935531752485012</v>
      </c>
      <c r="C19" s="17">
        <f>IF(C16=0, "", AVERAGEIFS(
  AllTasks!$AK:$AK,
  AllTasks!$I:$I, "Repair-EA",
  AllTasks!$Q:$Q, "&gt;=" &amp; C$1,
  AllTasks!$Q:$Q, "&lt;=" &amp; C$2
))</f>
        <v>1.7392628592995449</v>
      </c>
      <c r="D19" s="17">
        <f>IF(D16=0, "", AVERAGEIFS(
  AllTasks!$AK:$AK,
  AllTasks!$I:$I, "Repair-EA",
  AllTasks!$Q:$Q, "&gt;=" &amp; D$1,
  AllTasks!$Q:$Q, "&lt;=" &amp; D$2
))</f>
        <v>6.4191638360236931</v>
      </c>
      <c r="E19" s="17">
        <f>IF(E16=0, "", AVERAGEIFS(
  AllTasks!$AK:$AK,
  AllTasks!$I:$I, "Repair-EA",
  AllTasks!$Q:$Q, "&gt;=" &amp; E$1,
  AllTasks!$Q:$Q, "&lt;=" &amp; E$2
))</f>
        <v>7.3740281594709023</v>
      </c>
      <c r="F19" s="17">
        <f>IF(F16=0, "", AVERAGEIFS(
  AllTasks!$AK:$AK,
  AllTasks!$I:$I, "Repair-EA",
  AllTasks!$Q:$Q, "&gt;=" &amp; F$1,
  AllTasks!$Q:$Q, "&lt;=" &amp; F$2
))</f>
        <v>2.9977782427833484</v>
      </c>
      <c r="G19" s="17">
        <f>IF(G16=0, "", AVERAGEIFS(
  AllTasks!$AK:$AK,
  AllTasks!$I:$I, "Repair-EA",
  AllTasks!$Q:$Q, "&gt;=" &amp; G$1,
  AllTasks!$Q:$Q, "&lt;=" &amp; G$2
))</f>
        <v>9.7131124475130246</v>
      </c>
      <c r="H19" s="17">
        <f>IF(H16=0, "", AVERAGEIFS(
  AllTasks!$AK:$AK,
  AllTasks!$I:$I, "Repair-EA",
  AllTasks!$Q:$Q, "&gt;=" &amp; H$1,
  AllTasks!$Q:$Q, "&lt;=" &amp; H$2
))</f>
        <v>6.5829788722334257</v>
      </c>
      <c r="I19" s="17">
        <f>IF(I16=0, "", AVERAGEIFS(
  AllTasks!$AK:$AK,
  AllTasks!$I:$I, "Repair-EA",
  AllTasks!$Q:$Q, "&gt;=" &amp; I$1,
  AllTasks!$Q:$Q, "&lt;=" &amp; I$2
))</f>
        <v>10.871071442129324</v>
      </c>
      <c r="J19" s="17">
        <f>IF(J16=0, "", AVERAGEIFS(
  AllTasks!$AK:$AK,
  AllTasks!$I:$I, "Repair-EA",
  AllTasks!$Q:$Q, "&gt;=" &amp; J$1,
  AllTasks!$Q:$Q, "&lt;=" &amp; J$2
))</f>
        <v>11.945211238426005</v>
      </c>
      <c r="K19" s="17">
        <f>IF(K16=0, "", AVERAGEIFS(
  AllTasks!$AK:$AK,
  AllTasks!$I:$I, "Repair-EA",
  AllTasks!$Q:$Q, "&gt;=" &amp; K$1,
  AllTasks!$Q:$Q, "&lt;=" &amp; K$2
))</f>
        <v>12.647598536951355</v>
      </c>
      <c r="L19" s="17">
        <f>IF(L16=0, "", AVERAGEIFS(
  AllTasks!$AK:$AK,
  AllTasks!$I:$I, "Repair-EA",
  AllTasks!$Q:$Q, "&gt;=" &amp; L$1,
  AllTasks!$Q:$Q, "&lt;=" &amp; L$2
))</f>
        <v>11.802930252486274</v>
      </c>
      <c r="M19" s="17">
        <f>IF(M16=0, "", AVERAGEIFS(
  AllTasks!$AK:$AK,
  AllTasks!$I:$I, "Repair-EA",
  AllTasks!$Q:$Q, "&gt;=" &amp; M$1,
  AllTasks!$Q:$Q, "&lt;=" &amp; M$2
))</f>
        <v>25.669710163194395</v>
      </c>
      <c r="N19" s="17">
        <f>IF(N16=0, "", AVERAGEIFS(
  AllTasks!$AK:$AK,
  AllTasks!$I:$I, "Repair-EA",
  AllTasks!$Q:$Q, "&gt;=" &amp; N$1,
  AllTasks!$Q:$Q, "&lt;=" &amp; N$2
))</f>
        <v>23.191783860811146</v>
      </c>
      <c r="O19" s="17">
        <f>IF(O16=0, "", AVERAGEIFS(
  AllTasks!$AK:$AK,
  AllTasks!$I:$I, "Repair-EA",
  AllTasks!$Q:$Q, "&gt;=" &amp; O$1,
  AllTasks!$Q:$Q, "&lt;=" &amp; O$2
))</f>
        <v>20.928832739583836</v>
      </c>
      <c r="P19" s="17">
        <f>IF(P16=0, "", AVERAGEIFS(
  AllTasks!$AK:$AK,
  AllTasks!$I:$I, "Repair-EA",
  AllTasks!$Q:$Q, "&gt;=" &amp; P$1,
  AllTasks!$Q:$Q, "&lt;=" &amp; P$2
))</f>
        <v>27.113315623421922</v>
      </c>
      <c r="Q19" s="17">
        <f>IF(Q16=0, "", AVERAGEIFS(
  AllTasks!$AK:$AK,
  AllTasks!$I:$I, "Repair-EA",
  AllTasks!$Q:$Q, "&gt;=" &amp; Q$1,
  AllTasks!$Q:$Q, "&lt;=" &amp; Q$2
))</f>
        <v>12.169027291666447</v>
      </c>
      <c r="R19" s="17">
        <f>IF(R16=0, "", AVERAGEIFS(
  AllTasks!$AK:$AK,
  AllTasks!$I:$I, "Repair-EA",
  AllTasks!$Q:$Q, "&gt;=" &amp; R$1,
  AllTasks!$Q:$Q, "&lt;=" &amp; R$2
))</f>
        <v>12.142603001630876</v>
      </c>
      <c r="S19" s="17">
        <f>IF(S16=0, "", AVERAGEIFS(
  AllTasks!$AK:$AK,
  AllTasks!$I:$I, "Repair-EA",
  AllTasks!$Q:$Q, "&gt;=" &amp; S$1,
  AllTasks!$Q:$Q, "&lt;=" &amp; S$2
))</f>
        <v>11.616659899171841</v>
      </c>
      <c r="T19" s="17">
        <f>IF(T16=0, "", AVERAGEIFS(
  AllTasks!$AK:$AK,
  AllTasks!$I:$I, "Repair-EA",
  AllTasks!$Q:$Q, "&gt;=" &amp; T$1,
  AllTasks!$Q:$Q, "&lt;=" &amp; T$2
))</f>
        <v>20.625766887626511</v>
      </c>
      <c r="U19" s="17">
        <f>IF(U16=0, "", AVERAGEIFS(
  AllTasks!$AK:$AK,
  AllTasks!$I:$I, "Repair-EA",
  AllTasks!$Q:$Q, "&gt;=" &amp; U$1,
  AllTasks!$Q:$Q, "&lt;=" &amp; U$2
))</f>
        <v>1.3333333333333333</v>
      </c>
      <c r="V19" s="17" t="str">
        <f>IF(V16=0, "", AVERAGEIFS(
  AllTasks!$AK:$AK,
  AllTasks!$I:$I, "Repair-EA",
  AllTasks!$Q:$Q, "&gt;=" &amp; V$1,
  AllTasks!$Q:$Q, "&lt;=" &amp; V$2
))</f>
        <v/>
      </c>
      <c r="W19" s="17" t="str">
        <f>IF(W16=0, "", AVERAGEIFS(
  AllTasks!$AK:$AK,
  AllTasks!$I:$I, "Repair-EA",
  AllTasks!$Q:$Q, "&gt;=" &amp; W$1,
  AllTasks!$Q:$Q, "&lt;=" &amp; W$2
))</f>
        <v/>
      </c>
      <c r="X19" s="17" t="str">
        <f>IF(X16=0, "", AVERAGEIFS(
  AllTasks!$AK:$AK,
  AllTasks!$I:$I, "Repair-EA",
  AllTasks!$Q:$Q, "&gt;=" &amp; X$1,
  AllTasks!$Q:$Q, "&lt;=" &amp; X$2
))</f>
        <v/>
      </c>
      <c r="Y19" s="17" t="str">
        <f>IF(Y16=0, "", AVERAGEIFS(
  AllTasks!$AK:$AK,
  AllTasks!$I:$I, "Repair-EA",
  AllTasks!$Q:$Q, "&gt;=" &amp; Y$1,
  AllTasks!$Q:$Q, "&lt;=" &amp; Y$2
))</f>
        <v/>
      </c>
    </row>
    <row r="20" spans="1:25" x14ac:dyDescent="0.35">
      <c r="A20" s="16" t="s">
        <v>2017</v>
      </c>
      <c r="B20" s="17">
        <f>IFERROR(AVERAGEIFS(
  AllTasks!$AL:$AL,
  AllTasks!$I:$I, "Repair-EA",
  AllTasks!$Q:$Q, "&gt;=" &amp; B$1,
  AllTasks!$Q:$Q, "&lt;=" &amp; B$2
), "")</f>
        <v>138.36487077461646</v>
      </c>
      <c r="C20" s="17">
        <f>IFERROR(AVERAGEIFS(
  AllTasks!$AL:$AL,
  AllTasks!$I:$I, "Repair-EA",
  AllTasks!$Q:$Q, "&gt;=" &amp; C$1,
  AllTasks!$Q:$Q, "&lt;=" &amp; C$2
), "")</f>
        <v>117.4786432397344</v>
      </c>
      <c r="D20" s="17">
        <f>IFERROR(AVERAGEIFS(
  AllTasks!$AL:$AL,
  AllTasks!$I:$I, "Repair-EA",
  AllTasks!$Q:$Q, "&gt;=" &amp; D$1,
  AllTasks!$Q:$Q, "&lt;=" &amp; D$2
), "")</f>
        <v>134.36434936467609</v>
      </c>
      <c r="E20" s="17">
        <f>IFERROR(AVERAGEIFS(
  AllTasks!$AL:$AL,
  AllTasks!$I:$I, "Repair-EA",
  AllTasks!$Q:$Q, "&gt;=" &amp; E$1,
  AllTasks!$Q:$Q, "&lt;=" &amp; E$2
), "")</f>
        <v>190.28763121049681</v>
      </c>
      <c r="F20" s="17">
        <f>IFERROR(AVERAGEIFS(
  AllTasks!$AL:$AL,
  AllTasks!$I:$I, "Repair-EA",
  AllTasks!$Q:$Q, "&gt;=" &amp; F$1,
  AllTasks!$Q:$Q, "&lt;=" &amp; F$2
), "")</f>
        <v>98.578856424972798</v>
      </c>
      <c r="G20" s="17">
        <f>IFERROR(AVERAGEIFS(
  AllTasks!$AL:$AL,
  AllTasks!$I:$I, "Repair-EA",
  AllTasks!$Q:$Q, "&gt;=" &amp; G$1,
  AllTasks!$Q:$Q, "&lt;=" &amp; G$2
), "")</f>
        <v>184.17043837074726</v>
      </c>
      <c r="H20" s="17">
        <f>IFERROR(AVERAGEIFS(
  AllTasks!$AL:$AL,
  AllTasks!$I:$I, "Repair-EA",
  AllTasks!$Q:$Q, "&gt;=" &amp; H$1,
  AllTasks!$Q:$Q, "&lt;=" &amp; H$2
), "")</f>
        <v>122.74853140328604</v>
      </c>
      <c r="I20" s="17">
        <f>IFERROR(AVERAGEIFS(
  AllTasks!$AL:$AL,
  AllTasks!$I:$I, "Repair-EA",
  AllTasks!$Q:$Q, "&gt;=" &amp; I$1,
  AllTasks!$Q:$Q, "&lt;=" &amp; I$2
), "")</f>
        <v>107.03642624305665</v>
      </c>
      <c r="J20" s="17">
        <f>IFERROR(AVERAGEIFS(
  AllTasks!$AL:$AL,
  AllTasks!$I:$I, "Repair-EA",
  AllTasks!$Q:$Q, "&gt;=" &amp; J$1,
  AllTasks!$Q:$Q, "&lt;=" &amp; J$2
), "")</f>
        <v>105.13787622403666</v>
      </c>
      <c r="K20" s="17">
        <f>IFERROR(AVERAGEIFS(
  AllTasks!$AL:$AL,
  AllTasks!$I:$I, "Repair-EA",
  AllTasks!$Q:$Q, "&gt;=" &amp; K$1,
  AllTasks!$Q:$Q, "&lt;=" &amp; K$2
), "")</f>
        <v>198.54995547539525</v>
      </c>
      <c r="L20" s="17">
        <f>IFERROR(AVERAGEIFS(
  AllTasks!$AL:$AL,
  AllTasks!$I:$I, "Repair-EA",
  AllTasks!$Q:$Q, "&gt;=" &amp; L$1,
  AllTasks!$Q:$Q, "&lt;=" &amp; L$2
), "")</f>
        <v>123.66866782707547</v>
      </c>
      <c r="M20" s="17">
        <f>IFERROR(AVERAGEIFS(
  AllTasks!$AL:$AL,
  AllTasks!$I:$I, "Repair-EA",
  AllTasks!$Q:$Q, "&gt;=" &amp; M$1,
  AllTasks!$Q:$Q, "&lt;=" &amp; M$2
), "")</f>
        <v>95.863486017361168</v>
      </c>
      <c r="N20" s="17">
        <f>IFERROR(AVERAGEIFS(
  AllTasks!$AL:$AL,
  AllTasks!$I:$I, "Repair-EA",
  AllTasks!$Q:$Q, "&gt;=" &amp; N$1,
  AllTasks!$Q:$Q, "&lt;=" &amp; N$2
), "")</f>
        <v>121.92686475887321</v>
      </c>
      <c r="O20" s="17">
        <f>IFERROR(AVERAGEIFS(
  AllTasks!$AL:$AL,
  AllTasks!$I:$I, "Repair-EA",
  AllTasks!$Q:$Q, "&gt;=" &amp; O$1,
  AllTasks!$Q:$Q, "&lt;=" &amp; O$2
), "")</f>
        <v>123.04462887306981</v>
      </c>
      <c r="P20" s="17">
        <f>IFERROR(AVERAGEIFS(
  AllTasks!$AL:$AL,
  AllTasks!$I:$I, "Repair-EA",
  AllTasks!$Q:$Q, "&gt;=" &amp; P$1,
  AllTasks!$Q:$Q, "&lt;=" &amp; P$2
), "")</f>
        <v>167.15423935342949</v>
      </c>
      <c r="Q20" s="17">
        <f>IFERROR(AVERAGEIFS(
  AllTasks!$AL:$AL,
  AllTasks!$I:$I, "Repair-EA",
  AllTasks!$Q:$Q, "&gt;=" &amp; Q$1,
  AllTasks!$Q:$Q, "&lt;=" &amp; Q$2
), "")</f>
        <v>126.24041579112279</v>
      </c>
      <c r="R20" s="17">
        <f>IFERROR(AVERAGEIFS(
  AllTasks!$AL:$AL,
  AllTasks!$I:$I, "Repair-EA",
  AllTasks!$Q:$Q, "&gt;=" &amp; R$1,
  AllTasks!$Q:$Q, "&lt;=" &amp; R$2
), "")</f>
        <v>111.35985780434567</v>
      </c>
      <c r="S20" s="17">
        <f>IFERROR(AVERAGEIFS(
  AllTasks!$AL:$AL,
  AllTasks!$I:$I, "Repair-EA",
  AllTasks!$Q:$Q, "&gt;=" &amp; S$1,
  AllTasks!$Q:$Q, "&lt;=" &amp; S$2
), "")</f>
        <v>122.67258155382017</v>
      </c>
      <c r="T20" s="17">
        <f>IFERROR(AVERAGEIFS(
  AllTasks!$AL:$AL,
  AllTasks!$I:$I, "Repair-EA",
  AllTasks!$Q:$Q, "&gt;=" &amp; T$1,
  AllTasks!$Q:$Q, "&lt;=" &amp; T$2
), "")</f>
        <v>110.28491571969722</v>
      </c>
      <c r="U20" s="17">
        <f>IFERROR(AVERAGEIFS(
  AllTasks!$AL:$AL,
  AllTasks!$I:$I, "Repair-EA",
  AllTasks!$Q:$Q, "&gt;=" &amp; U$1,
  AllTasks!$Q:$Q, "&lt;=" &amp; U$2
), "")</f>
        <v>51.738780864199121</v>
      </c>
      <c r="V20" s="17" t="str">
        <f>IFERROR(AVERAGEIFS(
  AllTasks!$AL:$AL,
  AllTasks!$I:$I, "Repair-EA",
  AllTasks!$Q:$Q, "&gt;=" &amp; V$1,
  AllTasks!$Q:$Q, "&lt;=" &amp; V$2
), "")</f>
        <v/>
      </c>
      <c r="W20" s="17" t="str">
        <f>IFERROR(AVERAGEIFS(
  AllTasks!$AL:$AL,
  AllTasks!$I:$I, "Repair-EA",
  AllTasks!$Q:$Q, "&gt;=" &amp; W$1,
  AllTasks!$Q:$Q, "&lt;=" &amp; W$2
), "")</f>
        <v/>
      </c>
      <c r="X20" s="17" t="str">
        <f>IFERROR(AVERAGEIFS(
  AllTasks!$AL:$AL,
  AllTasks!$I:$I, "Repair-EA",
  AllTasks!$Q:$Q, "&gt;=" &amp; X$1,
  AllTasks!$Q:$Q, "&lt;=" &amp; X$2
), "")</f>
        <v/>
      </c>
      <c r="Y20" s="17" t="str">
        <f>IFERROR(AVERAGEIFS(
  AllTasks!$AL:$AL,
  AllTasks!$I:$I, "Repair-EA",
  AllTasks!$Q:$Q, "&gt;=" &amp; Y$1,
  AllTasks!$Q:$Q, "&lt;=" &amp; Y$2
), "")</f>
        <v/>
      </c>
    </row>
    <row r="23" spans="1:25" x14ac:dyDescent="0.35">
      <c r="B23" s="221" t="s">
        <v>2019</v>
      </c>
      <c r="C23" s="222"/>
      <c r="D23" s="222"/>
      <c r="E23" s="222"/>
      <c r="F23" s="222"/>
      <c r="G23" s="222"/>
      <c r="H23" s="222"/>
      <c r="I23" s="222"/>
      <c r="J23" s="222"/>
      <c r="K23" s="222"/>
      <c r="L23" s="222"/>
      <c r="M23" s="223"/>
    </row>
    <row r="24" spans="1:25" x14ac:dyDescent="0.35">
      <c r="A24" s="15" t="s">
        <v>2013</v>
      </c>
      <c r="B24" s="19">
        <v>45292</v>
      </c>
      <c r="C24" s="19">
        <v>45323</v>
      </c>
      <c r="D24" s="19">
        <v>45352</v>
      </c>
      <c r="E24" s="19">
        <v>45383</v>
      </c>
      <c r="F24" s="19">
        <v>45413</v>
      </c>
      <c r="G24" s="19">
        <v>45444</v>
      </c>
      <c r="H24" s="19">
        <v>45474</v>
      </c>
      <c r="I24" s="19">
        <v>45505</v>
      </c>
      <c r="J24" s="19">
        <v>45536</v>
      </c>
      <c r="K24" s="19">
        <v>45566</v>
      </c>
      <c r="L24" s="19">
        <v>45597</v>
      </c>
      <c r="M24" s="20">
        <v>45627</v>
      </c>
      <c r="N24" s="22">
        <v>45658</v>
      </c>
      <c r="O24" s="22">
        <v>45689</v>
      </c>
      <c r="P24" s="22">
        <v>45717</v>
      </c>
      <c r="Q24" s="22">
        <v>45748</v>
      </c>
      <c r="R24" s="22">
        <v>45778</v>
      </c>
      <c r="S24" s="22">
        <v>45809</v>
      </c>
      <c r="T24" s="22">
        <v>45839</v>
      </c>
      <c r="U24" s="22">
        <v>45870</v>
      </c>
      <c r="V24" s="22">
        <v>45901</v>
      </c>
      <c r="W24" s="22">
        <v>45931</v>
      </c>
      <c r="X24" s="22">
        <v>45962</v>
      </c>
      <c r="Y24" s="22">
        <v>45992</v>
      </c>
    </row>
    <row r="25" spans="1:25" x14ac:dyDescent="0.35">
      <c r="A25" s="16" t="s">
        <v>2014</v>
      </c>
      <c r="B25">
        <f>COUNTIFS(AllTasks!$K:$K, "PW800", AllTasks!$Q:$Q, "&gt;=" &amp; B$1, AllTasks!$Q:$Q, "&lt;=" &amp; B$2) +
COUNTIFS(AllTasks!$K:$K, "PW1000G", AllTasks!$Q:$Q, "&gt;=" &amp; B$1, AllTasks!$Q:$Q, "&lt;=" &amp; B$2)</f>
        <v>13</v>
      </c>
      <c r="C25">
        <f>COUNTIFS(AllTasks!$K:$K, "PW800", AllTasks!$Q:$Q, "&gt;=" &amp; C$1, AllTasks!$Q:$Q, "&lt;=" &amp; C$2) +
COUNTIFS(AllTasks!$K:$K, "PW1000G", AllTasks!$Q:$Q, "&gt;=" &amp; C$1, AllTasks!$Q:$Q, "&lt;=" &amp; C$2)</f>
        <v>15</v>
      </c>
      <c r="D25">
        <f>COUNTIFS(AllTasks!$K:$K, "PW800", AllTasks!$Q:$Q, "&gt;=" &amp; D$1, AllTasks!$Q:$Q, "&lt;=" &amp; D$2) +
COUNTIFS(AllTasks!$K:$K, "PW1000G", AllTasks!$Q:$Q, "&gt;=" &amp; D$1, AllTasks!$Q:$Q, "&lt;=" &amp; D$2)</f>
        <v>20</v>
      </c>
      <c r="E25">
        <f>COUNTIFS(AllTasks!$K:$K, "PW800", AllTasks!$Q:$Q, "&gt;=" &amp; E$1, AllTasks!$Q:$Q, "&lt;=" &amp; E$2) +
COUNTIFS(AllTasks!$K:$K, "PW1000G", AllTasks!$Q:$Q, "&gt;=" &amp; E$1, AllTasks!$Q:$Q, "&lt;=" &amp; E$2)</f>
        <v>21</v>
      </c>
      <c r="F25">
        <f>COUNTIFS(AllTasks!$K:$K, "PW800", AllTasks!$Q:$Q, "&gt;=" &amp; F$1, AllTasks!$Q:$Q, "&lt;=" &amp; F$2) +
COUNTIFS(AllTasks!$K:$K, "PW1000G", AllTasks!$Q:$Q, "&gt;=" &amp; F$1, AllTasks!$Q:$Q, "&lt;=" &amp; F$2)</f>
        <v>16</v>
      </c>
      <c r="G25">
        <f>COUNTIFS(AllTasks!$K:$K, "PW800", AllTasks!$Q:$Q, "&gt;=" &amp; G$1, AllTasks!$Q:$Q, "&lt;=" &amp; G$2) +
COUNTIFS(AllTasks!$K:$K, "PW1000G", AllTasks!$Q:$Q, "&gt;=" &amp; G$1, AllTasks!$Q:$Q, "&lt;=" &amp; G$2)</f>
        <v>22</v>
      </c>
      <c r="H25">
        <f>COUNTIFS(AllTasks!$K:$K, "PW800", AllTasks!$Q:$Q, "&gt;=" &amp; H$1, AllTasks!$Q:$Q, "&lt;=" &amp; H$2) +
COUNTIFS(AllTasks!$K:$K, "PW1000G", AllTasks!$Q:$Q, "&gt;=" &amp; H$1, AllTasks!$Q:$Q, "&lt;=" &amp; H$2)</f>
        <v>13</v>
      </c>
      <c r="I25">
        <f>COUNTIFS(AllTasks!$K:$K, "PW800", AllTasks!$Q:$Q, "&gt;=" &amp; I$1, AllTasks!$Q:$Q, "&lt;=" &amp; I$2) +
COUNTIFS(AllTasks!$K:$K, "PW1000G", AllTasks!$Q:$Q, "&gt;=" &amp; I$1, AllTasks!$Q:$Q, "&lt;=" &amp; I$2)</f>
        <v>16</v>
      </c>
      <c r="J25">
        <f>COUNTIFS(AllTasks!$K:$K, "PW800", AllTasks!$Q:$Q, "&gt;=" &amp; J$1, AllTasks!$Q:$Q, "&lt;=" &amp; J$2) +
COUNTIFS(AllTasks!$K:$K, "PW1000G", AllTasks!$Q:$Q, "&gt;=" &amp; J$1, AllTasks!$Q:$Q, "&lt;=" &amp; J$2)</f>
        <v>6</v>
      </c>
      <c r="K25">
        <f>COUNTIFS(AllTasks!$K:$K, "PW800", AllTasks!$Q:$Q, "&gt;=" &amp; K$1, AllTasks!$Q:$Q, "&lt;=" &amp; K$2) +
COUNTIFS(AllTasks!$K:$K, "PW1000G", AllTasks!$Q:$Q, "&gt;=" &amp; K$1, AllTasks!$Q:$Q, "&lt;=" &amp; K$2)</f>
        <v>9</v>
      </c>
      <c r="L25">
        <f>COUNTIFS(AllTasks!$K:$K, "PW800", AllTasks!$Q:$Q, "&gt;=" &amp; L$1, AllTasks!$Q:$Q, "&lt;=" &amp; L$2) +
COUNTIFS(AllTasks!$K:$K, "PW1000G", AllTasks!$Q:$Q, "&gt;=" &amp; L$1, AllTasks!$Q:$Q, "&lt;=" &amp; L$2)</f>
        <v>22</v>
      </c>
      <c r="M25">
        <f>COUNTIFS(AllTasks!$K:$K, "PW800", AllTasks!$Q:$Q, "&gt;=" &amp; M$1, AllTasks!$Q:$Q, "&lt;=" &amp; M$2) +
COUNTIFS(AllTasks!$K:$K, "PW1000G", AllTasks!$Q:$Q, "&gt;=" &amp; M$1, AllTasks!$Q:$Q, "&lt;=" &amp; M$2)</f>
        <v>11</v>
      </c>
      <c r="N25">
        <f>COUNTIFS(AllTasks!$K:$K, "PW800", AllTasks!$Q:$Q, "&gt;=" &amp; N$1, AllTasks!$Q:$Q, "&lt;=" &amp; N$2) +
COUNTIFS(AllTasks!$K:$K, "PW1000G", AllTasks!$Q:$Q, "&gt;=" &amp; N$1, AllTasks!$Q:$Q, "&lt;=" &amp; N$2)</f>
        <v>23</v>
      </c>
      <c r="O25">
        <f>COUNTIFS(AllTasks!$K:$K, "PW800", AllTasks!$Q:$Q, "&gt;=" &amp; O$1, AllTasks!$Q:$Q, "&lt;=" &amp; O$2) +
COUNTIFS(AllTasks!$K:$K, "PW1000G", AllTasks!$Q:$Q, "&gt;=" &amp; O$1, AllTasks!$Q:$Q, "&lt;=" &amp; O$2)</f>
        <v>26</v>
      </c>
      <c r="P25">
        <f>COUNTIFS(AllTasks!$K:$K, "PW800", AllTasks!$Q:$Q, "&gt;=" &amp; P$1, AllTasks!$Q:$Q, "&lt;=" &amp; P$2) +
COUNTIFS(AllTasks!$K:$K, "PW1000G", AllTasks!$Q:$Q, "&gt;=" &amp; P$1, AllTasks!$Q:$Q, "&lt;=" &amp; P$2)</f>
        <v>12</v>
      </c>
      <c r="Q25">
        <f>COUNTIFS(AllTasks!$K:$K, "PW800", AllTasks!$Q:$Q, "&gt;=" &amp; Q$1, AllTasks!$Q:$Q, "&lt;=" &amp; Q$2) +
COUNTIFS(AllTasks!$K:$K, "PW1000G", AllTasks!$Q:$Q, "&gt;=" &amp; Q$1, AllTasks!$Q:$Q, "&lt;=" &amp; Q$2)</f>
        <v>19</v>
      </c>
      <c r="R25">
        <f>COUNTIFS(AllTasks!$K:$K, "PW800", AllTasks!$Q:$Q, "&gt;=" &amp; R$1, AllTasks!$Q:$Q, "&lt;=" &amp; R$2) +
COUNTIFS(AllTasks!$K:$K, "PW1000G", AllTasks!$Q:$Q, "&gt;=" &amp; R$1, AllTasks!$Q:$Q, "&lt;=" &amp; R$2)</f>
        <v>16</v>
      </c>
      <c r="S25">
        <f>COUNTIFS(AllTasks!$K:$K, "PW800", AllTasks!$Q:$Q, "&gt;=" &amp; S$1, AllTasks!$Q:$Q, "&lt;=" &amp; S$2) +
COUNTIFS(AllTasks!$K:$K, "PW1000G", AllTasks!$Q:$Q, "&gt;=" &amp; S$1, AllTasks!$Q:$Q, "&lt;=" &amp; S$2)</f>
        <v>15</v>
      </c>
      <c r="T25">
        <f>COUNTIFS(AllTasks!$K:$K, "PW800", AllTasks!$Q:$Q, "&gt;=" &amp; T$1, AllTasks!$Q:$Q, "&lt;=" &amp; T$2) +
COUNTIFS(AllTasks!$K:$K, "PW1000G", AllTasks!$Q:$Q, "&gt;=" &amp; T$1, AllTasks!$Q:$Q, "&lt;=" &amp; T$2)</f>
        <v>15</v>
      </c>
      <c r="U25">
        <f>COUNTIFS(AllTasks!$K:$K, "PW800", AllTasks!$Q:$Q, "&gt;=" &amp; U$1, AllTasks!$Q:$Q, "&lt;=" &amp; U$2) +
COUNTIFS(AllTasks!$K:$K, "PW1000G", AllTasks!$Q:$Q, "&gt;=" &amp; U$1, AllTasks!$Q:$Q, "&lt;=" &amp; U$2)</f>
        <v>1</v>
      </c>
      <c r="V25">
        <f>COUNTIFS(AllTasks!$K:$K, "PW800", AllTasks!$Q:$Q, "&gt;=" &amp; V$1, AllTasks!$Q:$Q, "&lt;=" &amp; V$2) +
COUNTIFS(AllTasks!$K:$K, "PW1000G", AllTasks!$Q:$Q, "&gt;=" &amp; V$1, AllTasks!$Q:$Q, "&lt;=" &amp; V$2)</f>
        <v>0</v>
      </c>
      <c r="W25">
        <f>COUNTIFS(AllTasks!$K:$K, "PW800", AllTasks!$Q:$Q, "&gt;=" &amp; W$1, AllTasks!$Q:$Q, "&lt;=" &amp; W$2) +
COUNTIFS(AllTasks!$K:$K, "PW1000G", AllTasks!$Q:$Q, "&gt;=" &amp; W$1, AllTasks!$Q:$Q, "&lt;=" &amp; W$2)</f>
        <v>0</v>
      </c>
      <c r="X25">
        <f>COUNTIFS(AllTasks!$K:$K, "PW800", AllTasks!$Q:$Q, "&gt;=" &amp; X$1, AllTasks!$Q:$Q, "&lt;=" &amp; X$2) +
COUNTIFS(AllTasks!$K:$K, "PW1000G", AllTasks!$Q:$Q, "&gt;=" &amp; X$1, AllTasks!$Q:$Q, "&lt;=" &amp; X$2)</f>
        <v>0</v>
      </c>
      <c r="Y25">
        <f>COUNTIFS(AllTasks!$K:$K, "PW800", AllTasks!$Q:$Q, "&gt;=" &amp; Y$1, AllTasks!$Q:$Q, "&lt;=" &amp; Y$2) +
COUNTIFS(AllTasks!$K:$K, "PW1000G", AllTasks!$Q:$Q, "&gt;=" &amp; Y$1, AllTasks!$Q:$Q, "&lt;=" &amp; Y$2)</f>
        <v>0</v>
      </c>
    </row>
    <row r="26" spans="1:25" x14ac:dyDescent="0.35">
      <c r="A26" s="16" t="s">
        <v>1961</v>
      </c>
      <c r="B26">
        <f>SUMIFS(AllTasks!$AA:$AA, AllTasks!$K:$K, "PW800", AllTasks!$Q:$Q, "&gt;=" &amp; B$1, AllTasks!$Q:$Q, "&lt;=" &amp; B$2) +
SUMIFS(AllTasks!$AA:$AA, AllTasks!$K:$K, "PW1000G", AllTasks!$Q:$Q, "&gt;=" &amp; B$1, AllTasks!$Q:$Q, "&lt;=" &amp; B$2)</f>
        <v>1761.1642708333384</v>
      </c>
      <c r="C26">
        <f>SUMIFS(AllTasks!$AA:$AA, AllTasks!$K:$K, "PW800", AllTasks!$Q:$Q, "&gt;=" &amp; C$1, AllTasks!$Q:$Q, "&lt;=" &amp; C$2) +
SUMIFS(AllTasks!$AA:$AA, AllTasks!$K:$K, "PW1000G", AllTasks!$Q:$Q, "&gt;=" &amp; C$1, AllTasks!$Q:$Q, "&lt;=" &amp; C$2)</f>
        <v>2352.1151041666817</v>
      </c>
      <c r="D26">
        <f>SUMIFS(AllTasks!$AA:$AA, AllTasks!$K:$K, "PW800", AllTasks!$Q:$Q, "&gt;=" &amp; D$1, AllTasks!$Q:$Q, "&lt;=" &amp; D$2) +
SUMIFS(AllTasks!$AA:$AA, AllTasks!$K:$K, "PW1000G", AllTasks!$Q:$Q, "&gt;=" &amp; D$1, AllTasks!$Q:$Q, "&lt;=" &amp; D$2)</f>
        <v>3013.6695833333142</v>
      </c>
      <c r="E26">
        <f>SUMIFS(AllTasks!$AA:$AA, AllTasks!$K:$K, "PW800", AllTasks!$Q:$Q, "&gt;=" &amp; E$1, AllTasks!$Q:$Q, "&lt;=" &amp; E$2) +
SUMIFS(AllTasks!$AA:$AA, AllTasks!$K:$K, "PW1000G", AllTasks!$Q:$Q, "&gt;=" &amp; E$1, AllTasks!$Q:$Q, "&lt;=" &amp; E$2)</f>
        <v>4656.2864236111054</v>
      </c>
      <c r="F26">
        <f>SUMIFS(AllTasks!$AA:$AA, AllTasks!$K:$K, "PW800", AllTasks!$Q:$Q, "&gt;=" &amp; F$1, AllTasks!$Q:$Q, "&lt;=" &amp; F$2) +
SUMIFS(AllTasks!$AA:$AA, AllTasks!$K:$K, "PW1000G", AllTasks!$Q:$Q, "&gt;=" &amp; F$1, AllTasks!$Q:$Q, "&lt;=" &amp; F$2)</f>
        <v>1882.8288541666625</v>
      </c>
      <c r="G26">
        <f>SUMIFS(AllTasks!$AA:$AA, AllTasks!$K:$K, "PW800", AllTasks!$Q:$Q, "&gt;=" &amp; G$1, AllTasks!$Q:$Q, "&lt;=" &amp; G$2) +
SUMIFS(AllTasks!$AA:$AA, AllTasks!$K:$K, "PW1000G", AllTasks!$Q:$Q, "&gt;=" &amp; G$1, AllTasks!$Q:$Q, "&lt;=" &amp; G$2)</f>
        <v>4509.1436111111034</v>
      </c>
      <c r="H26">
        <f>SUMIFS(AllTasks!$AA:$AA, AllTasks!$K:$K, "PW800", AllTasks!$Q:$Q, "&gt;=" &amp; H$1, AllTasks!$Q:$Q, "&lt;=" &amp; H$2) +
SUMIFS(AllTasks!$AA:$AA, AllTasks!$K:$K, "PW1000G", AllTasks!$Q:$Q, "&gt;=" &amp; H$1, AllTasks!$Q:$Q, "&lt;=" &amp; H$2)</f>
        <v>1346.1609722222202</v>
      </c>
      <c r="I26">
        <f>SUMIFS(AllTasks!$AA:$AA, AllTasks!$K:$K, "PW800", AllTasks!$Q:$Q, "&gt;=" &amp; I$1, AllTasks!$Q:$Q, "&lt;=" &amp; I$2) +
SUMIFS(AllTasks!$AA:$AA, AllTasks!$K:$K, "PW1000G", AllTasks!$Q:$Q, "&gt;=" &amp; I$1, AllTasks!$Q:$Q, "&lt;=" &amp; I$2)</f>
        <v>2188.674432870379</v>
      </c>
      <c r="J26">
        <f>SUMIFS(AllTasks!$AA:$AA, AllTasks!$K:$K, "PW800", AllTasks!$Q:$Q, "&gt;=" &amp; J$1, AllTasks!$Q:$Q, "&lt;=" &amp; J$2) +
SUMIFS(AllTasks!$AA:$AA, AllTasks!$K:$K, "PW1000G", AllTasks!$Q:$Q, "&gt;=" &amp; J$1, AllTasks!$Q:$Q, "&lt;=" &amp; J$2)</f>
        <v>582.35240740741574</v>
      </c>
      <c r="K26">
        <f>SUMIFS(AllTasks!$AA:$AA, AllTasks!$K:$K, "PW800", AllTasks!$Q:$Q, "&gt;=" &amp; K$1, AllTasks!$Q:$Q, "&lt;=" &amp; K$2) +
SUMIFS(AllTasks!$AA:$AA, AllTasks!$K:$K, "PW1000G", AllTasks!$Q:$Q, "&gt;=" &amp; K$1, AllTasks!$Q:$Q, "&lt;=" &amp; K$2)</f>
        <v>1127.5547337963071</v>
      </c>
      <c r="L26">
        <f>SUMIFS(AllTasks!$AA:$AA, AllTasks!$K:$K, "PW800", AllTasks!$Q:$Q, "&gt;=" &amp; L$1, AllTasks!$Q:$Q, "&lt;=" &amp; L$2) +
SUMIFS(AllTasks!$AA:$AA, AllTasks!$K:$K, "PW1000G", AllTasks!$Q:$Q, "&gt;=" &amp; L$1, AllTasks!$Q:$Q, "&lt;=" &amp; L$2)</f>
        <v>3354.8614467592779</v>
      </c>
      <c r="M26">
        <f>SUMIFS(AllTasks!$AA:$AA, AllTasks!$K:$K, "PW800", AllTasks!$Q:$Q, "&gt;=" &amp; M$1, AllTasks!$Q:$Q, "&lt;=" &amp; M$2) +
SUMIFS(AllTasks!$AA:$AA, AllTasks!$K:$K, "PW1000G", AllTasks!$Q:$Q, "&gt;=" &amp; M$1, AllTasks!$Q:$Q, "&lt;=" &amp; M$2)</f>
        <v>1906.1951967592686</v>
      </c>
      <c r="N26">
        <f>SUMIFS(AllTasks!$AA:$AA, AllTasks!$K:$K, "PW800", AllTasks!$Q:$Q, "&gt;=" &amp; N$1, AllTasks!$Q:$Q, "&lt;=" &amp; N$2) +
SUMIFS(AllTasks!$AA:$AA, AllTasks!$K:$K, "PW1000G", AllTasks!$Q:$Q, "&gt;=" &amp; N$1, AllTasks!$Q:$Q, "&lt;=" &amp; N$2)</f>
        <v>3810.43841435184</v>
      </c>
      <c r="O26">
        <f>SUMIFS(AllTasks!$AA:$AA, AllTasks!$K:$K, "PW800", AllTasks!$Q:$Q, "&gt;=" &amp; O$1, AllTasks!$Q:$Q, "&lt;=" &amp; O$2) +
SUMIFS(AllTasks!$AA:$AA, AllTasks!$K:$K, "PW1000G", AllTasks!$Q:$Q, "&gt;=" &amp; O$1, AllTasks!$Q:$Q, "&lt;=" &amp; O$2)</f>
        <v>3277.9506828703525</v>
      </c>
      <c r="P26">
        <f>SUMIFS(AllTasks!$AA:$AA, AllTasks!$K:$K, "PW800", AllTasks!$Q:$Q, "&gt;=" &amp; P$1, AllTasks!$Q:$Q, "&lt;=" &amp; P$2) +
SUMIFS(AllTasks!$AA:$AA, AllTasks!$K:$K, "PW1000G", AllTasks!$Q:$Q, "&gt;=" &amp; P$1, AllTasks!$Q:$Q, "&lt;=" &amp; P$2)</f>
        <v>1713.7433564814783</v>
      </c>
      <c r="Q26">
        <f>SUMIFS(AllTasks!$AA:$AA, AllTasks!$K:$K, "PW800", AllTasks!$Q:$Q, "&gt;=" &amp; Q$1, AllTasks!$Q:$Q, "&lt;=" &amp; Q$2) +
SUMIFS(AllTasks!$AA:$AA, AllTasks!$K:$K, "PW1000G", AllTasks!$Q:$Q, "&gt;=" &amp; Q$1, AllTasks!$Q:$Q, "&lt;=" &amp; Q$2)</f>
        <v>2701.5909259259279</v>
      </c>
      <c r="R26">
        <f>SUMIFS(AllTasks!$AA:$AA, AllTasks!$K:$K, "PW800", AllTasks!$Q:$Q, "&gt;=" &amp; R$1, AllTasks!$Q:$Q, "&lt;=" &amp; R$2) +
SUMIFS(AllTasks!$AA:$AA, AllTasks!$K:$K, "PW1000G", AllTasks!$Q:$Q, "&gt;=" &amp; R$1, AllTasks!$Q:$Q, "&lt;=" &amp; R$2)</f>
        <v>1739.169120370374</v>
      </c>
      <c r="S26">
        <f>SUMIFS(AllTasks!$AA:$AA, AllTasks!$K:$K, "PW800", AllTasks!$Q:$Q, "&gt;=" &amp; S$1, AllTasks!$Q:$Q, "&lt;=" &amp; S$2) +
SUMIFS(AllTasks!$AA:$AA, AllTasks!$K:$K, "PW1000G", AllTasks!$Q:$Q, "&gt;=" &amp; S$1, AllTasks!$Q:$Q, "&lt;=" &amp; S$2)</f>
        <v>3070.4486226851877</v>
      </c>
      <c r="T26">
        <f>SUMIFS(AllTasks!$AA:$AA, AllTasks!$K:$K, "PW800", AllTasks!$Q:$Q, "&gt;=" &amp; T$1, AllTasks!$Q:$Q, "&lt;=" &amp; T$2) +
SUMIFS(AllTasks!$AA:$AA, AllTasks!$K:$K, "PW1000G", AllTasks!$Q:$Q, "&gt;=" &amp; T$1, AllTasks!$Q:$Q, "&lt;=" &amp; T$2)</f>
        <v>1963.1791666666832</v>
      </c>
      <c r="U26">
        <f>SUMIFS(AllTasks!$AA:$AA, AllTasks!$K:$K, "PW800", AllTasks!$Q:$Q, "&gt;=" &amp; U$1, AllTasks!$Q:$Q, "&lt;=" &amp; U$2) +
SUMIFS(AllTasks!$AA:$AA, AllTasks!$K:$K, "PW1000G", AllTasks!$Q:$Q, "&gt;=" &amp; U$1, AllTasks!$Q:$Q, "&lt;=" &amp; U$2)</f>
        <v>90.206886574072996</v>
      </c>
      <c r="V26">
        <f>SUMIFS(AllTasks!$AA:$AA, AllTasks!$K:$K, "PW800", AllTasks!$Q:$Q, "&gt;=" &amp; V$1, AllTasks!$Q:$Q, "&lt;=" &amp; V$2) +
SUMIFS(AllTasks!$AA:$AA, AllTasks!$K:$K, "PW1000G", AllTasks!$Q:$Q, "&gt;=" &amp; V$1, AllTasks!$Q:$Q, "&lt;=" &amp; V$2)</f>
        <v>0</v>
      </c>
      <c r="W26">
        <f>SUMIFS(AllTasks!$AA:$AA, AllTasks!$K:$K, "PW800", AllTasks!$Q:$Q, "&gt;=" &amp; W$1, AllTasks!$Q:$Q, "&lt;=" &amp; W$2) +
SUMIFS(AllTasks!$AA:$AA, AllTasks!$K:$K, "PW1000G", AllTasks!$Q:$Q, "&gt;=" &amp; W$1, AllTasks!$Q:$Q, "&lt;=" &amp; W$2)</f>
        <v>0</v>
      </c>
      <c r="X26">
        <f>SUMIFS(AllTasks!$AA:$AA, AllTasks!$K:$K, "PW800", AllTasks!$Q:$Q, "&gt;=" &amp; X$1, AllTasks!$Q:$Q, "&lt;=" &amp; X$2) +
SUMIFS(AllTasks!$AA:$AA, AllTasks!$K:$K, "PW1000G", AllTasks!$Q:$Q, "&gt;=" &amp; X$1, AllTasks!$Q:$Q, "&lt;=" &amp; X$2)</f>
        <v>0</v>
      </c>
      <c r="Y26">
        <f>SUMIFS(AllTasks!$AA:$AA, AllTasks!$K:$K, "PW800", AllTasks!$Q:$Q, "&gt;=" &amp; Y$1, AllTasks!$Q:$Q, "&lt;=" &amp; Y$2) +
SUMIFS(AllTasks!$AA:$AA, AllTasks!$K:$K, "PW1000G", AllTasks!$Q:$Q, "&gt;=" &amp; Y$1, AllTasks!$Q:$Q, "&lt;=" &amp; Y$2)</f>
        <v>0</v>
      </c>
    </row>
    <row r="27" spans="1:25" x14ac:dyDescent="0.35">
      <c r="A27" s="16" t="s">
        <v>2015</v>
      </c>
      <c r="B27" s="17">
        <f>IF(B25=0, "", B26 / B25)</f>
        <v>135.47417467948756</v>
      </c>
      <c r="C27" s="17">
        <f t="shared" ref="C27:Y27" si="3">IF(C25=0, "", C26 / C25)</f>
        <v>156.80767361111211</v>
      </c>
      <c r="D27" s="17">
        <f t="shared" si="3"/>
        <v>150.68347916666571</v>
      </c>
      <c r="E27" s="17">
        <f t="shared" si="3"/>
        <v>221.72792493386217</v>
      </c>
      <c r="F27" s="17">
        <f t="shared" si="3"/>
        <v>117.67680338541641</v>
      </c>
      <c r="G27" s="17">
        <f t="shared" si="3"/>
        <v>204.96107323232289</v>
      </c>
      <c r="H27" s="17">
        <f t="shared" si="3"/>
        <v>103.55084401709385</v>
      </c>
      <c r="I27" s="17">
        <f t="shared" si="3"/>
        <v>136.79215205439868</v>
      </c>
      <c r="J27" s="17">
        <f t="shared" si="3"/>
        <v>97.058734567902619</v>
      </c>
      <c r="K27" s="17">
        <f t="shared" si="3"/>
        <v>125.28385931070079</v>
      </c>
      <c r="L27" s="17">
        <f t="shared" si="3"/>
        <v>152.49370212542172</v>
      </c>
      <c r="M27" s="17">
        <f t="shared" si="3"/>
        <v>173.29047243266078</v>
      </c>
      <c r="N27" s="17">
        <f t="shared" si="3"/>
        <v>165.67123540660174</v>
      </c>
      <c r="O27" s="17">
        <f t="shared" si="3"/>
        <v>126.07502626424433</v>
      </c>
      <c r="P27" s="17">
        <f t="shared" si="3"/>
        <v>142.81194637345652</v>
      </c>
      <c r="Q27" s="17">
        <f t="shared" si="3"/>
        <v>142.18899610136464</v>
      </c>
      <c r="R27" s="17">
        <f t="shared" si="3"/>
        <v>108.69807002314838</v>
      </c>
      <c r="S27" s="17">
        <f t="shared" si="3"/>
        <v>204.69657484567918</v>
      </c>
      <c r="T27" s="17">
        <f t="shared" si="3"/>
        <v>130.87861111111221</v>
      </c>
      <c r="U27" s="17">
        <f t="shared" si="3"/>
        <v>90.206886574072996</v>
      </c>
      <c r="V27" s="17" t="str">
        <f t="shared" si="3"/>
        <v/>
      </c>
      <c r="W27" s="17" t="str">
        <f t="shared" si="3"/>
        <v/>
      </c>
      <c r="X27" s="17" t="str">
        <f t="shared" si="3"/>
        <v/>
      </c>
      <c r="Y27" s="17" t="str">
        <f t="shared" si="3"/>
        <v/>
      </c>
    </row>
    <row r="28" spans="1:25" x14ac:dyDescent="0.35">
      <c r="A28" s="16" t="s">
        <v>2016</v>
      </c>
      <c r="B28" s="17">
        <f>IF(B25=0, "",
  (
    SUMIFS(AllTasks!$AK:$AK, AllTasks!$K:$K, "PW800", AllTasks!$Q:$Q, "&gt;=" &amp; B$1, AllTasks!$Q:$Q, "&lt;=" &amp; B$2) +
    SUMIFS(AllTasks!$AK:$AK, AllTasks!$K:$K, "PW1000G", AllTasks!$Q:$Q, "&gt;=" &amp; B$1, AllTasks!$Q:$Q, "&lt;=" &amp; B$2)
  ) / B25
)</f>
        <v>10.925821552706811</v>
      </c>
      <c r="C28" s="17">
        <f>IF(C25=0, "",
  (
    SUMIFS(AllTasks!$AK:$AK, AllTasks!$K:$K, "PW800", AllTasks!$Q:$Q, "&gt;=" &amp; C$1, AllTasks!$Q:$Q, "&lt;=" &amp; C$2) +
    SUMIFS(AllTasks!$AK:$AK, AllTasks!$K:$K, "PW1000G", AllTasks!$Q:$Q, "&gt;=" &amp; C$1, AllTasks!$Q:$Q, "&lt;=" &amp; C$2)
  ) / C25
)</f>
        <v>4.2004061018519376</v>
      </c>
      <c r="D28" s="17">
        <f>IF(D25=0, "",
  (
    SUMIFS(AllTasks!$AK:$AK, AllTasks!$K:$K, "PW800", AllTasks!$Q:$Q, "&gt;=" &amp; D$1, AllTasks!$Q:$Q, "&lt;=" &amp; D$2) +
    SUMIFS(AllTasks!$AK:$AK, AllTasks!$K:$K, "PW1000G", AllTasks!$Q:$Q, "&gt;=" &amp; D$1, AllTasks!$Q:$Q, "&lt;=" &amp; D$2)
  ) / D25
)</f>
        <v>6.8754530966438328</v>
      </c>
      <c r="E28" s="17">
        <f>IF(E25=0, "",
  (
    SUMIFS(AllTasks!$AK:$AK, AllTasks!$K:$K, "PW800", AllTasks!$Q:$Q, "&gt;=" &amp; E$1, AllTasks!$Q:$Q, "&lt;=" &amp; E$2) +
    SUMIFS(AllTasks!$AK:$AK, AllTasks!$K:$K, "PW1000G", AllTasks!$Q:$Q, "&gt;=" &amp; E$1, AllTasks!$Q:$Q, "&lt;=" &amp; E$2)
  ) / E25
)</f>
        <v>3.4859664445553098</v>
      </c>
      <c r="F28" s="17">
        <f>IF(F25=0, "",
  (
    SUMIFS(AllTasks!$AK:$AK, AllTasks!$K:$K, "PW800", AllTasks!$Q:$Q, "&gt;=" &amp; F$1, AllTasks!$Q:$Q, "&lt;=" &amp; F$2) +
    SUMIFS(AllTasks!$AK:$AK, AllTasks!$K:$K, "PW1000G", AllTasks!$Q:$Q, "&gt;=" &amp; F$1, AllTasks!$Q:$Q, "&lt;=" &amp; F$2)
  ) / F25
)</f>
        <v>3.2429181488719223</v>
      </c>
      <c r="G28" s="17">
        <f>IF(G25=0, "",
  (
    SUMIFS(AllTasks!$AK:$AK, AllTasks!$K:$K, "PW800", AllTasks!$Q:$Q, "&gt;=" &amp; G$1, AllTasks!$Q:$Q, "&lt;=" &amp; G$2) +
    SUMIFS(AllTasks!$AK:$AK, AllTasks!$K:$K, "PW1000G", AllTasks!$Q:$Q, "&gt;=" &amp; G$1, AllTasks!$Q:$Q, "&lt;=" &amp; G$2)
  ) / G25
)</f>
        <v>15.43926523832091</v>
      </c>
      <c r="H28" s="17">
        <f>IF(H25=0, "",
  (
    SUMIFS(AllTasks!$AK:$AK, AllTasks!$K:$K, "PW800", AllTasks!$Q:$Q, "&gt;=" &amp; H$1, AllTasks!$Q:$Q, "&lt;=" &amp; H$2) +
    SUMIFS(AllTasks!$AK:$AK, AllTasks!$K:$K, "PW1000G", AllTasks!$Q:$Q, "&gt;=" &amp; H$1, AllTasks!$Q:$Q, "&lt;=" &amp; H$2)
  ) / H25
)</f>
        <v>0.30016413550541843</v>
      </c>
      <c r="I28" s="17">
        <f>IF(I25=0, "",
  (
    SUMIFS(AllTasks!$AK:$AK, AllTasks!$K:$K, "PW800", AllTasks!$Q:$Q, "&gt;=" &amp; I$1, AllTasks!$Q:$Q, "&lt;=" &amp; I$2) +
    SUMIFS(AllTasks!$AK:$AK, AllTasks!$K:$K, "PW1000G", AllTasks!$Q:$Q, "&gt;=" &amp; I$1, AllTasks!$Q:$Q, "&lt;=" &amp; I$2)
  ) / I25
)</f>
        <v>2.9498884309887217</v>
      </c>
      <c r="J28" s="17">
        <f>IF(J25=0, "",
  (
    SUMIFS(AllTasks!$AK:$AK, AllTasks!$K:$K, "PW800", AllTasks!$Q:$Q, "&gt;=" &amp; J$1, AllTasks!$Q:$Q, "&lt;=" &amp; J$2) +
    SUMIFS(AllTasks!$AK:$AK, AllTasks!$K:$K, "PW1000G", AllTasks!$Q:$Q, "&gt;=" &amp; J$1, AllTasks!$Q:$Q, "&lt;=" &amp; J$2)
  ) / J25
)</f>
        <v>15.162135970293699</v>
      </c>
      <c r="K28" s="17">
        <f>IF(K25=0, "",
  (
    SUMIFS(AllTasks!$AK:$AK, AllTasks!$K:$K, "PW800", AllTasks!$Q:$Q, "&gt;=" &amp; K$1, AllTasks!$Q:$Q, "&lt;=" &amp; K$2) +
    SUMIFS(AllTasks!$AK:$AK, AllTasks!$K:$K, "PW1000G", AllTasks!$Q:$Q, "&gt;=" &amp; K$1, AllTasks!$Q:$Q, "&lt;=" &amp; K$2)
  ) / K25
)</f>
        <v>0.21892455504146507</v>
      </c>
      <c r="L28" s="17">
        <f>IF(L25=0, "",
  (
    SUMIFS(AllTasks!$AK:$AK, AllTasks!$K:$K, "PW800", AllTasks!$Q:$Q, "&gt;=" &amp; L$1, AllTasks!$Q:$Q, "&lt;=" &amp; L$2) +
    SUMIFS(AllTasks!$AK:$AK, AllTasks!$K:$K, "PW1000G", AllTasks!$Q:$Q, "&gt;=" &amp; L$1, AllTasks!$Q:$Q, "&lt;=" &amp; L$2)
  ) / L25
)</f>
        <v>3.4253742561026725</v>
      </c>
      <c r="M28" s="17">
        <f>IF(M25=0, "",
  (
    SUMIFS(AllTasks!$AK:$AK, AllTasks!$K:$K, "PW800", AllTasks!$Q:$Q, "&gt;=" &amp; M$1, AllTasks!$Q:$Q, "&lt;=" &amp; M$2) +
    SUMIFS(AllTasks!$AK:$AK, AllTasks!$K:$K, "PW1000G", AllTasks!$Q:$Q, "&gt;=" &amp; M$1, AllTasks!$Q:$Q, "&lt;=" &amp; M$2)
  ) / M25
)</f>
        <v>39.708036957070526</v>
      </c>
      <c r="N28" s="17">
        <f>IF(N25=0, "",
  (
    SUMIFS(AllTasks!$AK:$AK, AllTasks!$K:$K, "PW800", AllTasks!$Q:$Q, "&gt;=" &amp; N$1, AllTasks!$Q:$Q, "&lt;=" &amp; N$2) +
    SUMIFS(AllTasks!$AK:$AK, AllTasks!$K:$K, "PW1000G", AllTasks!$Q:$Q, "&gt;=" &amp; N$1, AllTasks!$Q:$Q, "&lt;=" &amp; N$2)
  ) / N25
)</f>
        <v>25.53723167320878</v>
      </c>
      <c r="O28" s="17">
        <f>IF(O25=0, "",
  (
    SUMIFS(AllTasks!$AK:$AK, AllTasks!$K:$K, "PW800", AllTasks!$Q:$Q, "&gt;=" &amp; O$1, AllTasks!$Q:$Q, "&lt;=" &amp; O$2) +
    SUMIFS(AllTasks!$AK:$AK, AllTasks!$K:$K, "PW1000G", AllTasks!$Q:$Q, "&gt;=" &amp; O$1, AllTasks!$Q:$Q, "&lt;=" &amp; O$2)
  ) / O25
)</f>
        <v>20.258844783655011</v>
      </c>
      <c r="P28" s="17">
        <f>IF(P25=0, "",
  (
    SUMIFS(AllTasks!$AK:$AK, AllTasks!$K:$K, "PW800", AllTasks!$Q:$Q, "&gt;=" &amp; P$1, AllTasks!$Q:$Q, "&lt;=" &amp; P$2) +
    SUMIFS(AllTasks!$AK:$AK, AllTasks!$K:$K, "PW1000G", AllTasks!$Q:$Q, "&gt;=" &amp; P$1, AllTasks!$Q:$Q, "&lt;=" &amp; P$2)
  ) / P25
)</f>
        <v>39.498823952547049</v>
      </c>
      <c r="Q28" s="17">
        <f>IF(Q25=0, "",
  (
    SUMIFS(AllTasks!$AK:$AK, AllTasks!$K:$K, "PW800", AllTasks!$Q:$Q, "&gt;=" &amp; Q$1, AllTasks!$Q:$Q, "&lt;=" &amp; Q$2) +
    SUMIFS(AllTasks!$AK:$AK, AllTasks!$K:$K, "PW1000G", AllTasks!$Q:$Q, "&gt;=" &amp; Q$1, AllTasks!$Q:$Q, "&lt;=" &amp; Q$2)
  ) / Q25
)</f>
        <v>8.9273890460520455</v>
      </c>
      <c r="R28" s="17">
        <f>IF(R25=0, "",
  (
    SUMIFS(AllTasks!$AK:$AK, AllTasks!$K:$K, "PW800", AllTasks!$Q:$Q, "&gt;=" &amp; R$1, AllTasks!$Q:$Q, "&lt;=" &amp; R$2) +
    SUMIFS(AllTasks!$AK:$AK, AllTasks!$K:$K, "PW1000G", AllTasks!$Q:$Q, "&gt;=" &amp; R$1, AllTasks!$Q:$Q, "&lt;=" &amp; R$2)
  ) / R25
)</f>
        <v>17.017158254484912</v>
      </c>
      <c r="S28" s="17">
        <f>IF(S25=0, "",
  (
    SUMIFS(AllTasks!$AK:$AK, AllTasks!$K:$K, "PW800", AllTasks!$Q:$Q, "&gt;=" &amp; S$1, AllTasks!$Q:$Q, "&lt;=" &amp; S$2) +
    SUMIFS(AllTasks!$AK:$AK, AllTasks!$K:$K, "PW1000G", AllTasks!$Q:$Q, "&gt;=" &amp; S$1, AllTasks!$Q:$Q, "&lt;=" &amp; S$2)
  ) / S25
)</f>
        <v>17.737754317129049</v>
      </c>
      <c r="T28" s="17">
        <f>IF(T25=0, "",
  (
    SUMIFS(AllTasks!$AK:$AK, AllTasks!$K:$K, "PW800", AllTasks!$Q:$Q, "&gt;=" &amp; T$1, AllTasks!$Q:$Q, "&lt;=" &amp; T$2) +
    SUMIFS(AllTasks!$AK:$AK, AllTasks!$K:$K, "PW1000G", AllTasks!$Q:$Q, "&gt;=" &amp; T$1, AllTasks!$Q:$Q, "&lt;=" &amp; T$2)
  ) / T25
)</f>
        <v>9.1689162037044305</v>
      </c>
      <c r="U28" s="17">
        <f>IF(U25=0, "",
  (
    SUMIFS(AllTasks!$AK:$AK, AllTasks!$K:$K, "PW800", AllTasks!$Q:$Q, "&gt;=" &amp; U$1, AllTasks!$Q:$Q, "&lt;=" &amp; U$2) +
    SUMIFS(AllTasks!$AK:$AK, AllTasks!$K:$K, "PW1000G", AllTasks!$Q:$Q, "&gt;=" &amp; U$1, AllTasks!$Q:$Q, "&lt;=" &amp; U$2)
  ) / U25
)</f>
        <v>0</v>
      </c>
      <c r="V28" s="17" t="str">
        <f>IF(V25=0, "",
  (
    SUMIFS(AllTasks!$AK:$AK, AllTasks!$K:$K, "PW800", AllTasks!$Q:$Q, "&gt;=" &amp; V$1, AllTasks!$Q:$Q, "&lt;=" &amp; V$2) +
    SUMIFS(AllTasks!$AK:$AK, AllTasks!$K:$K, "PW1000G", AllTasks!$Q:$Q, "&gt;=" &amp; V$1, AllTasks!$Q:$Q, "&lt;=" &amp; V$2)
  ) / V25
)</f>
        <v/>
      </c>
      <c r="W28" s="17" t="str">
        <f>IF(W25=0, "",
  (
    SUMIFS(AllTasks!$AK:$AK, AllTasks!$K:$K, "PW800", AllTasks!$Q:$Q, "&gt;=" &amp; W$1, AllTasks!$Q:$Q, "&lt;=" &amp; W$2) +
    SUMIFS(AllTasks!$AK:$AK, AllTasks!$K:$K, "PW1000G", AllTasks!$Q:$Q, "&gt;=" &amp; W$1, AllTasks!$Q:$Q, "&lt;=" &amp; W$2)
  ) / W25
)</f>
        <v/>
      </c>
      <c r="X28" s="17" t="str">
        <f>IF(X25=0, "",
  (
    SUMIFS(AllTasks!$AK:$AK, AllTasks!$K:$K, "PW800", AllTasks!$Q:$Q, "&gt;=" &amp; X$1, AllTasks!$Q:$Q, "&lt;=" &amp; X$2) +
    SUMIFS(AllTasks!$AK:$AK, AllTasks!$K:$K, "PW1000G", AllTasks!$Q:$Q, "&gt;=" &amp; X$1, AllTasks!$Q:$Q, "&lt;=" &amp; X$2)
  ) / X25
)</f>
        <v/>
      </c>
      <c r="Y28" s="17" t="str">
        <f>IF(Y25=0, "",
  (
    SUMIFS(AllTasks!$AK:$AK, AllTasks!$K:$K, "PW800", AllTasks!$Q:$Q, "&gt;=" &amp; Y$1, AllTasks!$Q:$Q, "&lt;=" &amp; Y$2) +
    SUMIFS(AllTasks!$AK:$AK, AllTasks!$K:$K, "PW1000G", AllTasks!$Q:$Q, "&gt;=" &amp; Y$1, AllTasks!$Q:$Q, "&lt;=" &amp; Y$2)
  ) / Y25
)</f>
        <v/>
      </c>
    </row>
    <row r="29" spans="1:25" x14ac:dyDescent="0.35">
      <c r="A29" s="16" t="s">
        <v>2017</v>
      </c>
      <c r="B29" s="17">
        <f>IF(B25=0, "",
  (
    SUMIFS(AllTasks!$AL:$AL, AllTasks!$K:$K, "PW800", AllTasks!$Q:$Q, "&gt;=" &amp; B$1, AllTasks!$Q:$Q, "&lt;=" &amp; B$2) +
    SUMIFS(AllTasks!$AL:$AL, AllTasks!$K:$K, "PW1000G", AllTasks!$Q:$Q, "&gt;=" &amp; B$1, AllTasks!$Q:$Q, "&lt;=" &amp; B$2)
  ) / B25
)</f>
        <v>124.54835312678075</v>
      </c>
      <c r="C29" s="17">
        <f>IF(C25=0, "",
  (
    SUMIFS(AllTasks!$AL:$AL, AllTasks!$K:$K, "PW800", AllTasks!$Q:$Q, "&gt;=" &amp; C$1, AllTasks!$Q:$Q, "&lt;=" &amp; C$2) +
    SUMIFS(AllTasks!$AL:$AL, AllTasks!$K:$K, "PW1000G", AllTasks!$Q:$Q, "&gt;=" &amp; C$1, AllTasks!$Q:$Q, "&lt;=" &amp; C$2)
  ) / C25
)</f>
        <v>152.60726750926017</v>
      </c>
      <c r="D29" s="17">
        <f>IF(D25=0, "",
  (
    SUMIFS(AllTasks!$AL:$AL, AllTasks!$K:$K, "PW800", AllTasks!$Q:$Q, "&gt;=" &amp; D$1, AllTasks!$Q:$Q, "&lt;=" &amp; D$2) +
    SUMIFS(AllTasks!$AL:$AL, AllTasks!$K:$K, "PW1000G", AllTasks!$Q:$Q, "&gt;=" &amp; D$1, AllTasks!$Q:$Q, "&lt;=" &amp; D$2)
  ) / D25
)</f>
        <v>143.80802607002187</v>
      </c>
      <c r="E29" s="17">
        <f>IF(E25=0, "",
  (
    SUMIFS(AllTasks!$AL:$AL, AllTasks!$K:$K, "PW800", AllTasks!$Q:$Q, "&gt;=" &amp; E$1, AllTasks!$Q:$Q, "&lt;=" &amp; E$2) +
    SUMIFS(AllTasks!$AL:$AL, AllTasks!$K:$K, "PW1000G", AllTasks!$Q:$Q, "&gt;=" &amp; E$1, AllTasks!$Q:$Q, "&lt;=" &amp; E$2)
  ) / E25
)</f>
        <v>218.24195848930685</v>
      </c>
      <c r="F29" s="17">
        <f>IF(F25=0, "",
  (
    SUMIFS(AllTasks!$AL:$AL, AllTasks!$K:$K, "PW800", AllTasks!$Q:$Q, "&gt;=" &amp; F$1, AllTasks!$Q:$Q, "&lt;=" &amp; F$2) +
    SUMIFS(AllTasks!$AL:$AL, AllTasks!$K:$K, "PW1000G", AllTasks!$Q:$Q, "&gt;=" &amp; F$1, AllTasks!$Q:$Q, "&lt;=" &amp; F$2)
  ) / F25
)</f>
        <v>114.43388523654448</v>
      </c>
      <c r="G29" s="17">
        <f>IF(G25=0, "",
  (
    SUMIFS(AllTasks!$AL:$AL, AllTasks!$K:$K, "PW800", AllTasks!$Q:$Q, "&gt;=" &amp; G$1, AllTasks!$Q:$Q, "&lt;=" &amp; G$2) +
    SUMIFS(AllTasks!$AL:$AL, AllTasks!$K:$K, "PW1000G", AllTasks!$Q:$Q, "&gt;=" &amp; G$1, AllTasks!$Q:$Q, "&lt;=" &amp; G$2)
  ) / G25
)</f>
        <v>189.52180799400196</v>
      </c>
      <c r="H29" s="17">
        <f>IF(H25=0, "",
  (
    SUMIFS(AllTasks!$AL:$AL, AllTasks!$K:$K, "PW800", AllTasks!$Q:$Q, "&gt;=" &amp; H$1, AllTasks!$Q:$Q, "&lt;=" &amp; H$2) +
    SUMIFS(AllTasks!$AL:$AL, AllTasks!$K:$K, "PW1000G", AllTasks!$Q:$Q, "&gt;=" &amp; H$1, AllTasks!$Q:$Q, "&lt;=" &amp; H$2)
  ) / H25
)</f>
        <v>103.25067988158844</v>
      </c>
      <c r="I29" s="17">
        <f>IF(I25=0, "",
  (
    SUMIFS(AllTasks!$AL:$AL, AllTasks!$K:$K, "PW800", AllTasks!$Q:$Q, "&gt;=" &amp; I$1, AllTasks!$Q:$Q, "&lt;=" &amp; I$2) +
    SUMIFS(AllTasks!$AL:$AL, AllTasks!$K:$K, "PW1000G", AllTasks!$Q:$Q, "&gt;=" &amp; I$1, AllTasks!$Q:$Q, "&lt;=" &amp; I$2)
  ) / I25
)</f>
        <v>133.84226362340996</v>
      </c>
      <c r="J29" s="17">
        <f>IF(J25=0, "",
  (
    SUMIFS(AllTasks!$AL:$AL, AllTasks!$K:$K, "PW800", AllTasks!$Q:$Q, "&gt;=" &amp; J$1, AllTasks!$Q:$Q, "&lt;=" &amp; J$2) +
    SUMIFS(AllTasks!$AL:$AL, AllTasks!$K:$K, "PW1000G", AllTasks!$Q:$Q, "&gt;=" &amp; J$1, AllTasks!$Q:$Q, "&lt;=" &amp; J$2)
  ) / J25
)</f>
        <v>81.896598597608929</v>
      </c>
      <c r="K29" s="17">
        <f>IF(K25=0, "",
  (
    SUMIFS(AllTasks!$AL:$AL, AllTasks!$K:$K, "PW800", AllTasks!$Q:$Q, "&gt;=" &amp; K$1, AllTasks!$Q:$Q, "&lt;=" &amp; K$2) +
    SUMIFS(AllTasks!$AL:$AL, AllTasks!$K:$K, "PW1000G", AllTasks!$Q:$Q, "&gt;=" &amp; K$1, AllTasks!$Q:$Q, "&lt;=" &amp; K$2)
  ) / K25
)</f>
        <v>125.06493475565932</v>
      </c>
      <c r="L29" s="17">
        <f>IF(L25=0, "",
  (
    SUMIFS(AllTasks!$AL:$AL, AllTasks!$K:$K, "PW800", AllTasks!$Q:$Q, "&gt;=" &amp; L$1, AllTasks!$Q:$Q, "&lt;=" &amp; L$2) +
    SUMIFS(AllTasks!$AL:$AL, AllTasks!$K:$K, "PW1000G", AllTasks!$Q:$Q, "&gt;=" &amp; L$1, AllTasks!$Q:$Q, "&lt;=" &amp; L$2)
  ) / L25
)</f>
        <v>149.06832786931906</v>
      </c>
      <c r="M29" s="17">
        <f>IF(M25=0, "",
  (
    SUMIFS(AllTasks!$AL:$AL, AllTasks!$K:$K, "PW800", AllTasks!$Q:$Q, "&gt;=" &amp; M$1, AllTasks!$Q:$Q, "&lt;=" &amp; M$2) +
    SUMIFS(AllTasks!$AL:$AL, AllTasks!$K:$K, "PW1000G", AllTasks!$Q:$Q, "&gt;=" &amp; M$1, AllTasks!$Q:$Q, "&lt;=" &amp; M$2)
  ) / M25
)</f>
        <v>133.58243547559024</v>
      </c>
      <c r="N29" s="17">
        <f>IF(N25=0, "",
  (
    SUMIFS(AllTasks!$AL:$AL, AllTasks!$K:$K, "PW800", AllTasks!$Q:$Q, "&gt;=" &amp; N$1, AllTasks!$Q:$Q, "&lt;=" &amp; N$2) +
    SUMIFS(AllTasks!$AL:$AL, AllTasks!$K:$K, "PW1000G", AllTasks!$Q:$Q, "&gt;=" &amp; N$1, AllTasks!$Q:$Q, "&lt;=" &amp; N$2)
  ) / N25
)</f>
        <v>140.13400373339297</v>
      </c>
      <c r="O29" s="17">
        <f>IF(O25=0, "",
  (
    SUMIFS(AllTasks!$AL:$AL, AllTasks!$K:$K, "PW800", AllTasks!$Q:$Q, "&gt;=" &amp; O$1, AllTasks!$Q:$Q, "&lt;=" &amp; O$2) +
    SUMIFS(AllTasks!$AL:$AL, AllTasks!$K:$K, "PW1000G", AllTasks!$Q:$Q, "&gt;=" &amp; O$1, AllTasks!$Q:$Q, "&lt;=" &amp; O$2)
  ) / O25
)</f>
        <v>105.81618148058932</v>
      </c>
      <c r="P29" s="17">
        <f>IF(P25=0, "",
  (
    SUMIFS(AllTasks!$AL:$AL, AllTasks!$K:$K, "PW800", AllTasks!$Q:$Q, "&gt;=" &amp; P$1, AllTasks!$Q:$Q, "&lt;=" &amp; P$2) +
    SUMIFS(AllTasks!$AL:$AL, AllTasks!$K:$K, "PW1000G", AllTasks!$Q:$Q, "&gt;=" &amp; P$1, AllTasks!$Q:$Q, "&lt;=" &amp; P$2)
  ) / P25
)</f>
        <v>103.31312242090947</v>
      </c>
      <c r="Q29" s="17">
        <f>IF(Q25=0, "",
  (
    SUMIFS(AllTasks!$AL:$AL, AllTasks!$K:$K, "PW800", AllTasks!$Q:$Q, "&gt;=" &amp; Q$1, AllTasks!$Q:$Q, "&lt;=" &amp; Q$2) +
    SUMIFS(AllTasks!$AL:$AL, AllTasks!$K:$K, "PW1000G", AllTasks!$Q:$Q, "&gt;=" &amp; Q$1, AllTasks!$Q:$Q, "&lt;=" &amp; Q$2)
  ) / Q25
)</f>
        <v>133.26160705531257</v>
      </c>
      <c r="R29" s="17">
        <f>IF(R25=0, "",
  (
    SUMIFS(AllTasks!$AL:$AL, AllTasks!$K:$K, "PW800", AllTasks!$Q:$Q, "&gt;=" &amp; R$1, AllTasks!$Q:$Q, "&lt;=" &amp; R$2) +
    SUMIFS(AllTasks!$AL:$AL, AllTasks!$K:$K, "PW1000G", AllTasks!$Q:$Q, "&gt;=" &amp; R$1, AllTasks!$Q:$Q, "&lt;=" &amp; R$2)
  ) / R25
)</f>
        <v>91.680911768663464</v>
      </c>
      <c r="S29" s="17">
        <f>IF(S25=0, "",
  (
    SUMIFS(AllTasks!$AL:$AL, AllTasks!$K:$K, "PW800", AllTasks!$Q:$Q, "&gt;=" &amp; S$1, AllTasks!$Q:$Q, "&lt;=" &amp; S$2) +
    SUMIFS(AllTasks!$AL:$AL, AllTasks!$K:$K, "PW1000G", AllTasks!$Q:$Q, "&gt;=" &amp; S$1, AllTasks!$Q:$Q, "&lt;=" &amp; S$2)
  ) / S25
)</f>
        <v>186.95882052855012</v>
      </c>
      <c r="T29" s="17">
        <f>IF(T25=0, "",
  (
    SUMIFS(AllTasks!$AL:$AL, AllTasks!$K:$K, "PW800", AllTasks!$Q:$Q, "&gt;=" &amp; T$1, AllTasks!$Q:$Q, "&lt;=" &amp; T$2) +
    SUMIFS(AllTasks!$AL:$AL, AllTasks!$K:$K, "PW1000G", AllTasks!$Q:$Q, "&gt;=" &amp; T$1, AllTasks!$Q:$Q, "&lt;=" &amp; T$2)
  ) / T25
)</f>
        <v>121.70969490740778</v>
      </c>
      <c r="U29" s="17">
        <f>IF(U25=0, "",
  (
    SUMIFS(AllTasks!$AL:$AL, AllTasks!$K:$K, "PW800", AllTasks!$Q:$Q, "&gt;=" &amp; U$1, AllTasks!$Q:$Q, "&lt;=" &amp; U$2) +
    SUMIFS(AllTasks!$AL:$AL, AllTasks!$K:$K, "PW1000G", AllTasks!$Q:$Q, "&gt;=" &amp; U$1, AllTasks!$Q:$Q, "&lt;=" &amp; U$2)
  ) / U25
)</f>
        <v>90.206886574072996</v>
      </c>
      <c r="V29" s="17" t="str">
        <f>IF(V25=0, "",
  (
    SUMIFS(AllTasks!$AL:$AL, AllTasks!$K:$K, "PW800", AllTasks!$Q:$Q, "&gt;=" &amp; V$1, AllTasks!$Q:$Q, "&lt;=" &amp; V$2) +
    SUMIFS(AllTasks!$AL:$AL, AllTasks!$K:$K, "PW1000G", AllTasks!$Q:$Q, "&gt;=" &amp; V$1, AllTasks!$Q:$Q, "&lt;=" &amp; V$2)
  ) / V25
)</f>
        <v/>
      </c>
      <c r="W29" s="17" t="str">
        <f>IF(W25=0, "",
  (
    SUMIFS(AllTasks!$AL:$AL, AllTasks!$K:$K, "PW800", AllTasks!$Q:$Q, "&gt;=" &amp; W$1, AllTasks!$Q:$Q, "&lt;=" &amp; W$2) +
    SUMIFS(AllTasks!$AL:$AL, AllTasks!$K:$K, "PW1000G", AllTasks!$Q:$Q, "&gt;=" &amp; W$1, AllTasks!$Q:$Q, "&lt;=" &amp; W$2)
  ) / W25
)</f>
        <v/>
      </c>
      <c r="X29" s="17" t="str">
        <f>IF(X25=0, "",
  (
    SUMIFS(AllTasks!$AL:$AL, AllTasks!$K:$K, "PW800", AllTasks!$Q:$Q, "&gt;=" &amp; X$1, AllTasks!$Q:$Q, "&lt;=" &amp; X$2) +
    SUMIFS(AllTasks!$AL:$AL, AllTasks!$K:$K, "PW1000G", AllTasks!$Q:$Q, "&gt;=" &amp; X$1, AllTasks!$Q:$Q, "&lt;=" &amp; X$2)
  ) / X25
)</f>
        <v/>
      </c>
      <c r="Y29" s="17" t="str">
        <f>IF(Y25=0, "",
  (
    SUMIFS(AllTasks!$AL:$AL, AllTasks!$K:$K, "PW800", AllTasks!$Q:$Q, "&gt;=" &amp; Y$1, AllTasks!$Q:$Q, "&lt;=" &amp; Y$2) +
    SUMIFS(AllTasks!$AL:$AL, AllTasks!$K:$K, "PW1000G", AllTasks!$Q:$Q, "&gt;=" &amp; Y$1, AllTasks!$Q:$Q, "&lt;=" &amp; Y$2)
  ) / Y25
)</f>
        <v/>
      </c>
    </row>
    <row r="32" spans="1:25" x14ac:dyDescent="0.35">
      <c r="B32" s="221" t="s">
        <v>2020</v>
      </c>
      <c r="C32" s="222"/>
      <c r="D32" s="222"/>
      <c r="E32" s="222"/>
      <c r="F32" s="222"/>
      <c r="G32" s="222"/>
      <c r="H32" s="222"/>
      <c r="I32" s="222"/>
      <c r="J32" s="222"/>
      <c r="K32" s="222"/>
      <c r="L32" s="222"/>
      <c r="M32" s="223"/>
    </row>
    <row r="33" spans="1:25" x14ac:dyDescent="0.35">
      <c r="A33" s="15" t="s">
        <v>2013</v>
      </c>
      <c r="B33" s="19">
        <v>45292</v>
      </c>
      <c r="C33" s="19">
        <v>45323</v>
      </c>
      <c r="D33" s="19">
        <v>45352</v>
      </c>
      <c r="E33" s="19">
        <v>45383</v>
      </c>
      <c r="F33" s="19">
        <v>45413</v>
      </c>
      <c r="G33" s="19">
        <v>45444</v>
      </c>
      <c r="H33" s="19">
        <v>45474</v>
      </c>
      <c r="I33" s="19">
        <v>45505</v>
      </c>
      <c r="J33" s="19">
        <v>45536</v>
      </c>
      <c r="K33" s="19">
        <v>45566</v>
      </c>
      <c r="L33" s="19">
        <v>45597</v>
      </c>
      <c r="M33" s="20">
        <v>45627</v>
      </c>
      <c r="N33" s="22">
        <v>45658</v>
      </c>
      <c r="O33" s="22">
        <v>45689</v>
      </c>
      <c r="P33" s="22">
        <v>45717</v>
      </c>
      <c r="Q33" s="22">
        <v>45748</v>
      </c>
      <c r="R33" s="22">
        <v>45778</v>
      </c>
      <c r="S33" s="22">
        <v>45809</v>
      </c>
      <c r="T33" s="22">
        <v>45839</v>
      </c>
      <c r="U33" s="22">
        <v>45870</v>
      </c>
      <c r="V33" s="22">
        <v>45901</v>
      </c>
      <c r="W33" s="22">
        <v>45931</v>
      </c>
      <c r="X33" s="22">
        <v>45962</v>
      </c>
      <c r="Y33" s="22">
        <v>45992</v>
      </c>
    </row>
    <row r="34" spans="1:25" x14ac:dyDescent="0.35">
      <c r="A34" s="16" t="s">
        <v>2014</v>
      </c>
      <c r="B34">
        <f>COUNTIFS(
  AllTasks!$Q:$Q, "&gt;=" &amp; B$1,
  AllTasks!$Q:$Q, "&lt;=" &amp; B$2,
  AllTasks!$K:$K, "&lt;&gt;PW800",
  AllTasks!$K:$K, "&lt;&gt;PW1000G"
)</f>
        <v>28</v>
      </c>
      <c r="C34">
        <f>COUNTIFS(
  AllTasks!$Q:$Q, "&gt;=" &amp; C$1,
  AllTasks!$Q:$Q, "&lt;=" &amp; C$2,
  AllTasks!$K:$K, "&lt;&gt;PW800",
  AllTasks!$K:$K, "&lt;&gt;PW1000G"
)</f>
        <v>31</v>
      </c>
      <c r="D34">
        <f>COUNTIFS(
  AllTasks!$Q:$Q, "&gt;=" &amp; D$1,
  AllTasks!$Q:$Q, "&lt;=" &amp; D$2,
  AllTasks!$K:$K, "&lt;&gt;PW800",
  AllTasks!$K:$K, "&lt;&gt;PW1000G"
)</f>
        <v>17</v>
      </c>
      <c r="E34">
        <f>COUNTIFS(
  AllTasks!$Q:$Q, "&gt;=" &amp; E$1,
  AllTasks!$Q:$Q, "&lt;=" &amp; E$2,
  AllTasks!$K:$K, "&lt;&gt;PW800",
  AllTasks!$K:$K, "&lt;&gt;PW1000G"
)</f>
        <v>25</v>
      </c>
      <c r="F34">
        <f>COUNTIFS(
  AllTasks!$Q:$Q, "&gt;=" &amp; F$1,
  AllTasks!$Q:$Q, "&lt;=" &amp; F$2,
  AllTasks!$K:$K, "&lt;&gt;PW800",
  AllTasks!$K:$K, "&lt;&gt;PW1000G"
)</f>
        <v>35</v>
      </c>
      <c r="G34">
        <f>COUNTIFS(
  AllTasks!$Q:$Q, "&gt;=" &amp; G$1,
  AllTasks!$Q:$Q, "&lt;=" &amp; G$2,
  AllTasks!$K:$K, "&lt;&gt;PW800",
  AllTasks!$K:$K, "&lt;&gt;PW1000G"
)</f>
        <v>21</v>
      </c>
      <c r="H34">
        <f>COUNTIFS(
  AllTasks!$Q:$Q, "&gt;=" &amp; H$1,
  AllTasks!$Q:$Q, "&lt;=" &amp; H$2,
  AllTasks!$K:$K, "&lt;&gt;PW800",
  AllTasks!$K:$K, "&lt;&gt;PW1000G"
)</f>
        <v>28</v>
      </c>
      <c r="I34">
        <f>COUNTIFS(
  AllTasks!$Q:$Q, "&gt;=" &amp; I$1,
  AllTasks!$Q:$Q, "&lt;=" &amp; I$2,
  AllTasks!$K:$K, "&lt;&gt;PW800",
  AllTasks!$K:$K, "&lt;&gt;PW1000G"
)</f>
        <v>29</v>
      </c>
      <c r="J34">
        <f>COUNTIFS(
  AllTasks!$Q:$Q, "&gt;=" &amp; J$1,
  AllTasks!$Q:$Q, "&lt;=" &amp; J$2,
  AllTasks!$K:$K, "&lt;&gt;PW800",
  AllTasks!$K:$K, "&lt;&gt;PW1000G"
)</f>
        <v>31</v>
      </c>
      <c r="K34">
        <f>COUNTIFS(
  AllTasks!$Q:$Q, "&gt;=" &amp; K$1,
  AllTasks!$Q:$Q, "&lt;=" &amp; K$2,
  AllTasks!$K:$K, "&lt;&gt;PW800",
  AllTasks!$K:$K, "&lt;&gt;PW1000G"
)</f>
        <v>45</v>
      </c>
      <c r="L34">
        <f>COUNTIFS(
  AllTasks!$Q:$Q, "&gt;=" &amp; L$1,
  AllTasks!$Q:$Q, "&lt;=" &amp; L$2,
  AllTasks!$K:$K, "&lt;&gt;PW800",
  AllTasks!$K:$K, "&lt;&gt;PW1000G"
)</f>
        <v>32</v>
      </c>
      <c r="M34">
        <f>COUNTIFS(
  AllTasks!$Q:$Q, "&gt;=" &amp; M$1,
  AllTasks!$Q:$Q, "&lt;=" &amp; M$2,
  AllTasks!$K:$K, "&lt;&gt;PW800",
  AllTasks!$K:$K, "&lt;&gt;PW1000G"
)</f>
        <v>29</v>
      </c>
      <c r="N34">
        <f>COUNTIFS(
  AllTasks!$Q:$Q, "&gt;=" &amp; N$1,
  AllTasks!$Q:$Q, "&lt;=" &amp; N$2,
  AllTasks!$K:$K, "&lt;&gt;PW800",
  AllTasks!$K:$K, "&lt;&gt;PW1000G"
)</f>
        <v>31</v>
      </c>
      <c r="O34">
        <f>COUNTIFS(
  AllTasks!$Q:$Q, "&gt;=" &amp; O$1,
  AllTasks!$Q:$Q, "&lt;=" &amp; O$2,
  AllTasks!$K:$K, "&lt;&gt;PW800",
  AllTasks!$K:$K, "&lt;&gt;PW1000G"
)</f>
        <v>34</v>
      </c>
      <c r="P34">
        <f>COUNTIFS(
  AllTasks!$Q:$Q, "&gt;=" &amp; P$1,
  AllTasks!$Q:$Q, "&lt;=" &amp; P$2,
  AllTasks!$K:$K, "&lt;&gt;PW800",
  AllTasks!$K:$K, "&lt;&gt;PW1000G"
)</f>
        <v>32</v>
      </c>
      <c r="Q34">
        <f>COUNTIFS(
  AllTasks!$Q:$Q, "&gt;=" &amp; Q$1,
  AllTasks!$Q:$Q, "&lt;=" &amp; Q$2,
  AllTasks!$K:$K, "&lt;&gt;PW800",
  AllTasks!$K:$K, "&lt;&gt;PW1000G"
)</f>
        <v>32</v>
      </c>
      <c r="R34">
        <f>COUNTIFS(
  AllTasks!$Q:$Q, "&gt;=" &amp; R$1,
  AllTasks!$Q:$Q, "&lt;=" &amp; R$2,
  AllTasks!$K:$K, "&lt;&gt;PW800",
  AllTasks!$K:$K, "&lt;&gt;PW1000G"
)</f>
        <v>28</v>
      </c>
      <c r="S34">
        <f>COUNTIFS(
  AllTasks!$Q:$Q, "&gt;=" &amp; S$1,
  AllTasks!$Q:$Q, "&lt;=" &amp; S$2,
  AllTasks!$K:$K, "&lt;&gt;PW800",
  AllTasks!$K:$K, "&lt;&gt;PW1000G"
)</f>
        <v>37</v>
      </c>
      <c r="T34">
        <f>COUNTIFS(
  AllTasks!$Q:$Q, "&gt;=" &amp; T$1,
  AllTasks!$Q:$Q, "&lt;=" &amp; T$2,
  AllTasks!$K:$K, "&lt;&gt;PW800",
  AllTasks!$K:$K, "&lt;&gt;PW1000G"
)</f>
        <v>29</v>
      </c>
      <c r="U34">
        <f>COUNTIFS(
  AllTasks!$Q:$Q, "&gt;=" &amp; U$1,
  AllTasks!$Q:$Q, "&lt;=" &amp; U$2,
  AllTasks!$K:$K, "&lt;&gt;PW800",
  AllTasks!$K:$K, "&lt;&gt;PW1000G"
)</f>
        <v>2</v>
      </c>
      <c r="V34">
        <f>COUNTIFS(
  AllTasks!$Q:$Q, "&gt;=" &amp; V$1,
  AllTasks!$Q:$Q, "&lt;=" &amp; V$2,
  AllTasks!$K:$K, "&lt;&gt;PW800",
  AllTasks!$K:$K, "&lt;&gt;PW1000G"
)</f>
        <v>0</v>
      </c>
      <c r="W34">
        <f>COUNTIFS(
  AllTasks!$Q:$Q, "&gt;=" &amp; W$1,
  AllTasks!$Q:$Q, "&lt;=" &amp; W$2,
  AllTasks!$K:$K, "&lt;&gt;PW800",
  AllTasks!$K:$K, "&lt;&gt;PW1000G"
)</f>
        <v>0</v>
      </c>
      <c r="X34">
        <f>COUNTIFS(
  AllTasks!$Q:$Q, "&gt;=" &amp; X$1,
  AllTasks!$Q:$Q, "&lt;=" &amp; X$2,
  AllTasks!$K:$K, "&lt;&gt;PW800",
  AllTasks!$K:$K, "&lt;&gt;PW1000G"
)</f>
        <v>0</v>
      </c>
      <c r="Y34">
        <f>COUNTIFS(
  AllTasks!$Q:$Q, "&gt;=" &amp; Y$1,
  AllTasks!$Q:$Q, "&lt;=" &amp; Y$2,
  AllTasks!$K:$K, "&lt;&gt;PW800",
  AllTasks!$K:$K, "&lt;&gt;PW1000G"
)</f>
        <v>0</v>
      </c>
    </row>
    <row r="35" spans="1:25" x14ac:dyDescent="0.35">
      <c r="A35" s="16" t="s">
        <v>1961</v>
      </c>
      <c r="B35">
        <f>SUMIFS(
  AllTasks!$AA:$AA,
  AllTasks!$Q:$Q, "&gt;=" &amp; B$1,
  AllTasks!$Q:$Q, "&lt;=" &amp; B$2,
  AllTasks!$K:$K, "&lt;&gt;PW800",
  AllTasks!$K:$K, "&lt;&gt;PW1000G"
)</f>
        <v>4169.8311111111252</v>
      </c>
      <c r="C35">
        <f>SUMIFS(
  AllTasks!$AA:$AA,
  AllTasks!$Q:$Q, "&gt;=" &amp; C$1,
  AllTasks!$Q:$Q, "&lt;=" &amp; C$2,
  AllTasks!$K:$K, "&lt;&gt;PW800",
  AllTasks!$K:$K, "&lt;&gt;PW1000G"
)</f>
        <v>3131.9085763888797</v>
      </c>
      <c r="D35">
        <f>SUMIFS(
  AllTasks!$AA:$AA,
  AllTasks!$Q:$Q, "&gt;=" &amp; D$1,
  AllTasks!$Q:$Q, "&lt;=" &amp; D$2,
  AllTasks!$K:$K, "&lt;&gt;PW800",
  AllTasks!$K:$K, "&lt;&gt;PW1000G"
)</f>
        <v>2195.3204050925779</v>
      </c>
      <c r="E35">
        <f>SUMIFS(
  AllTasks!$AA:$AA,
  AllTasks!$Q:$Q, "&gt;=" &amp; E$1,
  AllTasks!$Q:$Q, "&lt;=" &amp; E$2,
  AllTasks!$K:$K, "&lt;&gt;PW800",
  AllTasks!$K:$K, "&lt;&gt;PW1000G"
)</f>
        <v>4436.149907407409</v>
      </c>
      <c r="F35">
        <f>SUMIFS(
  AllTasks!$AA:$AA,
  AllTasks!$Q:$Q, "&gt;=" &amp; F$1,
  AllTasks!$Q:$Q, "&lt;=" &amp; F$2,
  AllTasks!$K:$K, "&lt;&gt;PW800",
  AllTasks!$K:$K, "&lt;&gt;PW1000G"
)</f>
        <v>3297.5795138889007</v>
      </c>
      <c r="G35">
        <f>SUMIFS(
  AllTasks!$AA:$AA,
  AllTasks!$Q:$Q, "&gt;=" &amp; G$1,
  AllTasks!$Q:$Q, "&lt;=" &amp; G$2,
  AllTasks!$K:$K, "&lt;&gt;PW800",
  AllTasks!$K:$K, "&lt;&gt;PW1000G"
)</f>
        <v>3827.849074074089</v>
      </c>
      <c r="H35">
        <f>SUMIFS(
  AllTasks!$AA:$AA,
  AllTasks!$Q:$Q, "&gt;=" &amp; H$1,
  AllTasks!$Q:$Q, "&lt;=" &amp; H$2,
  AllTasks!$K:$K, "&lt;&gt;PW800",
  AllTasks!$K:$K, "&lt;&gt;PW1000G"
)</f>
        <v>3956.4309490740779</v>
      </c>
      <c r="I35">
        <f>SUMIFS(
  AllTasks!$AA:$AA,
  AllTasks!$Q:$Q, "&gt;=" &amp; I$1,
  AllTasks!$Q:$Q, "&lt;=" &amp; I$2,
  AllTasks!$K:$K, "&lt;&gt;PW800",
  AllTasks!$K:$K, "&lt;&gt;PW1000G"
)</f>
        <v>3117.1629629629897</v>
      </c>
      <c r="J35">
        <f>SUMIFS(
  AllTasks!$AA:$AA,
  AllTasks!$Q:$Q, "&gt;=" &amp; J$1,
  AllTasks!$Q:$Q, "&lt;=" &amp; J$2,
  AllTasks!$K:$K, "&lt;&gt;PW800",
  AllTasks!$K:$K, "&lt;&gt;PW1000G"
)</f>
        <v>3749.7218287037031</v>
      </c>
      <c r="K35">
        <f>SUMIFS(
  AllTasks!$AA:$AA,
  AllTasks!$Q:$Q, "&gt;=" &amp; K$1,
  AllTasks!$Q:$Q, "&lt;=" &amp; K$2,
  AllTasks!$K:$K, "&lt;&gt;PW800",
  AllTasks!$K:$K, "&lt;&gt;PW1000G"
)</f>
        <v>10277.113182870409</v>
      </c>
      <c r="L35">
        <f>SUMIFS(
  AllTasks!$AA:$AA,
  AllTasks!$Q:$Q, "&gt;=" &amp; L$1,
  AllTasks!$Q:$Q, "&lt;=" &amp; L$2,
  AllTasks!$K:$K, "&lt;&gt;PW800",
  AllTasks!$K:$K, "&lt;&gt;PW1000G"
)</f>
        <v>3960.604849537056</v>
      </c>
      <c r="M35">
        <f>SUMIFS(
  AllTasks!$AA:$AA,
  AllTasks!$Q:$Q, "&gt;=" &amp; M$1,
  AllTasks!$Q:$Q, "&lt;=" &amp; M$2,
  AllTasks!$K:$K, "&lt;&gt;PW800",
  AllTasks!$K:$K, "&lt;&gt;PW1000G"
)</f>
        <v>2955.1326504629542</v>
      </c>
      <c r="N35">
        <f>SUMIFS(
  AllTasks!$AA:$AA,
  AllTasks!$Q:$Q, "&gt;=" &amp; N$1,
  AllTasks!$Q:$Q, "&lt;=" &amp; N$2,
  AllTasks!$K:$K, "&lt;&gt;PW800",
  AllTasks!$K:$K, "&lt;&gt;PW1000G"
)</f>
        <v>4025.968611111115</v>
      </c>
      <c r="O35">
        <f>SUMIFS(
  AllTasks!$AA:$AA,
  AllTasks!$Q:$Q, "&gt;=" &amp; O$1,
  AllTasks!$Q:$Q, "&lt;=" &amp; O$2,
  AllTasks!$K:$K, "&lt;&gt;PW800",
  AllTasks!$K:$K, "&lt;&gt;PW1000G"
)</f>
        <v>5360.4570138888666</v>
      </c>
      <c r="P35">
        <f>SUMIFS(
  AllTasks!$AA:$AA,
  AllTasks!$Q:$Q, "&gt;=" &amp; P$1,
  AllTasks!$Q:$Q, "&lt;=" &amp; P$2,
  AllTasks!$K:$K, "&lt;&gt;PW800",
  AllTasks!$K:$K, "&lt;&gt;PW1000G"
)</f>
        <v>6834.0290624999834</v>
      </c>
      <c r="Q35">
        <f>SUMIFS(
  AllTasks!$AA:$AA,
  AllTasks!$Q:$Q, "&gt;=" &amp; Q$1,
  AllTasks!$Q:$Q, "&lt;=" &amp; Q$2,
  AllTasks!$K:$K, "&lt;&gt;PW800",
  AllTasks!$K:$K, "&lt;&gt;PW1000G"
)</f>
        <v>4357.2906712963231</v>
      </c>
      <c r="R35">
        <f>SUMIFS(
  AllTasks!$AA:$AA,
  AllTasks!$Q:$Q, "&gt;=" &amp; R$1,
  AllTasks!$Q:$Q, "&lt;=" &amp; R$2,
  AllTasks!$K:$K, "&lt;&gt;PW800",
  AllTasks!$K:$K, "&lt;&gt;PW1000G"
)</f>
        <v>3694.9391550925939</v>
      </c>
      <c r="S35">
        <f>SUMIFS(
  AllTasks!$AA:$AA,
  AllTasks!$Q:$Q, "&gt;=" &amp; S$1,
  AllTasks!$Q:$Q, "&lt;=" &amp; S$2,
  AllTasks!$K:$K, "&lt;&gt;PW800",
  AllTasks!$K:$K, "&lt;&gt;PW1000G"
)</f>
        <v>3912.5919328703967</v>
      </c>
      <c r="T35">
        <f>SUMIFS(
  AllTasks!$AA:$AA,
  AllTasks!$Q:$Q, "&gt;=" &amp; T$1,
  AllTasks!$Q:$Q, "&lt;=" &amp; T$2,
  AllTasks!$K:$K, "&lt;&gt;PW800",
  AllTasks!$K:$K, "&lt;&gt;PW1000G"
)</f>
        <v>3796.8908680555614</v>
      </c>
      <c r="U35">
        <f>SUMIFS(
  AllTasks!$AA:$AA,
  AllTasks!$Q:$Q, "&gt;=" &amp; U$1,
  AllTasks!$Q:$Q, "&lt;=" &amp; U$2,
  AllTasks!$K:$K, "&lt;&gt;PW800",
  AllTasks!$K:$K, "&lt;&gt;PW1000G"
)</f>
        <v>69.009456018524361</v>
      </c>
      <c r="V35">
        <f>SUMIFS(
  AllTasks!$AA:$AA,
  AllTasks!$Q:$Q, "&gt;=" &amp; V$1,
  AllTasks!$Q:$Q, "&lt;=" &amp; V$2,
  AllTasks!$K:$K, "&lt;&gt;PW800",
  AllTasks!$K:$K, "&lt;&gt;PW1000G"
)</f>
        <v>0</v>
      </c>
      <c r="W35">
        <f>SUMIFS(
  AllTasks!$AA:$AA,
  AllTasks!$Q:$Q, "&gt;=" &amp; W$1,
  AllTasks!$Q:$Q, "&lt;=" &amp; W$2,
  AllTasks!$K:$K, "&lt;&gt;PW800",
  AllTasks!$K:$K, "&lt;&gt;PW1000G"
)</f>
        <v>0</v>
      </c>
      <c r="X35">
        <f>SUMIFS(
  AllTasks!$AA:$AA,
  AllTasks!$Q:$Q, "&gt;=" &amp; X$1,
  AllTasks!$Q:$Q, "&lt;=" &amp; X$2,
  AllTasks!$K:$K, "&lt;&gt;PW800",
  AllTasks!$K:$K, "&lt;&gt;PW1000G"
)</f>
        <v>0</v>
      </c>
      <c r="Y35">
        <f>SUMIFS(
  AllTasks!$AA:$AA,
  AllTasks!$Q:$Q, "&gt;=" &amp; Y$1,
  AllTasks!$Q:$Q, "&lt;=" &amp; Y$2,
  AllTasks!$K:$K, "&lt;&gt;PW800",
  AllTasks!$K:$K, "&lt;&gt;PW1000G"
)</f>
        <v>0</v>
      </c>
    </row>
    <row r="36" spans="1:25" x14ac:dyDescent="0.35">
      <c r="A36" s="16" t="s">
        <v>2015</v>
      </c>
      <c r="B36" s="17">
        <f>IF(B34=0, "", B35 / B34)</f>
        <v>148.92253968254019</v>
      </c>
      <c r="C36" s="17">
        <f t="shared" ref="C36:Y36" si="4">IF(C34=0, "", C35 / C34)</f>
        <v>101.02930891577032</v>
      </c>
      <c r="D36" s="17">
        <f t="shared" si="4"/>
        <v>129.13649441721046</v>
      </c>
      <c r="E36" s="17">
        <f t="shared" si="4"/>
        <v>177.44599629629636</v>
      </c>
      <c r="F36" s="17">
        <f t="shared" si="4"/>
        <v>94.216557539682881</v>
      </c>
      <c r="G36" s="17">
        <f t="shared" si="4"/>
        <v>182.27852733686137</v>
      </c>
      <c r="H36" s="17">
        <f t="shared" si="4"/>
        <v>141.3011053240742</v>
      </c>
      <c r="I36" s="17">
        <f t="shared" si="4"/>
        <v>107.48837803320654</v>
      </c>
      <c r="J36" s="17">
        <f t="shared" si="4"/>
        <v>120.95876866786139</v>
      </c>
      <c r="K36" s="17">
        <f t="shared" si="4"/>
        <v>228.38029295267577</v>
      </c>
      <c r="L36" s="17">
        <f t="shared" si="4"/>
        <v>123.768901548033</v>
      </c>
      <c r="M36" s="17">
        <f t="shared" si="4"/>
        <v>101.9011258780329</v>
      </c>
      <c r="N36" s="17">
        <f t="shared" si="4"/>
        <v>129.86995519713275</v>
      </c>
      <c r="O36" s="17">
        <f t="shared" si="4"/>
        <v>157.66050040849609</v>
      </c>
      <c r="P36" s="17">
        <f t="shared" si="4"/>
        <v>213.56340820312448</v>
      </c>
      <c r="Q36" s="17">
        <f t="shared" si="4"/>
        <v>136.1653334780101</v>
      </c>
      <c r="R36" s="17">
        <f t="shared" si="4"/>
        <v>131.96211268187835</v>
      </c>
      <c r="S36" s="17">
        <f t="shared" si="4"/>
        <v>105.74572791541613</v>
      </c>
      <c r="T36" s="17">
        <f t="shared" si="4"/>
        <v>130.92727131226073</v>
      </c>
      <c r="U36" s="17">
        <f t="shared" si="4"/>
        <v>34.50472800926218</v>
      </c>
      <c r="V36" s="17" t="str">
        <f t="shared" si="4"/>
        <v/>
      </c>
      <c r="W36" s="17" t="str">
        <f t="shared" si="4"/>
        <v/>
      </c>
      <c r="X36" s="17" t="str">
        <f t="shared" si="4"/>
        <v/>
      </c>
      <c r="Y36" s="17" t="str">
        <f t="shared" si="4"/>
        <v/>
      </c>
    </row>
    <row r="37" spans="1:25" x14ac:dyDescent="0.35">
      <c r="A37" s="16" t="s">
        <v>2016</v>
      </c>
      <c r="B37" s="17">
        <f>IF(B34=0, "", AVERAGEIFS(
  AllTasks!$AK:$AK,
  AllTasks!$Q:$Q, "&gt;=" &amp; B$1,
  AllTasks!$Q:$Q, "&lt;=" &amp; B$2,
  AllTasks!$K:$K, "&lt;&gt;PW800",
  AllTasks!$K:$K, "&lt;&gt;PW1000G"
))</f>
        <v>4.1428571428571432</v>
      </c>
      <c r="C37" s="17">
        <f>IF(C34=0, "", AVERAGEIFS(
  AllTasks!$AK:$AK,
  AllTasks!$Q:$Q, "&gt;=" &amp; C$1,
  AllTasks!$Q:$Q, "&lt;=" &amp; C$2,
  AllTasks!$K:$K, "&lt;&gt;PW800",
  AllTasks!$K:$K, "&lt;&gt;PW1000G"
))</f>
        <v>0.54838709677419351</v>
      </c>
      <c r="D37" s="17">
        <f>IF(D34=0, "", AVERAGEIFS(
  AllTasks!$AK:$AK,
  AllTasks!$Q:$Q, "&gt;=" &amp; D$1,
  AllTasks!$Q:$Q, "&lt;=" &amp; D$2,
  AllTasks!$K:$K, "&lt;&gt;PW800",
  AllTasks!$K:$K, "&lt;&gt;PW1000G"
))</f>
        <v>5.882352941176471</v>
      </c>
      <c r="E37" s="17">
        <f>IF(E34=0, "", AVERAGEIFS(
  AllTasks!$AK:$AK,
  AllTasks!$Q:$Q, "&gt;=" &amp; E$1,
  AllTasks!$Q:$Q, "&lt;=" &amp; E$2,
  AllTasks!$K:$K, "&lt;&gt;PW800",
  AllTasks!$K:$K, "&lt;&gt;PW1000G"
))</f>
        <v>10.64</v>
      </c>
      <c r="F37" s="17">
        <f>IF(F34=0, "", AVERAGEIFS(
  AllTasks!$AK:$AK,
  AllTasks!$Q:$Q, "&gt;=" &amp; F$1,
  AllTasks!$Q:$Q, "&lt;=" &amp; F$2,
  AllTasks!$K:$K, "&lt;&gt;PW800",
  AllTasks!$K:$K, "&lt;&gt;PW1000G"
))</f>
        <v>2.8857142857142857</v>
      </c>
      <c r="G37" s="17">
        <f>IF(G34=0, "", AVERAGEIFS(
  AllTasks!$AK:$AK,
  AllTasks!$Q:$Q, "&gt;=" &amp; G$1,
  AllTasks!$Q:$Q, "&lt;=" &amp; G$2,
  AllTasks!$K:$K, "&lt;&gt;PW800",
  AllTasks!$K:$K, "&lt;&gt;PW1000G"
))</f>
        <v>3.7142857142857144</v>
      </c>
      <c r="H37" s="17">
        <f>IF(H34=0, "", AVERAGEIFS(
  AllTasks!$AK:$AK,
  AllTasks!$Q:$Q, "&gt;=" &amp; H$1,
  AllTasks!$Q:$Q, "&lt;=" &amp; H$2,
  AllTasks!$K:$K, "&lt;&gt;PW800",
  AllTasks!$K:$K, "&lt;&gt;PW1000G"
))</f>
        <v>9.5</v>
      </c>
      <c r="I37" s="17">
        <f>IF(I34=0, "", AVERAGEIFS(
  AllTasks!$AK:$AK,
  AllTasks!$Q:$Q, "&gt;=" &amp; I$1,
  AllTasks!$Q:$Q, "&lt;=" &amp; I$2,
  AllTasks!$K:$K, "&lt;&gt;PW800",
  AllTasks!$K:$K, "&lt;&gt;PW1000G"
))</f>
        <v>15.241379310344827</v>
      </c>
      <c r="J37" s="17">
        <f>IF(J34=0, "", AVERAGEIFS(
  AllTasks!$AK:$AK,
  AllTasks!$Q:$Q, "&gt;=" &amp; J$1,
  AllTasks!$Q:$Q, "&lt;=" &amp; J$2,
  AllTasks!$K:$K, "&lt;&gt;PW800",
  AllTasks!$K:$K, "&lt;&gt;PW1000G"
))</f>
        <v>11.32258064516129</v>
      </c>
      <c r="K37" s="17">
        <f>IF(K34=0, "", AVERAGEIFS(
  AllTasks!$AK:$AK,
  AllTasks!$Q:$Q, "&gt;=" &amp; K$1,
  AllTasks!$Q:$Q, "&lt;=" &amp; K$2,
  AllTasks!$K:$K, "&lt;&gt;PW800",
  AllTasks!$K:$K, "&lt;&gt;PW1000G"
))</f>
        <v>15.133333333333333</v>
      </c>
      <c r="L37" s="17">
        <f>IF(L34=0, "", AVERAGEIFS(
  AllTasks!$AK:$AK,
  AllTasks!$Q:$Q, "&gt;=" &amp; L$1,
  AllTasks!$Q:$Q, "&lt;=" &amp; L$2,
  AllTasks!$K:$K, "&lt;&gt;PW800",
  AllTasks!$K:$K, "&lt;&gt;PW1000G"
))</f>
        <v>17.5625</v>
      </c>
      <c r="M37" s="17">
        <f>IF(M34=0, "", AVERAGEIFS(
  AllTasks!$AK:$AK,
  AllTasks!$Q:$Q, "&gt;=" &amp; M$1,
  AllTasks!$Q:$Q, "&lt;=" &amp; M$2,
  AllTasks!$K:$K, "&lt;&gt;PW800",
  AllTasks!$K:$K, "&lt;&gt;PW1000G"
))</f>
        <v>20.344827586206897</v>
      </c>
      <c r="N37" s="17">
        <f>IF(N34=0, "", AVERAGEIFS(
  AllTasks!$AK:$AK,
  AllTasks!$Q:$Q, "&gt;=" &amp; N$1,
  AllTasks!$Q:$Q, "&lt;=" &amp; N$2,
  AllTasks!$K:$K, "&lt;&gt;PW800",
  AllTasks!$K:$K, "&lt;&gt;PW1000G"
))</f>
        <v>21.451612903225808</v>
      </c>
      <c r="O37" s="17">
        <f>IF(O34=0, "", AVERAGEIFS(
  AllTasks!$AK:$AK,
  AllTasks!$Q:$Q, "&gt;=" &amp; O$1,
  AllTasks!$Q:$Q, "&lt;=" &amp; O$2,
  AllTasks!$K:$K, "&lt;&gt;PW800",
  AllTasks!$K:$K, "&lt;&gt;PW1000G"
))</f>
        <v>21.441176470588236</v>
      </c>
      <c r="P37" s="17">
        <f>IF(P34=0, "", AVERAGEIFS(
  AllTasks!$AK:$AK,
  AllTasks!$Q:$Q, "&gt;=" &amp; P$1,
  AllTasks!$Q:$Q, "&lt;=" &amp; P$2,
  AllTasks!$K:$K, "&lt;&gt;PW800",
  AllTasks!$K:$K, "&lt;&gt;PW1000G"
))</f>
        <v>22.46875</v>
      </c>
      <c r="Q37" s="17">
        <f>IF(Q34=0, "", AVERAGEIFS(
  AllTasks!$AK:$AK,
  AllTasks!$Q:$Q, "&gt;=" &amp; Q$1,
  AllTasks!$Q:$Q, "&lt;=" &amp; Q$2,
  AllTasks!$K:$K, "&lt;&gt;PW800",
  AllTasks!$K:$K, "&lt;&gt;PW1000G"
))</f>
        <v>14.09375</v>
      </c>
      <c r="R37" s="17">
        <f>IF(R34=0, "", AVERAGEIFS(
  AllTasks!$AK:$AK,
  AllTasks!$Q:$Q, "&gt;=" &amp; R$1,
  AllTasks!$Q:$Q, "&lt;=" &amp; R$2,
  AllTasks!$K:$K, "&lt;&gt;PW800",
  AllTasks!$K:$K, "&lt;&gt;PW1000G"
))</f>
        <v>9.3571428571428577</v>
      </c>
      <c r="S37" s="17">
        <f>IF(S34=0, "", AVERAGEIFS(
  AllTasks!$AK:$AK,
  AllTasks!$Q:$Q, "&gt;=" &amp; S$1,
  AllTasks!$Q:$Q, "&lt;=" &amp; S$2,
  AllTasks!$K:$K, "&lt;&gt;PW800",
  AllTasks!$K:$K, "&lt;&gt;PW1000G"
))</f>
        <v>9.1351351351351351</v>
      </c>
      <c r="T37" s="17">
        <f>IF(T34=0, "", AVERAGEIFS(
  AllTasks!$AK:$AK,
  AllTasks!$Q:$Q, "&gt;=" &amp; T$1,
  AllTasks!$Q:$Q, "&lt;=" &amp; T$2,
  AllTasks!$K:$K, "&lt;&gt;PW800",
  AllTasks!$K:$K, "&lt;&gt;PW1000G"
))</f>
        <v>26.551724137931036</v>
      </c>
      <c r="U37" s="17">
        <f>IF(U34=0, "", AVERAGEIFS(
  AllTasks!$AK:$AK,
  AllTasks!$Q:$Q, "&gt;=" &amp; U$1,
  AllTasks!$Q:$Q, "&lt;=" &amp; U$2,
  AllTasks!$K:$K, "&lt;&gt;PW800",
  AllTasks!$K:$K, "&lt;&gt;PW1000G"
))</f>
        <v>2</v>
      </c>
      <c r="V37" s="17" t="str">
        <f>IF(V34=0, "", AVERAGEIFS(
  AllTasks!$AK:$AK,
  AllTasks!$Q:$Q, "&gt;=" &amp; V$1,
  AllTasks!$Q:$Q, "&lt;=" &amp; V$2,
  AllTasks!$K:$K, "&lt;&gt;PW800",
  AllTasks!$K:$K, "&lt;&gt;PW1000G"
))</f>
        <v/>
      </c>
      <c r="W37" s="17" t="str">
        <f>IF(W34=0, "", AVERAGEIFS(
  AllTasks!$AK:$AK,
  AllTasks!$Q:$Q, "&gt;=" &amp; W$1,
  AllTasks!$Q:$Q, "&lt;=" &amp; W$2,
  AllTasks!$K:$K, "&lt;&gt;PW800",
  AllTasks!$K:$K, "&lt;&gt;PW1000G"
))</f>
        <v/>
      </c>
      <c r="X37" s="17" t="str">
        <f>IF(X34=0, "", AVERAGEIFS(
  AllTasks!$AK:$AK,
  AllTasks!$Q:$Q, "&gt;=" &amp; X$1,
  AllTasks!$Q:$Q, "&lt;=" &amp; X$2,
  AllTasks!$K:$K, "&lt;&gt;PW800",
  AllTasks!$K:$K, "&lt;&gt;PW1000G"
))</f>
        <v/>
      </c>
      <c r="Y37" s="17" t="str">
        <f>IF(Y34=0, "", AVERAGEIFS(
  AllTasks!$AK:$AK,
  AllTasks!$Q:$Q, "&gt;=" &amp; Y$1,
  AllTasks!$Q:$Q, "&lt;=" &amp; Y$2,
  AllTasks!$K:$K, "&lt;&gt;PW800",
  AllTasks!$K:$K, "&lt;&gt;PW1000G"
))</f>
        <v/>
      </c>
    </row>
    <row r="38" spans="1:25" x14ac:dyDescent="0.35">
      <c r="A38" s="16" t="s">
        <v>2017</v>
      </c>
      <c r="B38" s="17">
        <f>IF(B34=0, "", AVERAGEIFS(
  AllTasks!$AL:$AL,
  AllTasks!$Q:$Q, "&gt;=" &amp; B$1,
  AllTasks!$Q:$Q, "&lt;=" &amp; B$2,
  AllTasks!$K:$K, "&lt;&gt;PW800",
  AllTasks!$K:$K, "&lt;&gt;PW1000G"
))</f>
        <v>144.77968253968305</v>
      </c>
      <c r="C38" s="17">
        <f>IF(C34=0, "", AVERAGEIFS(
  AllTasks!$AL:$AL,
  AllTasks!$Q:$Q, "&gt;=" &amp; C$1,
  AllTasks!$Q:$Q, "&lt;=" &amp; C$2,
  AllTasks!$K:$K, "&lt;&gt;PW800",
  AllTasks!$K:$K, "&lt;&gt;PW1000G"
))</f>
        <v>100.48092181899612</v>
      </c>
      <c r="D38" s="17">
        <f>IF(D34=0, "", AVERAGEIFS(
  AllTasks!$AL:$AL,
  AllTasks!$Q:$Q, "&gt;=" &amp; D$1,
  AllTasks!$Q:$Q, "&lt;=" &amp; D$2,
  AllTasks!$K:$K, "&lt;&gt;PW800",
  AllTasks!$K:$K, "&lt;&gt;PW1000G"
))</f>
        <v>123.25414147603399</v>
      </c>
      <c r="E38" s="17">
        <f>IF(E34=0, "", AVERAGEIFS(
  AllTasks!$AL:$AL,
  AllTasks!$Q:$Q, "&gt;=" &amp; E$1,
  AllTasks!$Q:$Q, "&lt;=" &amp; E$2,
  AllTasks!$K:$K, "&lt;&gt;PW800",
  AllTasks!$K:$K, "&lt;&gt;PW1000G"
))</f>
        <v>166.80599629629637</v>
      </c>
      <c r="F38" s="17">
        <f>IF(F34=0, "", AVERAGEIFS(
  AllTasks!$AL:$AL,
  AllTasks!$Q:$Q, "&gt;=" &amp; F$1,
  AllTasks!$Q:$Q, "&lt;=" &amp; F$2,
  AllTasks!$K:$K, "&lt;&gt;PW800",
  AllTasks!$K:$K, "&lt;&gt;PW1000G"
))</f>
        <v>91.330843253968595</v>
      </c>
      <c r="G38" s="17">
        <f>IF(G34=0, "", AVERAGEIFS(
  AllTasks!$AL:$AL,
  AllTasks!$Q:$Q, "&gt;=" &amp; G$1,
  AllTasks!$Q:$Q, "&lt;=" &amp; G$2,
  AllTasks!$K:$K, "&lt;&gt;PW800",
  AllTasks!$K:$K, "&lt;&gt;PW1000G"
))</f>
        <v>178.56424162257568</v>
      </c>
      <c r="H38" s="17">
        <f>IF(H34=0, "", AVERAGEIFS(
  AllTasks!$AL:$AL,
  AllTasks!$Q:$Q, "&gt;=" &amp; H$1,
  AllTasks!$Q:$Q, "&lt;=" &amp; H$2,
  AllTasks!$K:$K, "&lt;&gt;PW800",
  AllTasks!$K:$K, "&lt;&gt;PW1000G"
))</f>
        <v>131.8011053240742</v>
      </c>
      <c r="I38" s="17">
        <f>IF(I34=0, "", AVERAGEIFS(
  AllTasks!$AL:$AL,
  AllTasks!$Q:$Q, "&gt;=" &amp; I$1,
  AllTasks!$Q:$Q, "&lt;=" &amp; I$2,
  AllTasks!$K:$K, "&lt;&gt;PW800",
  AllTasks!$K:$K, "&lt;&gt;PW1000G"
))</f>
        <v>92.246998722861719</v>
      </c>
      <c r="J38" s="17">
        <f>IF(J34=0, "", AVERAGEIFS(
  AllTasks!$AL:$AL,
  AllTasks!$Q:$Q, "&gt;=" &amp; J$1,
  AllTasks!$Q:$Q, "&lt;=" &amp; J$2,
  AllTasks!$K:$K, "&lt;&gt;PW800",
  AllTasks!$K:$K, "&lt;&gt;PW1000G"
))</f>
        <v>109.6361880227001</v>
      </c>
      <c r="K38" s="17">
        <f>IF(K34=0, "", AVERAGEIFS(
  AllTasks!$AL:$AL,
  AllTasks!$Q:$Q, "&gt;=" &amp; K$1,
  AllTasks!$Q:$Q, "&lt;=" &amp; K$2,
  AllTasks!$K:$K, "&lt;&gt;PW800",
  AllTasks!$K:$K, "&lt;&gt;PW1000G"
))</f>
        <v>213.24695961934242</v>
      </c>
      <c r="L38" s="17">
        <f>IF(L34=0, "", AVERAGEIFS(
  AllTasks!$AL:$AL,
  AllTasks!$Q:$Q, "&gt;=" &amp; L$1,
  AllTasks!$Q:$Q, "&lt;=" &amp; L$2,
  AllTasks!$K:$K, "&lt;&gt;PW800",
  AllTasks!$K:$K, "&lt;&gt;PW1000G"
))</f>
        <v>106.206401548033</v>
      </c>
      <c r="M38" s="17">
        <f>IF(M34=0, "", AVERAGEIFS(
  AllTasks!$AL:$AL,
  AllTasks!$Q:$Q, "&gt;=" &amp; M$1,
  AllTasks!$Q:$Q, "&lt;=" &amp; M$2,
  AllTasks!$K:$K, "&lt;&gt;PW800",
  AllTasks!$K:$K, "&lt;&gt;PW1000G"
))</f>
        <v>81.55629829182601</v>
      </c>
      <c r="N38" s="17">
        <f>IF(N34=0, "", AVERAGEIFS(
  AllTasks!$AL:$AL,
  AllTasks!$Q:$Q, "&gt;=" &amp; N$1,
  AllTasks!$Q:$Q, "&lt;=" &amp; N$2,
  AllTasks!$K:$K, "&lt;&gt;PW800",
  AllTasks!$K:$K, "&lt;&gt;PW1000G"
))</f>
        <v>108.41834229390693</v>
      </c>
      <c r="O38" s="17">
        <f>IF(O34=0, "", AVERAGEIFS(
  AllTasks!$AL:$AL,
  AllTasks!$Q:$Q, "&gt;=" &amp; O$1,
  AllTasks!$Q:$Q, "&lt;=" &amp; O$2,
  AllTasks!$K:$K, "&lt;&gt;PW800",
  AllTasks!$K:$K, "&lt;&gt;PW1000G"
))</f>
        <v>136.21932393790783</v>
      </c>
      <c r="P38" s="17">
        <f>IF(P34=0, "", AVERAGEIFS(
  AllTasks!$AL:$AL,
  AllTasks!$Q:$Q, "&gt;=" &amp; P$1,
  AllTasks!$Q:$Q, "&lt;=" &amp; P$2,
  AllTasks!$K:$K, "&lt;&gt;PW800",
  AllTasks!$K:$K, "&lt;&gt;PW1000G"
))</f>
        <v>191.09465820312448</v>
      </c>
      <c r="Q38" s="17">
        <f>IF(Q34=0, "", AVERAGEIFS(
  AllTasks!$AL:$AL,
  AllTasks!$Q:$Q, "&gt;=" &amp; Q$1,
  AllTasks!$Q:$Q, "&lt;=" &amp; Q$2,
  AllTasks!$K:$K, "&lt;&gt;PW800",
  AllTasks!$K:$K, "&lt;&gt;PW1000G"
))</f>
        <v>122.0715834780101</v>
      </c>
      <c r="R38" s="17">
        <f>IF(R34=0, "", AVERAGEIFS(
  AllTasks!$AL:$AL,
  AllTasks!$Q:$Q, "&gt;=" &amp; R$1,
  AllTasks!$Q:$Q, "&lt;=" &amp; R$2,
  AllTasks!$K:$K, "&lt;&gt;PW800",
  AllTasks!$K:$K, "&lt;&gt;PW1000G"
))</f>
        <v>122.60496982473549</v>
      </c>
      <c r="S38" s="17">
        <f>IF(S34=0, "", AVERAGEIFS(
  AllTasks!$AL:$AL,
  AllTasks!$Q:$Q, "&gt;=" &amp; S$1,
  AllTasks!$Q:$Q, "&lt;=" &amp; S$2,
  AllTasks!$K:$K, "&lt;&gt;PW800",
  AllTasks!$K:$K, "&lt;&gt;PW1000G"
))</f>
        <v>96.610592780280996</v>
      </c>
      <c r="T38" s="17">
        <f>IF(T34=0, "", AVERAGEIFS(
  AllTasks!$AL:$AL,
  AllTasks!$Q:$Q, "&gt;=" &amp; T$1,
  AllTasks!$Q:$Q, "&lt;=" &amp; T$2,
  AllTasks!$K:$K, "&lt;&gt;PW800",
  AllTasks!$K:$K, "&lt;&gt;PW1000G"
))</f>
        <v>104.37554717432971</v>
      </c>
      <c r="U38" s="17">
        <f>IF(U34=0, "", AVERAGEIFS(
  AllTasks!$AL:$AL,
  AllTasks!$Q:$Q, "&gt;=" &amp; U$1,
  AllTasks!$Q:$Q, "&lt;=" &amp; U$2,
  AllTasks!$K:$K, "&lt;&gt;PW800",
  AllTasks!$K:$K, "&lt;&gt;PW1000G"
))</f>
        <v>32.50472800926218</v>
      </c>
      <c r="V38" s="17" t="str">
        <f>IF(V34=0, "", AVERAGEIFS(
  AllTasks!$AL:$AL,
  AllTasks!$Q:$Q, "&gt;=" &amp; V$1,
  AllTasks!$Q:$Q, "&lt;=" &amp; V$2,
  AllTasks!$K:$K, "&lt;&gt;PW800",
  AllTasks!$K:$K, "&lt;&gt;PW1000G"
))</f>
        <v/>
      </c>
      <c r="W38" s="17" t="str">
        <f>IF(W34=0, "", AVERAGEIFS(
  AllTasks!$AL:$AL,
  AllTasks!$Q:$Q, "&gt;=" &amp; W$1,
  AllTasks!$Q:$Q, "&lt;=" &amp; W$2,
  AllTasks!$K:$K, "&lt;&gt;PW800",
  AllTasks!$K:$K, "&lt;&gt;PW1000G"
))</f>
        <v/>
      </c>
      <c r="X38" s="17" t="str">
        <f>IF(X34=0, "", AVERAGEIFS(
  AllTasks!$AL:$AL,
  AllTasks!$Q:$Q, "&gt;=" &amp; X$1,
  AllTasks!$Q:$Q, "&lt;=" &amp; X$2,
  AllTasks!$K:$K, "&lt;&gt;PW800",
  AllTasks!$K:$K, "&lt;&gt;PW1000G"
))</f>
        <v/>
      </c>
      <c r="Y38" s="17" t="str">
        <f>IF(Y34=0, "", AVERAGEIFS(
  AllTasks!$AL:$AL,
  AllTasks!$Q:$Q, "&gt;=" &amp; Y$1,
  AllTasks!$Q:$Q, "&lt;=" &amp; Y$2,
  AllTasks!$K:$K, "&lt;&gt;PW800",
  AllTasks!$K:$K, "&lt;&gt;PW1000G"
))</f>
        <v/>
      </c>
    </row>
    <row r="41" spans="1:25" x14ac:dyDescent="0.35">
      <c r="B41" s="218" t="s">
        <v>2023</v>
      </c>
      <c r="C41" s="219"/>
      <c r="D41" s="219"/>
      <c r="E41" s="219"/>
      <c r="F41" s="219"/>
      <c r="G41" s="219"/>
      <c r="H41" s="219"/>
      <c r="I41" s="219"/>
      <c r="J41" s="219"/>
      <c r="K41" s="219"/>
      <c r="L41" s="219"/>
      <c r="M41" s="220"/>
    </row>
    <row r="42" spans="1:25" x14ac:dyDescent="0.35">
      <c r="A42" s="15" t="s">
        <v>2013</v>
      </c>
      <c r="B42" s="21">
        <v>45292</v>
      </c>
      <c r="C42" s="21">
        <v>45323</v>
      </c>
      <c r="D42" s="21">
        <v>45352</v>
      </c>
      <c r="E42" s="21">
        <v>45383</v>
      </c>
      <c r="F42" s="21">
        <v>45413</v>
      </c>
      <c r="G42" s="21">
        <v>45444</v>
      </c>
      <c r="H42" s="21">
        <v>45474</v>
      </c>
      <c r="I42" s="21">
        <v>45505</v>
      </c>
      <c r="J42" s="21">
        <v>45536</v>
      </c>
      <c r="K42" s="21">
        <v>45566</v>
      </c>
      <c r="L42" s="21">
        <v>45597</v>
      </c>
      <c r="M42" s="21">
        <v>45627</v>
      </c>
      <c r="N42" s="22">
        <v>45658</v>
      </c>
      <c r="O42" s="22">
        <v>45689</v>
      </c>
      <c r="P42" s="22">
        <v>45717</v>
      </c>
      <c r="Q42" s="22">
        <v>45748</v>
      </c>
      <c r="R42" s="22">
        <v>45778</v>
      </c>
      <c r="S42" s="22">
        <v>45809</v>
      </c>
      <c r="T42" s="22">
        <v>45839</v>
      </c>
      <c r="U42" s="22">
        <v>45870</v>
      </c>
      <c r="V42" s="22">
        <v>45901</v>
      </c>
      <c r="W42" s="22">
        <v>45931</v>
      </c>
      <c r="X42" s="22">
        <v>45962</v>
      </c>
      <c r="Y42" s="22">
        <v>45992</v>
      </c>
    </row>
    <row r="43" spans="1:25" x14ac:dyDescent="0.35">
      <c r="A43" s="16" t="s">
        <v>2014</v>
      </c>
      <c r="B43">
        <f>COUNTIFS(
  AllTasks!$Q:$Q, "&gt;=" &amp; B$1,
  AllTasks!$Q:$Q, "&lt;=" &amp; B$2
)</f>
        <v>41</v>
      </c>
      <c r="C43">
        <f>COUNTIFS(
  AllTasks!$Q:$Q, "&gt;=" &amp; C$1,
  AllTasks!$Q:$Q, "&lt;=" &amp; C$2
)</f>
        <v>46</v>
      </c>
      <c r="D43">
        <f>COUNTIFS(
  AllTasks!$Q:$Q, "&gt;=" &amp; D$1,
  AllTasks!$Q:$Q, "&lt;=" &amp; D$2
)</f>
        <v>37</v>
      </c>
      <c r="E43">
        <f>COUNTIFS(
  AllTasks!$Q:$Q, "&gt;=" &amp; E$1,
  AllTasks!$Q:$Q, "&lt;=" &amp; E$2
)</f>
        <v>46</v>
      </c>
      <c r="F43">
        <f>COUNTIFS(
  AllTasks!$Q:$Q, "&gt;=" &amp; F$1,
  AllTasks!$Q:$Q, "&lt;=" &amp; F$2
)</f>
        <v>51</v>
      </c>
      <c r="G43">
        <f>COUNTIFS(
  AllTasks!$Q:$Q, "&gt;=" &amp; G$1,
  AllTasks!$Q:$Q, "&lt;=" &amp; G$2
)</f>
        <v>43</v>
      </c>
      <c r="H43">
        <f>COUNTIFS(
  AllTasks!$Q:$Q, "&gt;=" &amp; H$1,
  AllTasks!$Q:$Q, "&lt;=" &amp; H$2
)</f>
        <v>41</v>
      </c>
      <c r="I43">
        <f>COUNTIFS(
  AllTasks!$Q:$Q, "&gt;=" &amp; I$1,
  AllTasks!$Q:$Q, "&lt;=" &amp; I$2
)</f>
        <v>45</v>
      </c>
      <c r="J43">
        <f>COUNTIFS(
  AllTasks!$Q:$Q, "&gt;=" &amp; J$1,
  AllTasks!$Q:$Q, "&lt;=" &amp; J$2
)</f>
        <v>37</v>
      </c>
      <c r="K43">
        <f>COUNTIFS(
  AllTasks!$Q:$Q, "&gt;=" &amp; K$1,
  AllTasks!$Q:$Q, "&lt;=" &amp; K$2
)</f>
        <v>54</v>
      </c>
      <c r="L43">
        <f>COUNTIFS(
  AllTasks!$Q:$Q, "&gt;=" &amp; L$1,
  AllTasks!$Q:$Q, "&lt;=" &amp; L$2
)</f>
        <v>54</v>
      </c>
      <c r="M43">
        <f>COUNTIFS(
  AllTasks!$Q:$Q, "&gt;=" &amp; M$1,
  AllTasks!$Q:$Q, "&lt;=" &amp; M$2
)</f>
        <v>40</v>
      </c>
      <c r="N43">
        <f>COUNTIFS(
  AllTasks!$Q:$Q, "&gt;=" &amp; N$1,
  AllTasks!$Q:$Q, "&lt;=" &amp; N$2
)</f>
        <v>54</v>
      </c>
      <c r="O43">
        <f>COUNTIFS(
  AllTasks!$Q:$Q, "&gt;=" &amp; O$1,
  AllTasks!$Q:$Q, "&lt;=" &amp; O$2
)</f>
        <v>60</v>
      </c>
      <c r="P43">
        <f>COUNTIFS(
  AllTasks!$Q:$Q, "&gt;=" &amp; P$1,
  AllTasks!$Q:$Q, "&lt;=" &amp; P$2
)</f>
        <v>44</v>
      </c>
      <c r="Q43">
        <f>COUNTIFS(
  AllTasks!$Q:$Q, "&gt;=" &amp; Q$1,
  AllTasks!$Q:$Q, "&lt;=" &amp; Q$2
)</f>
        <v>51</v>
      </c>
      <c r="R43">
        <f>COUNTIFS(
  AllTasks!$Q:$Q, "&gt;=" &amp; R$1,
  AllTasks!$Q:$Q, "&lt;=" &amp; R$2
)</f>
        <v>44</v>
      </c>
      <c r="S43">
        <f>COUNTIFS(
  AllTasks!$Q:$Q, "&gt;=" &amp; S$1,
  AllTasks!$Q:$Q, "&lt;=" &amp; S$2
)</f>
        <v>52</v>
      </c>
      <c r="T43">
        <f>COUNTIFS(
  AllTasks!$Q:$Q, "&gt;=" &amp; T$1,
  AllTasks!$Q:$Q, "&lt;=" &amp; T$2
)</f>
        <v>44</v>
      </c>
      <c r="U43">
        <f>COUNTIFS(
  AllTasks!$Q:$Q, "&gt;=" &amp; U$1,
  AllTasks!$Q:$Q, "&lt;=" &amp; U$2
)</f>
        <v>3</v>
      </c>
      <c r="V43">
        <f>COUNTIFS(
  AllTasks!$Q:$Q, "&gt;=" &amp; V$1,
  AllTasks!$Q:$Q, "&lt;=" &amp; V$2
)</f>
        <v>0</v>
      </c>
      <c r="W43">
        <f>COUNTIFS(
  AllTasks!$Q:$Q, "&gt;=" &amp; W$1,
  AllTasks!$Q:$Q, "&lt;=" &amp; W$2
)</f>
        <v>0</v>
      </c>
      <c r="X43">
        <f>COUNTIFS(
  AllTasks!$Q:$Q, "&gt;=" &amp; X$1,
  AllTasks!$Q:$Q, "&lt;=" &amp; X$2
)</f>
        <v>0</v>
      </c>
      <c r="Y43">
        <f>COUNTIFS(
  AllTasks!$Q:$Q, "&gt;=" &amp; Y$1,
  AllTasks!$Q:$Q, "&lt;=" &amp; Y$2
)</f>
        <v>0</v>
      </c>
    </row>
    <row r="44" spans="1:25" x14ac:dyDescent="0.35">
      <c r="A44" s="16" t="s">
        <v>1961</v>
      </c>
      <c r="B44">
        <f>SUMIFS(
  AllTasks!$AB:$AB,
  AllTasks!$Q:$Q, "&gt;=" &amp; B$1,
  AllTasks!$Q:$Q, "&lt;=" &amp; B$2
)</f>
        <v>3749.4537152777339</v>
      </c>
      <c r="C44">
        <f>SUMIFS(
  AllTasks!$AB:$AB,
  AllTasks!$Q:$Q, "&gt;=" &amp; C$1,
  AllTasks!$Q:$Q, "&lt;=" &amp; C$2
)</f>
        <v>4547.8986805555469</v>
      </c>
      <c r="D44">
        <f>SUMIFS(
  AllTasks!$AB:$AB,
  AllTasks!$Q:$Q, "&gt;=" &amp; D$1,
  AllTasks!$Q:$Q, "&lt;=" &amp; D$2
)</f>
        <v>3777.7816550925345</v>
      </c>
      <c r="E44">
        <f>SUMIFS(
  AllTasks!$AB:$AB,
  AllTasks!$Q:$Q, "&gt;=" &amp; E$1,
  AllTasks!$Q:$Q, "&lt;=" &amp; E$2
)</f>
        <v>6659.8529976852296</v>
      </c>
      <c r="F44">
        <f>SUMIFS(
  AllTasks!$AB:$AB,
  AllTasks!$Q:$Q, "&gt;=" &amp; F$1,
  AllTasks!$Q:$Q, "&lt;=" &amp; F$2
)</f>
        <v>3952.5750347222493</v>
      </c>
      <c r="G44">
        <f>SUMIFS(
  AllTasks!$AB:$AB,
  AllTasks!$Q:$Q, "&gt;=" &amp; G$1,
  AllTasks!$Q:$Q, "&lt;=" &amp; G$2
)</f>
        <v>6914.1593518518785</v>
      </c>
      <c r="H44">
        <f>SUMIFS(
  AllTasks!$AB:$AB,
  AllTasks!$Q:$Q, "&gt;=" &amp; H$1,
  AllTasks!$Q:$Q, "&lt;=" &amp; H$2
)</f>
        <v>4156.6335879629696</v>
      </c>
      <c r="I44">
        <f>SUMIFS(
  AllTasks!$AB:$AB,
  AllTasks!$Q:$Q, "&gt;=" &amp; I$1,
  AllTasks!$Q:$Q, "&lt;=" &amp; I$2
)</f>
        <v>3800.8790625000402</v>
      </c>
      <c r="J44">
        <f>SUMIFS(
  AllTasks!$AB:$AB,
  AllTasks!$Q:$Q, "&gt;=" &amp; J$1,
  AllTasks!$Q:$Q, "&lt;=" &amp; J$2
)</f>
        <v>3116.1992361111334</v>
      </c>
      <c r="K44">
        <f>SUMIFS(
  AllTasks!$AB:$AB,
  AllTasks!$Q:$Q, "&gt;=" &amp; K$1,
  AllTasks!$Q:$Q, "&lt;=" &amp; K$2
)</f>
        <v>8737.7929166667309</v>
      </c>
      <c r="L44">
        <f>SUMIFS(
  AllTasks!$AB:$AB,
  AllTasks!$Q:$Q, "&gt;=" &amp; L$1,
  AllTasks!$Q:$Q, "&lt;=" &amp; L$2
)</f>
        <v>6165.1329629629618</v>
      </c>
      <c r="M44">
        <f>SUMIFS(
  AllTasks!$AB:$AB,
  AllTasks!$Q:$Q, "&gt;=" &amp; M$1,
  AllTasks!$Q:$Q, "&lt;=" &amp; M$2
)</f>
        <v>3416.8278472221646</v>
      </c>
      <c r="N44">
        <f>SUMIFS(
  AllTasks!$AB:$AB,
  AllTasks!$Q:$Q, "&gt;=" &amp; N$1,
  AllTasks!$Q:$Q, "&lt;=" &amp; N$2
)</f>
        <v>6132.1153587962544</v>
      </c>
      <c r="O44">
        <f>SUMIFS(
  AllTasks!$AB:$AB,
  AllTasks!$Q:$Q, "&gt;=" &amp; O$1,
  AllTasks!$Q:$Q, "&lt;=" &amp; O$2
)</f>
        <v>6379.241030092533</v>
      </c>
      <c r="P44">
        <f>SUMIFS(
  AllTasks!$AB:$AB,
  AllTasks!$Q:$Q, "&gt;=" &amp; P$1,
  AllTasks!$Q:$Q, "&lt;=" &amp; P$2
)</f>
        <v>6066.7724189814617</v>
      </c>
      <c r="Q44">
        <f>SUMIFS(
  AllTasks!$AB:$AB,
  AllTasks!$Q:$Q, "&gt;=" &amp; Q$1,
  AllTasks!$Q:$Q, "&lt;=" &amp; Q$2
)</f>
        <v>4678.1732638889516</v>
      </c>
      <c r="R44">
        <f>SUMIFS(
  AllTasks!$AB:$AB,
  AllTasks!$Q:$Q, "&gt;=" &amp; R$1,
  AllTasks!$Q:$Q, "&lt;=" &amp; R$2
)</f>
        <v>4561.1916087963109</v>
      </c>
      <c r="S44">
        <f>SUMIFS(
  AllTasks!$AB:$AB,
  AllTasks!$Q:$Q, "&gt;=" &amp; S$1,
  AllTasks!$Q:$Q, "&lt;=" &amp; S$2
)</f>
        <v>5718.165555555599</v>
      </c>
      <c r="T44">
        <f>SUMIFS(
  AllTasks!$AB:$AB,
  AllTasks!$Q:$Q, "&gt;=" &amp; T$1,
  AllTasks!$Q:$Q, "&lt;=" &amp; T$2
)</f>
        <v>4853.0283680555731</v>
      </c>
      <c r="U44">
        <f>SUMIFS(
  AllTasks!$AB:$AB,
  AllTasks!$Q:$Q, "&gt;=" &amp; U$1,
  AllTasks!$Q:$Q, "&lt;=" &amp; U$2
)</f>
        <v>159.21634259259736</v>
      </c>
      <c r="V44">
        <f>SUMIFS(
  AllTasks!$AB:$AB,
  AllTasks!$Q:$Q, "&gt;=" &amp; V$1,
  AllTasks!$Q:$Q, "&lt;=" &amp; V$2
)</f>
        <v>0</v>
      </c>
      <c r="W44">
        <f>SUMIFS(
  AllTasks!$AB:$AB,
  AllTasks!$Q:$Q, "&gt;=" &amp; W$1,
  AllTasks!$Q:$Q, "&lt;=" &amp; W$2
)</f>
        <v>0</v>
      </c>
      <c r="X44">
        <f>SUMIFS(
  AllTasks!$AB:$AB,
  AllTasks!$Q:$Q, "&gt;=" &amp; X$1,
  AllTasks!$Q:$Q, "&lt;=" &amp; X$2
)</f>
        <v>0</v>
      </c>
      <c r="Y44">
        <f>SUMIFS(
  AllTasks!$AB:$AB,
  AllTasks!$Q:$Q, "&gt;=" &amp; Y$1,
  AllTasks!$Q:$Q, "&lt;=" &amp; Y$2
)</f>
        <v>0</v>
      </c>
    </row>
    <row r="45" spans="1:25" x14ac:dyDescent="0.35">
      <c r="A45" s="16" t="s">
        <v>2015</v>
      </c>
      <c r="B45" s="17">
        <f>IF(B43=0, "", B44 / B43)</f>
        <v>91.45009061653009</v>
      </c>
      <c r="C45" s="17">
        <f t="shared" ref="C45:Y45" si="5">IF(C43=0, "", C44 / C43)</f>
        <v>98.867362620772752</v>
      </c>
      <c r="D45" s="17">
        <f t="shared" si="5"/>
        <v>102.10220689439282</v>
      </c>
      <c r="E45" s="17">
        <f t="shared" si="5"/>
        <v>144.77941299315717</v>
      </c>
      <c r="F45" s="17">
        <f t="shared" si="5"/>
        <v>77.501471269063714</v>
      </c>
      <c r="G45" s="17">
        <f t="shared" si="5"/>
        <v>160.79440353143903</v>
      </c>
      <c r="H45" s="17">
        <f t="shared" si="5"/>
        <v>101.38130702348707</v>
      </c>
      <c r="I45" s="17">
        <f t="shared" si="5"/>
        <v>84.463979166667556</v>
      </c>
      <c r="J45" s="17">
        <f t="shared" si="5"/>
        <v>84.221600975976571</v>
      </c>
      <c r="K45" s="17">
        <f t="shared" si="5"/>
        <v>161.81097993827279</v>
      </c>
      <c r="L45" s="17">
        <f t="shared" si="5"/>
        <v>114.16912894375855</v>
      </c>
      <c r="M45" s="17">
        <f t="shared" si="5"/>
        <v>85.420696180554117</v>
      </c>
      <c r="N45" s="17">
        <f t="shared" si="5"/>
        <v>113.55769182956027</v>
      </c>
      <c r="O45" s="17">
        <f t="shared" si="5"/>
        <v>106.32068383487555</v>
      </c>
      <c r="P45" s="17">
        <f t="shared" si="5"/>
        <v>137.88119134048776</v>
      </c>
      <c r="Q45" s="17">
        <f t="shared" si="5"/>
        <v>91.728887527234349</v>
      </c>
      <c r="R45" s="17">
        <f t="shared" si="5"/>
        <v>103.66344565446161</v>
      </c>
      <c r="S45" s="17">
        <f t="shared" si="5"/>
        <v>109.96472222222306</v>
      </c>
      <c r="T45" s="17">
        <f t="shared" si="5"/>
        <v>110.29609927399029</v>
      </c>
      <c r="U45" s="17">
        <f t="shared" si="5"/>
        <v>53.07211419753245</v>
      </c>
      <c r="V45" s="17" t="str">
        <f t="shared" si="5"/>
        <v/>
      </c>
      <c r="W45" s="17" t="str">
        <f t="shared" si="5"/>
        <v/>
      </c>
      <c r="X45" s="17" t="str">
        <f t="shared" si="5"/>
        <v/>
      </c>
      <c r="Y45" s="17" t="str">
        <f t="shared" si="5"/>
        <v/>
      </c>
    </row>
    <row r="46" spans="1:25" x14ac:dyDescent="0.35">
      <c r="A46" s="16" t="s">
        <v>2016</v>
      </c>
      <c r="B46" s="17">
        <f>IF(B43=0, "", AVERAGEIFS(
  AllTasks!$AK:$AK,
  AllTasks!$Q:$Q, "&gt;=" &amp; B$1,
  AllTasks!$Q:$Q, "&lt;=" &amp; B$2
))</f>
        <v>6.2935531752485012</v>
      </c>
      <c r="C46" s="17">
        <f>IF(C43=0, "", AVERAGEIFS(
  AllTasks!$AK:$AK,
  AllTasks!$Q:$Q, "&gt;=" &amp; C$1,
  AllTasks!$Q:$Q, "&lt;=" &amp; C$2
))</f>
        <v>1.7392628592995449</v>
      </c>
      <c r="D46" s="17">
        <f>IF(D43=0, "", AVERAGEIFS(
  AllTasks!$AK:$AK,
  AllTasks!$Q:$Q, "&gt;=" &amp; D$1,
  AllTasks!$Q:$Q, "&lt;=" &amp; D$2
))</f>
        <v>6.4191638360236931</v>
      </c>
      <c r="E46" s="17">
        <f>IF(E43=0, "", AVERAGEIFS(
  AllTasks!$AK:$AK,
  AllTasks!$Q:$Q, "&gt;=" &amp; E$1,
  AllTasks!$Q:$Q, "&lt;=" &amp; E$2
))</f>
        <v>7.3740281594709023</v>
      </c>
      <c r="F46" s="17">
        <f>IF(F43=0, "", AVERAGEIFS(
  AllTasks!$AK:$AK,
  AllTasks!$Q:$Q, "&gt;=" &amp; F$1,
  AllTasks!$Q:$Q, "&lt;=" &amp; F$2
))</f>
        <v>2.9977782427833484</v>
      </c>
      <c r="G46" s="17">
        <f>IF(G43=0, "", AVERAGEIFS(
  AllTasks!$AK:$AK,
  AllTasks!$Q:$Q, "&gt;=" &amp; G$1,
  AllTasks!$Q:$Q, "&lt;=" &amp; G$2
))</f>
        <v>9.7131124475130246</v>
      </c>
      <c r="H46" s="17">
        <f>IF(H43=0, "", AVERAGEIFS(
  AllTasks!$AK:$AK,
  AllTasks!$Q:$Q, "&gt;=" &amp; H$1,
  AllTasks!$Q:$Q, "&lt;=" &amp; H$2
))</f>
        <v>6.5829788722334257</v>
      </c>
      <c r="I46" s="17">
        <f>IF(I43=0, "", AVERAGEIFS(
  AllTasks!$AK:$AK,
  AllTasks!$Q:$Q, "&gt;=" &amp; I$1,
  AllTasks!$Q:$Q, "&lt;=" &amp; I$2
))</f>
        <v>10.871071442129324</v>
      </c>
      <c r="J46" s="17">
        <f>IF(J43=0, "", AVERAGEIFS(
  AllTasks!$AK:$AK,
  AllTasks!$Q:$Q, "&gt;=" &amp; J$1,
  AllTasks!$Q:$Q, "&lt;=" &amp; J$2
))</f>
        <v>11.945211238426005</v>
      </c>
      <c r="K46" s="17">
        <f>IF(K43=0, "", AVERAGEIFS(
  AllTasks!$AK:$AK,
  AllTasks!$Q:$Q, "&gt;=" &amp; K$1,
  AllTasks!$Q:$Q, "&lt;=" &amp; K$2
))</f>
        <v>12.647598536951355</v>
      </c>
      <c r="L46" s="17">
        <f>IF(L43=0, "", AVERAGEIFS(
  AllTasks!$AK:$AK,
  AllTasks!$Q:$Q, "&gt;=" &amp; L$1,
  AllTasks!$Q:$Q, "&lt;=" &amp; L$2
))</f>
        <v>11.802930252486274</v>
      </c>
      <c r="M46" s="17">
        <f>IF(M43=0, "", AVERAGEIFS(
  AllTasks!$AK:$AK,
  AllTasks!$Q:$Q, "&gt;=" &amp; M$1,
  AllTasks!$Q:$Q, "&lt;=" &amp; M$2
))</f>
        <v>25.669710163194395</v>
      </c>
      <c r="N46" s="17">
        <f>IF(N43=0, "", AVERAGEIFS(
  AllTasks!$AK:$AK,
  AllTasks!$Q:$Q, "&gt;=" &amp; N$1,
  AllTasks!$Q:$Q, "&lt;=" &amp; N$2
))</f>
        <v>23.191783860811146</v>
      </c>
      <c r="O46" s="17">
        <f>IF(O43=0, "", AVERAGEIFS(
  AllTasks!$AK:$AK,
  AllTasks!$Q:$Q, "&gt;=" &amp; O$1,
  AllTasks!$Q:$Q, "&lt;=" &amp; O$2
))</f>
        <v>20.928832739583836</v>
      </c>
      <c r="P46" s="17">
        <f>IF(P43=0, "", AVERAGEIFS(
  AllTasks!$AK:$AK,
  AllTasks!$Q:$Q, "&gt;=" &amp; P$1,
  AllTasks!$Q:$Q, "&lt;=" &amp; P$2
))</f>
        <v>27.113315623421922</v>
      </c>
      <c r="Q46" s="17">
        <f>IF(Q43=0, "", AVERAGEIFS(
  AllTasks!$AK:$AK,
  AllTasks!$Q:$Q, "&gt;=" &amp; Q$1,
  AllTasks!$Q:$Q, "&lt;=" &amp; Q$2
))</f>
        <v>12.169027291666447</v>
      </c>
      <c r="R46" s="17">
        <f>IF(R43=0, "", AVERAGEIFS(
  AllTasks!$AK:$AK,
  AllTasks!$Q:$Q, "&gt;=" &amp; R$1,
  AllTasks!$Q:$Q, "&lt;=" &amp; R$2
))</f>
        <v>12.142603001630876</v>
      </c>
      <c r="S46" s="17">
        <f>IF(S43=0, "", AVERAGEIFS(
  AllTasks!$AK:$AK,
  AllTasks!$Q:$Q, "&gt;=" &amp; S$1,
  AllTasks!$Q:$Q, "&lt;=" &amp; S$2
))</f>
        <v>11.616659899171841</v>
      </c>
      <c r="T46" s="17">
        <f>IF(T43=0, "", AVERAGEIFS(
  AllTasks!$AK:$AK,
  AllTasks!$Q:$Q, "&gt;=" &amp; T$1,
  AllTasks!$Q:$Q, "&lt;=" &amp; T$2
))</f>
        <v>20.625766887626511</v>
      </c>
      <c r="U46" s="17">
        <f>IF(U43=0, "", AVERAGEIFS(
  AllTasks!$AK:$AK,
  AllTasks!$Q:$Q, "&gt;=" &amp; U$1,
  AllTasks!$Q:$Q, "&lt;=" &amp; U$2
))</f>
        <v>1.3333333333333333</v>
      </c>
      <c r="V46" s="17" t="str">
        <f>IF(V43=0, "", AVERAGEIFS(
  AllTasks!$AK:$AK,
  AllTasks!$Q:$Q, "&gt;=" &amp; V$1,
  AllTasks!$Q:$Q, "&lt;=" &amp; V$2
))</f>
        <v/>
      </c>
      <c r="W46" s="17" t="str">
        <f>IF(W43=0, "", AVERAGEIFS(
  AllTasks!$AK:$AK,
  AllTasks!$Q:$Q, "&gt;=" &amp; W$1,
  AllTasks!$Q:$Q, "&lt;=" &amp; W$2
))</f>
        <v/>
      </c>
      <c r="X46" s="17" t="str">
        <f>IF(X43=0, "", AVERAGEIFS(
  AllTasks!$AK:$AK,
  AllTasks!$Q:$Q, "&gt;=" &amp; X$1,
  AllTasks!$Q:$Q, "&lt;=" &amp; X$2
))</f>
        <v/>
      </c>
      <c r="Y46" s="17" t="str">
        <f>IF(Y43=0, "", AVERAGEIFS(
  AllTasks!$AK:$AK,
  AllTasks!$Q:$Q, "&gt;=" &amp; Y$1,
  AllTasks!$Q:$Q, "&lt;=" &amp; Y$2
))</f>
        <v/>
      </c>
    </row>
    <row r="47" spans="1:25" x14ac:dyDescent="0.35">
      <c r="A47" s="16" t="s">
        <v>2017</v>
      </c>
      <c r="B47" s="17">
        <f>IFERROR(AVERAGEIFS(
  AllTasks!$AM:$AM,
  AllTasks!$Q:$Q, "&gt;=" &amp; B$1,
  AllTasks!$Q:$Q, "&lt;=" &amp; B$2
), "")</f>
        <v>85.1565374412816</v>
      </c>
      <c r="C47" s="17">
        <f>IFERROR(AVERAGEIFS(
  AllTasks!$AM:$AM,
  AllTasks!$Q:$Q, "&gt;=" &amp; C$1,
  AllTasks!$Q:$Q, "&lt;=" &amp; C$2
), "")</f>
        <v>97.128099761473209</v>
      </c>
      <c r="D47" s="17">
        <f>IFERROR(AVERAGEIFS(
  AllTasks!$AM:$AM,
  AllTasks!$Q:$Q, "&gt;=" &amp; D$1,
  AllTasks!$Q:$Q, "&lt;=" &amp; D$2
), "")</f>
        <v>95.683043058369137</v>
      </c>
      <c r="E47" s="17">
        <f>IFERROR(AVERAGEIFS(
  AllTasks!$AM:$AM,
  AllTasks!$Q:$Q, "&gt;=" &amp; E$1,
  AllTasks!$Q:$Q, "&lt;=" &amp; E$2
), "")</f>
        <v>137.40538483368627</v>
      </c>
      <c r="F47" s="17">
        <f>IFERROR(AVERAGEIFS(
  AllTasks!$AM:$AM,
  AllTasks!$Q:$Q, "&gt;=" &amp; F$1,
  AllTasks!$Q:$Q, "&lt;=" &amp; F$2
), "")</f>
        <v>74.503693026280359</v>
      </c>
      <c r="G47" s="17">
        <f>IFERROR(AVERAGEIFS(
  AllTasks!$AM:$AM,
  AllTasks!$Q:$Q, "&gt;=" &amp; G$1,
  AllTasks!$Q:$Q, "&lt;=" &amp; G$2
), "")</f>
        <v>151.081291083926</v>
      </c>
      <c r="H47" s="17">
        <f>IFERROR(AVERAGEIFS(
  AllTasks!$AM:$AM,
  AllTasks!$Q:$Q, "&gt;=" &amp; H$1,
  AllTasks!$Q:$Q, "&lt;=" &amp; H$2
), "")</f>
        <v>94.798328151253642</v>
      </c>
      <c r="I47" s="17">
        <f>IFERROR(AVERAGEIFS(
  AllTasks!$AM:$AM,
  AllTasks!$Q:$Q, "&gt;=" &amp; I$1,
  AllTasks!$Q:$Q, "&lt;=" &amp; I$2
), "")</f>
        <v>73.592907724538236</v>
      </c>
      <c r="J47" s="17">
        <f>IFERROR(AVERAGEIFS(
  AllTasks!$AM:$AM,
  AllTasks!$Q:$Q, "&gt;=" &amp; J$1,
  AllTasks!$Q:$Q, "&lt;=" &amp; J$2
), "")</f>
        <v>72.276389737550573</v>
      </c>
      <c r="K47" s="17">
        <f>IFERROR(AVERAGEIFS(
  AllTasks!$AM:$AM,
  AllTasks!$Q:$Q, "&gt;=" &amp; K$1,
  AllTasks!$Q:$Q, "&lt;=" &amp; K$2
), "")</f>
        <v>149.16338140132143</v>
      </c>
      <c r="L47" s="17">
        <f>IFERROR(AVERAGEIFS(
  AllTasks!$AM:$AM,
  AllTasks!$Q:$Q, "&gt;=" &amp; L$1,
  AllTasks!$Q:$Q, "&lt;=" &amp; L$2
), "")</f>
        <v>102.36619869127227</v>
      </c>
      <c r="M47" s="17">
        <f>IFERROR(AVERAGEIFS(
  AllTasks!$AM:$AM,
  AllTasks!$Q:$Q, "&gt;=" &amp; M$1,
  AllTasks!$Q:$Q, "&lt;=" &amp; M$2
), "")</f>
        <v>59.750986017359722</v>
      </c>
      <c r="N47" s="17">
        <f>IFERROR(AVERAGEIFS(
  AllTasks!$AM:$AM,
  AllTasks!$Q:$Q, "&gt;=" &amp; N$1,
  AllTasks!$Q:$Q, "&lt;=" &amp; N$2
), "")</f>
        <v>90.365907968749127</v>
      </c>
      <c r="O47" s="17">
        <f>IFERROR(AVERAGEIFS(
  AllTasks!$AM:$AM,
  AllTasks!$Q:$Q, "&gt;=" &amp; O$1,
  AllTasks!$Q:$Q, "&lt;=" &amp; O$2
), "")</f>
        <v>85.391851095291713</v>
      </c>
      <c r="P47" s="17">
        <f>IFERROR(AVERAGEIFS(
  AllTasks!$AM:$AM,
  AllTasks!$Q:$Q, "&gt;=" &amp; P$1,
  AllTasks!$Q:$Q, "&lt;=" &amp; P$2
), "")</f>
        <v>110.76787571706585</v>
      </c>
      <c r="Q47" s="17">
        <f>IFERROR(AVERAGEIFS(
  AllTasks!$AM:$AM,
  AllTasks!$Q:$Q, "&gt;=" &amp; Q$1,
  AllTasks!$Q:$Q, "&lt;=" &amp; Q$2
), "")</f>
        <v>79.559860235567896</v>
      </c>
      <c r="R47" s="17">
        <f>IFERROR(AVERAGEIFS(
  AllTasks!$AM:$AM,
  AllTasks!$Q:$Q, "&gt;=" &amp; R$1,
  AllTasks!$Q:$Q, "&lt;=" &amp; R$2
), "")</f>
        <v>91.520842652830737</v>
      </c>
      <c r="S47" s="17">
        <f>IFERROR(AVERAGEIFS(
  AllTasks!$AM:$AM,
  AllTasks!$Q:$Q, "&gt;=" &amp; S$1,
  AllTasks!$Q:$Q, "&lt;=" &amp; S$2
), "")</f>
        <v>98.348062323051209</v>
      </c>
      <c r="T47" s="17">
        <f>IFERROR(AVERAGEIFS(
  AllTasks!$AM:$AM,
  AllTasks!$Q:$Q, "&gt;=" &amp; T$1,
  AllTasks!$Q:$Q, "&lt;=" &amp; T$2
), "")</f>
        <v>89.670332386363782</v>
      </c>
      <c r="U47" s="17">
        <f>IFERROR(AVERAGEIFS(
  AllTasks!$AM:$AM,
  AllTasks!$Q:$Q, "&gt;=" &amp; U$1,
  AllTasks!$Q:$Q, "&lt;=" &amp; U$2
), "")</f>
        <v>51.738780864199121</v>
      </c>
      <c r="V47" s="17" t="str">
        <f>IFERROR(AVERAGEIFS(
  AllTasks!$AM:$AM,
  AllTasks!$Q:$Q, "&gt;=" &amp; V$1,
  AllTasks!$Q:$Q, "&lt;=" &amp; V$2
), "")</f>
        <v/>
      </c>
      <c r="W47" s="17" t="str">
        <f>IFERROR(AVERAGEIFS(
  AllTasks!$AM:$AM,
  AllTasks!$Q:$Q, "&gt;=" &amp; W$1,
  AllTasks!$Q:$Q, "&lt;=" &amp; W$2
), "")</f>
        <v/>
      </c>
      <c r="X47" s="17" t="str">
        <f>IFERROR(AVERAGEIFS(
  AllTasks!$AM:$AM,
  AllTasks!$Q:$Q, "&gt;=" &amp; X$1,
  AllTasks!$Q:$Q, "&lt;=" &amp; X$2
), "")</f>
        <v/>
      </c>
      <c r="Y47" s="17" t="str">
        <f>IFERROR(AVERAGEIFS(
  AllTasks!$AM:$AM,
  AllTasks!$Q:$Q, "&gt;=" &amp; Y$1,
  AllTasks!$Q:$Q, "&lt;=" &amp; Y$2
), "")</f>
        <v/>
      </c>
    </row>
    <row r="50" spans="1:25" x14ac:dyDescent="0.35">
      <c r="B50" s="97">
        <v>2024</v>
      </c>
      <c r="C50" s="97">
        <v>2025</v>
      </c>
    </row>
    <row r="51" spans="1:25" x14ac:dyDescent="0.35">
      <c r="A51" s="95" t="s">
        <v>2239</v>
      </c>
      <c r="B51" s="200" cm="1">
        <f t="array" ref="B51">MEDIAN(_xlfn._xlws.FILTER(
  AllTasks!$AA:$AA,
  (AllTasks!$I:$I = "Repair-EA") *
  (AllTasks!$Q:$Q &gt;= DATE(2024,1,1)) *
  (AllTasks!$Q:$Q &lt;= DATE(2024,12,31))
))</f>
        <v>90.30378472222219</v>
      </c>
      <c r="C51" s="200" cm="1">
        <f t="array" ref="C51">MEDIAN(_xlfn._xlws.FILTER(
  AllTasks!$AA:$AA,
  (AllTasks!$I:$I = "Repair-EA") *
  (AllTasks!$Q:$Q &gt;= DATE(2025,1,1)) *
  (AllTasks!$Q:$Q &lt;= DATE(2025,12,31))
))</f>
        <v>92.581591435187875</v>
      </c>
    </row>
    <row r="52" spans="1:25" ht="29" x14ac:dyDescent="0.35">
      <c r="A52" s="96" t="s">
        <v>2240</v>
      </c>
      <c r="B52" s="200" cm="1">
        <f t="array" ref="B52">MEDIAN(_xlfn._xlws.FILTER(
  AllTasks!$AL:$AL,
  (AllTasks!$I:$I = "Repair-EA") *
  (AllTasks!$Q:$Q &gt;= DATE(2024,1,1)) *
  (AllTasks!$Q:$Q &lt;= DATE(2024,12,31))
))</f>
        <v>83.791666666664241</v>
      </c>
      <c r="C52" s="200" cm="1">
        <f t="array" ref="C52">MEDIAN(_xlfn._xlws.FILTER(
  AllTasks!$AL:$AL,
  (AllTasks!$I:$I = "Repair-EA") *
  (AllTasks!$Q:$Q &gt;= DATE(2025,1,1)) *
  (AllTasks!$Q:$Q &lt;= DATE(2025,12,31))
))</f>
        <v>83.321240862263949</v>
      </c>
    </row>
    <row r="55" spans="1:25" x14ac:dyDescent="0.35">
      <c r="B55" s="218" t="s">
        <v>2239</v>
      </c>
      <c r="C55" s="219"/>
      <c r="D55" s="219"/>
      <c r="E55" s="219"/>
      <c r="F55" s="219"/>
      <c r="G55" s="219"/>
      <c r="H55" s="219"/>
      <c r="I55" s="219"/>
      <c r="J55" s="219"/>
      <c r="K55" s="219"/>
      <c r="L55" s="219"/>
      <c r="M55" s="220"/>
    </row>
    <row r="56" spans="1:25" x14ac:dyDescent="0.35">
      <c r="A56" s="98" t="s">
        <v>2013</v>
      </c>
      <c r="B56" s="21">
        <v>45292</v>
      </c>
      <c r="C56" s="21">
        <v>45323</v>
      </c>
      <c r="D56" s="21">
        <v>45352</v>
      </c>
      <c r="E56" s="21">
        <v>45383</v>
      </c>
      <c r="F56" s="21">
        <v>45413</v>
      </c>
      <c r="G56" s="21">
        <v>45444</v>
      </c>
      <c r="H56" s="21">
        <v>45474</v>
      </c>
      <c r="I56" s="21">
        <v>45505</v>
      </c>
      <c r="J56" s="21">
        <v>45536</v>
      </c>
      <c r="K56" s="21">
        <v>45566</v>
      </c>
      <c r="L56" s="21">
        <v>45597</v>
      </c>
      <c r="M56" s="21">
        <v>45627</v>
      </c>
      <c r="N56" s="22">
        <v>45658</v>
      </c>
      <c r="O56" s="22">
        <v>45689</v>
      </c>
      <c r="P56" s="22">
        <v>45717</v>
      </c>
      <c r="Q56" s="22">
        <v>45748</v>
      </c>
      <c r="R56" s="22">
        <v>45778</v>
      </c>
      <c r="S56" s="22">
        <v>45809</v>
      </c>
      <c r="T56" s="22">
        <v>45839</v>
      </c>
      <c r="U56" s="22">
        <v>45870</v>
      </c>
      <c r="V56" s="22">
        <v>45901</v>
      </c>
      <c r="W56" s="22">
        <v>45931</v>
      </c>
      <c r="X56" s="22">
        <v>45962</v>
      </c>
      <c r="Y56" s="22">
        <v>45992</v>
      </c>
    </row>
    <row r="57" spans="1:25" x14ac:dyDescent="0.35">
      <c r="A57" s="27" t="s">
        <v>2239</v>
      </c>
      <c r="B57" s="201" cm="1">
        <f t="array" ref="B57">IFERROR(MEDIAN(_xlfn._xlws.FILTER(
  AllTasks!$AA:$AA,
  (AllTasks!$I:$I = "Repair-EA") *
  (AllTasks!$Q:$Q &gt;= B$1) *
  (AllTasks!$Q:$Q &lt;= B$2)
)), "")</f>
        <v>106.33725694444729</v>
      </c>
      <c r="C57" s="202" cm="1">
        <f t="array" ref="C57">IFERROR(MEDIAN(_xlfn._xlws.FILTER(
  AllTasks!$AA:$AA,
  (AllTasks!$I:$I = "Repair-EA") *
  (AllTasks!$Q:$Q &gt;= C$1) *
  (AllTasks!$Q:$Q &lt;= C$2)
)), "")</f>
        <v>94.751840277778683</v>
      </c>
      <c r="D57" s="202" cm="1">
        <f t="array" ref="D57">IFERROR(MEDIAN(_xlfn._xlws.FILTER(
  AllTasks!$AA:$AA,
  (AllTasks!$I:$I = "Repair-EA") *
  (AllTasks!$Q:$Q &gt;= D$1) *
  (AllTasks!$Q:$Q &lt;= D$2)
)), "")</f>
        <v>118.42944444444583</v>
      </c>
      <c r="E57" s="202" cm="1">
        <f t="array" ref="E57">IFERROR(MEDIAN(_xlfn._xlws.FILTER(
  AllTasks!$AA:$AA,
  (AllTasks!$I:$I = "Repair-EA") *
  (AllTasks!$Q:$Q &gt;= E$1) *
  (AllTasks!$Q:$Q &lt;= E$2)
)), "")</f>
        <v>137.7330150462949</v>
      </c>
      <c r="F57" s="202" cm="1">
        <f t="array" ref="F57">IFERROR(MEDIAN(_xlfn._xlws.FILTER(
  AllTasks!$AA:$AA,
  (AllTasks!$I:$I = "Repair-EA") *
  (AllTasks!$Q:$Q &gt;= F$1) *
  (AllTasks!$Q:$Q &lt;= F$2)
)), "")</f>
        <v>58.438668981478259</v>
      </c>
      <c r="G57" s="202" cm="1">
        <f t="array" ref="G57">IFERROR(MEDIAN(_xlfn._xlws.FILTER(
  AllTasks!$AA:$AA,
  (AllTasks!$I:$I = "Repair-EA") *
  (AllTasks!$Q:$Q &gt;= G$1) *
  (AllTasks!$Q:$Q &lt;= G$2)
)), "")</f>
        <v>100.11400462962774</v>
      </c>
      <c r="H57" s="202" cm="1">
        <f t="array" ref="H57">IFERROR(MEDIAN(_xlfn._xlws.FILTER(
  AllTasks!$AA:$AA,
  (AllTasks!$I:$I = "Repair-EA") *
  (AllTasks!$Q:$Q &gt;= H$1) *
  (AllTasks!$Q:$Q &lt;= H$2)
)), "")</f>
        <v>48.317407407404971</v>
      </c>
      <c r="I57" s="202" cm="1">
        <f t="array" ref="I57">IFERROR(MEDIAN(_xlfn._xlws.FILTER(
  AllTasks!$AA:$AA,
  (AllTasks!$I:$I = "Repair-EA") *
  (AllTasks!$Q:$Q &gt;= I$1) *
  (AllTasks!$Q:$Q &lt;= I$2)
)), "")</f>
        <v>85.833333333335759</v>
      </c>
      <c r="J57" s="202" cm="1">
        <f t="array" ref="J57">IFERROR(MEDIAN(_xlfn._xlws.FILTER(
  AllTasks!$AA:$AA,
  (AllTasks!$I:$I = "Repair-EA") *
  (AllTasks!$Q:$Q &gt;= J$1) *
  (AllTasks!$Q:$Q &lt;= J$2)
)), "")</f>
        <v>79.44442129629897</v>
      </c>
      <c r="K57" s="202" cm="1">
        <f t="array" ref="K57">IFERROR(MEDIAN(_xlfn._xlws.FILTER(
  AllTasks!$AA:$AA,
  (AllTasks!$I:$I = "Repair-EA") *
  (AllTasks!$Q:$Q &gt;= K$1) *
  (AllTasks!$Q:$Q &lt;= K$2)
)), "")</f>
        <v>130.02166087963269</v>
      </c>
      <c r="L57" s="202" cm="1">
        <f t="array" ref="L57">IFERROR(MEDIAN(_xlfn._xlws.FILTER(
  AllTasks!$AA:$AA,
  (AllTasks!$I:$I = "Repair-EA") *
  (AllTasks!$Q:$Q &gt;= L$1) *
  (AllTasks!$Q:$Q &lt;= L$2)
)), "")</f>
        <v>87.556053240743495</v>
      </c>
      <c r="M57" s="202" cm="1">
        <f t="array" ref="M57">IFERROR(MEDIAN(_xlfn._xlws.FILTER(
  AllTasks!$AA:$AA,
  (AllTasks!$I:$I = "Repair-EA") *
  (AllTasks!$Q:$Q &gt;= M$1) *
  (AllTasks!$Q:$Q &lt;= M$2)
)), "")</f>
        <v>64.390289351849788</v>
      </c>
      <c r="N57" s="202" cm="1">
        <f t="array" ref="N57">IFERROR(MEDIAN(_xlfn._xlws.FILTER(
  AllTasks!$AA:$AA,
  (AllTasks!$I:$I = "Repair-EA") *
  (AllTasks!$Q:$Q &gt;= N$1) *
  (AllTasks!$Q:$Q &lt;= N$2)
)), "")</f>
        <v>102.35604745370438</v>
      </c>
      <c r="O57" s="202" cm="1">
        <f t="array" ref="O57">IFERROR(MEDIAN(_xlfn._xlws.FILTER(
  AllTasks!$AA:$AA,
  (AllTasks!$I:$I = "Repair-EA") *
  (AllTasks!$Q:$Q &gt;= O$1) *
  (AllTasks!$Q:$Q &lt;= O$2)
)), "")</f>
        <v>72.842800925925985</v>
      </c>
      <c r="P57" s="202" cm="1">
        <f t="array" ref="P57">IFERROR(MEDIAN(_xlfn._xlws.FILTER(
  AllTasks!$AA:$AA,
  (AllTasks!$I:$I = "Repair-EA") *
  (AllTasks!$Q:$Q &gt;= P$1) *
  (AllTasks!$Q:$Q &lt;= P$2)
)), "")</f>
        <v>137.39811921296132</v>
      </c>
      <c r="Q57" s="202" cm="1">
        <f t="array" ref="Q57">IFERROR(MEDIAN(_xlfn._xlws.FILTER(
  AllTasks!$AA:$AA,
  (AllTasks!$I:$I = "Repair-EA") *
  (AllTasks!$Q:$Q &gt;= Q$1) *
  (AllTasks!$Q:$Q &lt;= Q$2)
)), "")</f>
        <v>115.41457175926189</v>
      </c>
      <c r="R57" s="202" cm="1">
        <f t="array" ref="R57">IFERROR(MEDIAN(_xlfn._xlws.FILTER(
  AllTasks!$AA:$AA,
  (AllTasks!$I:$I = "Repair-EA") *
  (AllTasks!$Q:$Q &gt;= R$1) *
  (AllTasks!$Q:$Q &lt;= R$2)
)), "")</f>
        <v>75.66496527777781</v>
      </c>
      <c r="S57" s="202" cm="1">
        <f t="array" ref="S57">IFERROR(MEDIAN(_xlfn._xlws.FILTER(
  AllTasks!$AA:$AA,
  (AllTasks!$I:$I = "Repair-EA") *
  (AllTasks!$Q:$Q &gt;= S$1) *
  (AllTasks!$Q:$Q &lt;= S$2)
)), "")</f>
        <v>104.3125</v>
      </c>
      <c r="T57" s="202" cm="1">
        <f t="array" ref="T57">IFERROR(MEDIAN(_xlfn._xlws.FILTER(
  AllTasks!$AA:$AA,
  (AllTasks!$I:$I = "Repair-EA") *
  (AllTasks!$Q:$Q &gt;= T$1) *
  (AllTasks!$Q:$Q &lt;= T$2)
)), "")</f>
        <v>77.497974537040136</v>
      </c>
      <c r="U57" s="202" cm="1">
        <f t="array" ref="U57">IFERROR(MEDIAN(_xlfn._xlws.FILTER(
  AllTasks!$AA:$AA,
  (AllTasks!$I:$I = "Repair-EA") *
  (AllTasks!$Q:$Q &gt;= U$1) *
  (AllTasks!$Q:$Q &lt;= U$2)
)), "")</f>
        <v>45.176122685188602</v>
      </c>
      <c r="V57" s="202" t="str" cm="1">
        <f t="array" ref="V57">IFERROR(MEDIAN(_xlfn._xlws.FILTER(
  AllTasks!$AA:$AA,
  (AllTasks!$I:$I = "Repair-EA") *
  (AllTasks!$Q:$Q &gt;= V$1) *
  (AllTasks!$Q:$Q &lt;= V$2)
)), "")</f>
        <v/>
      </c>
      <c r="W57" s="202" t="str" cm="1">
        <f t="array" ref="W57">IFERROR(MEDIAN(_xlfn._xlws.FILTER(
  AllTasks!$AA:$AA,
  (AllTasks!$I:$I = "Repair-EA") *
  (AllTasks!$Q:$Q &gt;= W$1) *
  (AllTasks!$Q:$Q &lt;= W$2)
)), "")</f>
        <v/>
      </c>
      <c r="X57" s="202" t="str" cm="1">
        <f t="array" ref="X57">IFERROR(MEDIAN(_xlfn._xlws.FILTER(
  AllTasks!$AA:$AA,
  (AllTasks!$I:$I = "Repair-EA") *
  (AllTasks!$Q:$Q &gt;= X$1) *
  (AllTasks!$Q:$Q &lt;= X$2)
)), "")</f>
        <v/>
      </c>
      <c r="Y57" s="202" t="str" cm="1">
        <f t="array" ref="Y57">IFERROR(MEDIAN(_xlfn._xlws.FILTER(
  AllTasks!$AA:$AA,
  (AllTasks!$I:$I = "Repair-EA") *
  (AllTasks!$Q:$Q &gt;= Y$1) *
  (AllTasks!$Q:$Q &lt;= Y$2)
)), "")</f>
        <v/>
      </c>
    </row>
    <row r="58" spans="1:25" ht="29" x14ac:dyDescent="0.35">
      <c r="A58" s="99" t="s">
        <v>2240</v>
      </c>
      <c r="B58" s="203" cm="1">
        <f t="array" ref="B58">IFERROR(MEDIAN(_xlfn._xlws.FILTER(
  AllTasks!$AL:$AL,
  (AllTasks!$I:$I = "Repair-EA") *
  (AllTasks!$Q:$Q &gt;= B$1) *
  (AllTasks!$Q:$Q &lt;= B$2)
)), "")</f>
        <v>101.22804253472714</v>
      </c>
      <c r="C58" s="204" cm="1">
        <f t="array" ref="C58">IFERROR(MEDIAN(_xlfn._xlws.FILTER(
  AllTasks!$AL:$AL,
  (AllTasks!$I:$I = "Repair-EA") *
  (AllTasks!$Q:$Q &gt;= C$1) *
  (AllTasks!$Q:$Q &lt;= C$2)
)), "")</f>
        <v>92.251840277778683</v>
      </c>
      <c r="D58" s="204" cm="1">
        <f t="array" ref="D58">IFERROR(MEDIAN(_xlfn._xlws.FILTER(
  AllTasks!$AL:$AL,
  (AllTasks!$I:$I = "Repair-EA") *
  (AllTasks!$Q:$Q &gt;= D$1) *
  (AllTasks!$Q:$Q &lt;= D$2)
)), "")</f>
        <v>118.42944444444583</v>
      </c>
      <c r="E58" s="204" cm="1">
        <f t="array" ref="E58">IFERROR(MEDIAN(_xlfn._xlws.FILTER(
  AllTasks!$AL:$AL,
  (AllTasks!$I:$I = "Repair-EA") *
  (AllTasks!$Q:$Q &gt;= E$1) *
  (AllTasks!$Q:$Q &lt;= E$2)
)), "")</f>
        <v>130.98307870370263</v>
      </c>
      <c r="F58" s="204" cm="1">
        <f t="array" ref="F58">IFERROR(MEDIAN(_xlfn._xlws.FILTER(
  AllTasks!$AL:$AL,
  (AllTasks!$I:$I = "Repair-EA") *
  (AllTasks!$Q:$Q &gt;= F$1) *
  (AllTasks!$Q:$Q &lt;= F$2)
)), "")</f>
        <v>58.149965277778392</v>
      </c>
      <c r="G58" s="204" cm="1">
        <f t="array" ref="G58">IFERROR(MEDIAN(_xlfn._xlws.FILTER(
  AllTasks!$AL:$AL,
  (AllTasks!$I:$I = "Repair-EA") *
  (AllTasks!$Q:$Q &gt;= G$1) *
  (AllTasks!$Q:$Q &lt;= G$2)
)), "")</f>
        <v>98.398472222223063</v>
      </c>
      <c r="H58" s="204" cm="1">
        <f t="array" ref="H58">IFERROR(MEDIAN(_xlfn._xlws.FILTER(
  AllTasks!$AL:$AL,
  (AllTasks!$I:$I = "Repair-EA") *
  (AllTasks!$Q:$Q &gt;= H$1) *
  (AllTasks!$Q:$Q &lt;= H$2)
)), "")</f>
        <v>47.412280092590663</v>
      </c>
      <c r="I58" s="204" cm="1">
        <f t="array" ref="I58">IFERROR(MEDIAN(_xlfn._xlws.FILTER(
  AllTasks!$AL:$AL,
  (AllTasks!$I:$I = "Repair-EA") *
  (AllTasks!$Q:$Q &gt;= I$1) *
  (AllTasks!$Q:$Q &lt;= I$2)
)), "")</f>
        <v>77.424108796294604</v>
      </c>
      <c r="J58" s="204" cm="1">
        <f t="array" ref="J58">IFERROR(MEDIAN(_xlfn._xlws.FILTER(
  AllTasks!$AL:$AL,
  (AllTasks!$I:$I = "Repair-EA") *
  (AllTasks!$Q:$Q &gt;= J$1) *
  (AllTasks!$Q:$Q &lt;= J$2)
)), "")</f>
        <v>79.44442129629897</v>
      </c>
      <c r="K58" s="204" cm="1">
        <f t="array" ref="K58">IFERROR(MEDIAN(_xlfn._xlws.FILTER(
  AllTasks!$AL:$AL,
  (AllTasks!$I:$I = "Repair-EA") *
  (AllTasks!$Q:$Q &gt;= K$1) *
  (AllTasks!$Q:$Q &lt;= K$2)
)), "")</f>
        <v>101.83333333333576</v>
      </c>
      <c r="L58" s="204" cm="1">
        <f t="array" ref="L58">IFERROR(MEDIAN(_xlfn._xlws.FILTER(
  AllTasks!$AL:$AL,
  (AllTasks!$I:$I = "Repair-EA") *
  (AllTasks!$Q:$Q &gt;= L$1) *
  (AllTasks!$Q:$Q &lt;= L$2)
)), "")</f>
        <v>85.652876157408173</v>
      </c>
      <c r="M58" s="204" cm="1">
        <f t="array" ref="M58">IFERROR(MEDIAN(_xlfn._xlws.FILTER(
  AllTasks!$AL:$AL,
  (AllTasks!$I:$I = "Repair-EA") *
  (AllTasks!$Q:$Q &gt;= M$1) *
  (AllTasks!$Q:$Q &lt;= M$2)
)), "")</f>
        <v>53.36516782407125</v>
      </c>
      <c r="N58" s="204" cm="1">
        <f t="array" ref="N58">IFERROR(MEDIAN(_xlfn._xlws.FILTER(
  AllTasks!$AL:$AL,
  (AllTasks!$I:$I = "Repair-EA") *
  (AllTasks!$Q:$Q &gt;= N$1) *
  (AllTasks!$Q:$Q &lt;= N$2)
)), "")</f>
        <v>81.696122685185401</v>
      </c>
      <c r="O58" s="204" cm="1">
        <f t="array" ref="O58">IFERROR(MEDIAN(_xlfn._xlws.FILTER(
  AllTasks!$AL:$AL,
  (AllTasks!$I:$I = "Repair-EA") *
  (AllTasks!$Q:$Q &gt;= O$1) *
  (AllTasks!$Q:$Q &lt;= O$2)
)), "")</f>
        <v>64.280972222222772</v>
      </c>
      <c r="P58" s="204" cm="1">
        <f t="array" ref="P58">IFERROR(MEDIAN(_xlfn._xlws.FILTER(
  AllTasks!$AL:$AL,
  (AllTasks!$I:$I = "Repair-EA") *
  (AllTasks!$Q:$Q &gt;= P$1) *
  (AllTasks!$Q:$Q &lt;= P$2)
)), "")</f>
        <v>105.85070601851839</v>
      </c>
      <c r="Q58" s="204" cm="1">
        <f t="array" ref="Q58">IFERROR(MEDIAN(_xlfn._xlws.FILTER(
  AllTasks!$AL:$AL,
  (AllTasks!$I:$I = "Repair-EA") *
  (AllTasks!$Q:$Q &gt;= Q$1) *
  (AllTasks!$Q:$Q &lt;= Q$2)
)), "")</f>
        <v>101.41457175926189</v>
      </c>
      <c r="R58" s="204" cm="1">
        <f t="array" ref="R58">IFERROR(MEDIAN(_xlfn._xlws.FILTER(
  AllTasks!$AL:$AL,
  (AllTasks!$I:$I = "Repair-EA") *
  (AllTasks!$Q:$Q &gt;= R$1) *
  (AllTasks!$Q:$Q &lt;= R$2)
)), "")</f>
        <v>72.388339120370802</v>
      </c>
      <c r="S58" s="204" cm="1">
        <f t="array" ref="S58">IFERROR(MEDIAN(_xlfn._xlws.FILTER(
  AllTasks!$AL:$AL,
  (AllTasks!$I:$I = "Repair-EA") *
  (AllTasks!$Q:$Q &gt;= S$1) *
  (AllTasks!$Q:$Q &lt;= S$2)
)), "")</f>
        <v>91.896521990744077</v>
      </c>
      <c r="T58" s="204" cm="1">
        <f t="array" ref="T58">IFERROR(MEDIAN(_xlfn._xlws.FILTER(
  AllTasks!$AL:$AL,
  (AllTasks!$I:$I = "Repair-EA") *
  (AllTasks!$Q:$Q &gt;= T$1) *
  (AllTasks!$Q:$Q &lt;= T$2)
)), "")</f>
        <v>62.129936342593282</v>
      </c>
      <c r="U58" s="204" cm="1">
        <f t="array" ref="U58">IFERROR(MEDIAN(_xlfn._xlws.FILTER(
  AllTasks!$AL:$AL,
  (AllTasks!$I:$I = "Repair-EA") *
  (AllTasks!$Q:$Q &gt;= U$1) *
  (AllTasks!$Q:$Q &lt;= U$2)
)), "")</f>
        <v>41.176122685188602</v>
      </c>
      <c r="V58" s="204" t="str" cm="1">
        <f t="array" ref="V58">IFERROR(MEDIAN(_xlfn._xlws.FILTER(
  AllTasks!$AL:$AL,
  (AllTasks!$I:$I = "Repair-EA") *
  (AllTasks!$Q:$Q &gt;= V$1) *
  (AllTasks!$Q:$Q &lt;= V$2)
)), "")</f>
        <v/>
      </c>
      <c r="W58" s="204" t="str" cm="1">
        <f t="array" ref="W58">IFERROR(MEDIAN(_xlfn._xlws.FILTER(
  AllTasks!$AL:$AL,
  (AllTasks!$I:$I = "Repair-EA") *
  (AllTasks!$Q:$Q &gt;= W$1) *
  (AllTasks!$Q:$Q &lt;= W$2)
)), "")</f>
        <v/>
      </c>
      <c r="X58" s="204" t="str" cm="1">
        <f t="array" ref="X58">IFERROR(MEDIAN(_xlfn._xlws.FILTER(
  AllTasks!$AL:$AL,
  (AllTasks!$I:$I = "Repair-EA") *
  (AllTasks!$Q:$Q &gt;= X$1) *
  (AllTasks!$Q:$Q &lt;= X$2)
)), "")</f>
        <v/>
      </c>
      <c r="Y58" s="204" t="str" cm="1">
        <f t="array" ref="Y58">IFERROR(MEDIAN(_xlfn._xlws.FILTER(
  AllTasks!$AL:$AL,
  (AllTasks!$I:$I = "Repair-EA") *
  (AllTasks!$Q:$Q &gt;= Y$1) *
  (AllTasks!$Q:$Q &lt;= Y$2)
)), "")</f>
        <v/>
      </c>
    </row>
  </sheetData>
  <mergeCells count="6">
    <mergeCell ref="B55:M55"/>
    <mergeCell ref="B5:M5"/>
    <mergeCell ref="B14:M14"/>
    <mergeCell ref="B23:M23"/>
    <mergeCell ref="B32:M32"/>
    <mergeCell ref="B41:M41"/>
  </mergeCells>
  <phoneticPr fontId="6" type="noConversion"/>
  <conditionalFormatting sqref="B9:Y9">
    <cfRule type="colorScale" priority="17">
      <colorScale>
        <cfvo type="min"/>
        <cfvo type="percentile" val="50"/>
        <cfvo type="max"/>
        <color rgb="FF63BE7B"/>
        <color rgb="FFFFEB84"/>
        <color rgb="FFF8696B"/>
      </colorScale>
    </cfRule>
    <cfRule type="colorScale" priority="19">
      <colorScale>
        <cfvo type="min"/>
        <cfvo type="percentile" val="50"/>
        <cfvo type="max"/>
        <color rgb="FF63BE7B"/>
        <color rgb="FFFFEB84"/>
        <color rgb="FFF8696B"/>
      </colorScale>
    </cfRule>
    <cfRule type="colorScale" priority="20">
      <colorScale>
        <cfvo type="min"/>
        <cfvo type="percentile" val="50"/>
        <cfvo type="max"/>
        <color rgb="FFF8696B"/>
        <color rgb="FFFFEB84"/>
        <color rgb="FF63BE7B"/>
      </colorScale>
    </cfRule>
  </conditionalFormatting>
  <conditionalFormatting sqref="B11:Y11">
    <cfRule type="colorScale" priority="18">
      <colorScale>
        <cfvo type="min"/>
        <cfvo type="percentile" val="50"/>
        <cfvo type="max"/>
        <color rgb="FF63BE7B"/>
        <color rgb="FFFFEB84"/>
        <color rgb="FFF8696B"/>
      </colorScale>
    </cfRule>
  </conditionalFormatting>
  <conditionalFormatting sqref="B18:Y18">
    <cfRule type="colorScale" priority="13">
      <colorScale>
        <cfvo type="min"/>
        <cfvo type="percentile" val="50"/>
        <cfvo type="max"/>
        <color rgb="FF63BE7B"/>
        <color rgb="FFFFEB84"/>
        <color rgb="FFF8696B"/>
      </colorScale>
    </cfRule>
    <cfRule type="colorScale" priority="15">
      <colorScale>
        <cfvo type="min"/>
        <cfvo type="percentile" val="50"/>
        <cfvo type="max"/>
        <color rgb="FF63BE7B"/>
        <color rgb="FFFFEB84"/>
        <color rgb="FFF8696B"/>
      </colorScale>
    </cfRule>
    <cfRule type="colorScale" priority="16">
      <colorScale>
        <cfvo type="min"/>
        <cfvo type="percentile" val="50"/>
        <cfvo type="max"/>
        <color rgb="FFF8696B"/>
        <color rgb="FFFFEB84"/>
        <color rgb="FF63BE7B"/>
      </colorScale>
    </cfRule>
  </conditionalFormatting>
  <conditionalFormatting sqref="B20:Y20">
    <cfRule type="colorScale" priority="14">
      <colorScale>
        <cfvo type="min"/>
        <cfvo type="percentile" val="50"/>
        <cfvo type="max"/>
        <color rgb="FF63BE7B"/>
        <color rgb="FFFFEB84"/>
        <color rgb="FFF8696B"/>
      </colorScale>
    </cfRule>
  </conditionalFormatting>
  <conditionalFormatting sqref="B27:Y27">
    <cfRule type="colorScale" priority="9">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fRule type="colorScale" priority="12">
      <colorScale>
        <cfvo type="min"/>
        <cfvo type="percentile" val="50"/>
        <cfvo type="max"/>
        <color rgb="FFF8696B"/>
        <color rgb="FFFFEB84"/>
        <color rgb="FF63BE7B"/>
      </colorScale>
    </cfRule>
  </conditionalFormatting>
  <conditionalFormatting sqref="B29:Y29">
    <cfRule type="colorScale" priority="10">
      <colorScale>
        <cfvo type="min"/>
        <cfvo type="percentile" val="50"/>
        <cfvo type="max"/>
        <color rgb="FF63BE7B"/>
        <color rgb="FFFFEB84"/>
        <color rgb="FFF8696B"/>
      </colorScale>
    </cfRule>
  </conditionalFormatting>
  <conditionalFormatting sqref="B36:Y36">
    <cfRule type="colorScale" priority="5">
      <colorScale>
        <cfvo type="min"/>
        <cfvo type="percentile" val="50"/>
        <cfvo type="max"/>
        <color rgb="FF63BE7B"/>
        <color rgb="FFFFEB84"/>
        <color rgb="FFF8696B"/>
      </colorScale>
    </cfRule>
    <cfRule type="colorScale" priority="7">
      <colorScale>
        <cfvo type="min"/>
        <cfvo type="percentile" val="50"/>
        <cfvo type="max"/>
        <color rgb="FF63BE7B"/>
        <color rgb="FFFFEB84"/>
        <color rgb="FFF8696B"/>
      </colorScale>
    </cfRule>
    <cfRule type="colorScale" priority="8">
      <colorScale>
        <cfvo type="min"/>
        <cfvo type="percentile" val="50"/>
        <cfvo type="max"/>
        <color rgb="FFF8696B"/>
        <color rgb="FFFFEB84"/>
        <color rgb="FF63BE7B"/>
      </colorScale>
    </cfRule>
  </conditionalFormatting>
  <conditionalFormatting sqref="B38:Y38">
    <cfRule type="colorScale" priority="6">
      <colorScale>
        <cfvo type="min"/>
        <cfvo type="percentile" val="50"/>
        <cfvo type="max"/>
        <color rgb="FF63BE7B"/>
        <color rgb="FFFFEB84"/>
        <color rgb="FFF8696B"/>
      </colorScale>
    </cfRule>
  </conditionalFormatting>
  <conditionalFormatting sqref="B45:Y45">
    <cfRule type="colorScale" priority="1">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fRule type="colorScale" priority="4">
      <colorScale>
        <cfvo type="min"/>
        <cfvo type="percentile" val="50"/>
        <cfvo type="max"/>
        <color rgb="FFF8696B"/>
        <color rgb="FFFFEB84"/>
        <color rgb="FF63BE7B"/>
      </colorScale>
    </cfRule>
  </conditionalFormatting>
  <conditionalFormatting sqref="B47:Y47">
    <cfRule type="colorScale" priority="2">
      <colorScale>
        <cfvo type="min"/>
        <cfvo type="percentile" val="50"/>
        <cfvo type="max"/>
        <color rgb="FF63BE7B"/>
        <color rgb="FFFFEB84"/>
        <color rgb="FFF8696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C665-B835-42FD-B269-0A8382D59B0E}">
  <sheetPr>
    <tabColor rgb="FF00B0F0"/>
  </sheetPr>
  <dimension ref="A1:T499"/>
  <sheetViews>
    <sheetView workbookViewId="0">
      <pane ySplit="1" topLeftCell="A2" activePane="bottomLeft" state="frozen"/>
      <selection pane="bottomLeft" activeCell="G508" sqref="G508"/>
    </sheetView>
  </sheetViews>
  <sheetFormatPr defaultRowHeight="14.5" x14ac:dyDescent="0.35"/>
  <cols>
    <col min="1" max="1" width="19" bestFit="1" customWidth="1"/>
    <col min="2" max="2" width="20.453125" customWidth="1"/>
    <col min="3" max="3" width="19.81640625" bestFit="1" customWidth="1"/>
    <col min="4" max="4" width="19" bestFit="1" customWidth="1"/>
    <col min="5" max="5" width="11.54296875" bestFit="1" customWidth="1"/>
    <col min="6" max="6" width="21.81640625" customWidth="1"/>
    <col min="7" max="7" width="52.81640625" bestFit="1" customWidth="1"/>
    <col min="8" max="8" width="17.81640625" bestFit="1" customWidth="1"/>
    <col min="10" max="10" width="10" bestFit="1" customWidth="1"/>
    <col min="11" max="11" width="23.7265625" bestFit="1" customWidth="1"/>
    <col min="12" max="12" width="13.453125" bestFit="1" customWidth="1"/>
    <col min="15" max="15" width="10.7265625" bestFit="1" customWidth="1"/>
    <col min="16" max="16" width="11.1796875" bestFit="1" customWidth="1"/>
    <col min="17" max="17" width="13.453125" bestFit="1" customWidth="1"/>
    <col min="18" max="18" width="23.453125" bestFit="1" customWidth="1"/>
    <col min="19" max="19" width="17.7265625" bestFit="1" customWidth="1"/>
    <col min="20" max="20" width="8.7265625" style="194"/>
  </cols>
  <sheetData>
    <row r="1" spans="1:20" s="8" customFormat="1" ht="29.25" customHeight="1" x14ac:dyDescent="0.35">
      <c r="A1" s="8" t="s">
        <v>0</v>
      </c>
      <c r="B1" s="8" t="s">
        <v>1</v>
      </c>
      <c r="C1" s="8" t="s">
        <v>2068</v>
      </c>
      <c r="D1" s="8" t="s">
        <v>2069</v>
      </c>
      <c r="E1" s="8" t="s">
        <v>2070</v>
      </c>
      <c r="F1" s="8" t="s">
        <v>2071</v>
      </c>
      <c r="G1" s="8" t="s">
        <v>2072</v>
      </c>
      <c r="H1" s="8" t="s">
        <v>2073</v>
      </c>
      <c r="I1" s="8" t="s">
        <v>7</v>
      </c>
      <c r="J1" s="8" t="s">
        <v>8</v>
      </c>
      <c r="K1" s="8" t="s">
        <v>9</v>
      </c>
      <c r="L1" s="8" t="s">
        <v>3</v>
      </c>
      <c r="M1" s="8" t="s">
        <v>5</v>
      </c>
      <c r="N1" s="8" t="s">
        <v>6</v>
      </c>
      <c r="O1" s="8" t="s">
        <v>13</v>
      </c>
      <c r="P1" s="8" t="s">
        <v>15</v>
      </c>
      <c r="Q1" s="8" t="s">
        <v>10</v>
      </c>
      <c r="R1" s="8" t="s">
        <v>2</v>
      </c>
      <c r="S1" s="8" t="s">
        <v>12</v>
      </c>
      <c r="T1" s="205"/>
    </row>
    <row r="2" spans="1:20" x14ac:dyDescent="0.35">
      <c r="A2" t="s">
        <v>23</v>
      </c>
      <c r="B2">
        <v>106493</v>
      </c>
      <c r="C2" t="s">
        <v>1982</v>
      </c>
      <c r="D2" t="s">
        <v>2074</v>
      </c>
      <c r="E2" s="2">
        <v>45664.882153738428</v>
      </c>
      <c r="F2" t="s">
        <v>2075</v>
      </c>
      <c r="G2" t="s">
        <v>2076</v>
      </c>
      <c r="H2" t="s">
        <v>2077</v>
      </c>
      <c r="I2" t="s">
        <v>90</v>
      </c>
      <c r="J2" t="s">
        <v>30</v>
      </c>
      <c r="K2" t="s">
        <v>31</v>
      </c>
      <c r="L2" t="s">
        <v>44</v>
      </c>
      <c r="M2" t="s">
        <v>46</v>
      </c>
      <c r="N2">
        <v>4</v>
      </c>
      <c r="O2" s="2">
        <v>45456.166666666664</v>
      </c>
      <c r="P2" s="2">
        <v>45705.208333333336</v>
      </c>
      <c r="Q2" t="s">
        <v>57</v>
      </c>
      <c r="R2" t="s">
        <v>76</v>
      </c>
      <c r="S2" t="s">
        <v>33</v>
      </c>
    </row>
    <row r="3" spans="1:20" x14ac:dyDescent="0.35">
      <c r="A3" t="s">
        <v>23</v>
      </c>
      <c r="B3">
        <v>106493</v>
      </c>
      <c r="C3" t="s">
        <v>1982</v>
      </c>
      <c r="D3" t="s">
        <v>2074</v>
      </c>
      <c r="E3" s="2">
        <v>45664.882296956021</v>
      </c>
      <c r="F3" t="s">
        <v>2078</v>
      </c>
      <c r="G3" t="s">
        <v>2079</v>
      </c>
      <c r="H3" t="s">
        <v>2077</v>
      </c>
      <c r="I3" t="s">
        <v>90</v>
      </c>
      <c r="J3" t="s">
        <v>30</v>
      </c>
      <c r="K3" t="s">
        <v>31</v>
      </c>
      <c r="L3" t="s">
        <v>44</v>
      </c>
      <c r="M3" t="s">
        <v>46</v>
      </c>
      <c r="N3">
        <v>4</v>
      </c>
      <c r="O3" s="2">
        <v>45456.166666666664</v>
      </c>
      <c r="P3" s="2">
        <v>45705.208333333336</v>
      </c>
      <c r="Q3" t="s">
        <v>57</v>
      </c>
      <c r="R3" t="s">
        <v>76</v>
      </c>
      <c r="S3" t="s">
        <v>33</v>
      </c>
    </row>
    <row r="4" spans="1:20" x14ac:dyDescent="0.35">
      <c r="A4" t="s">
        <v>23</v>
      </c>
      <c r="B4">
        <v>106493</v>
      </c>
      <c r="C4" t="s">
        <v>1982</v>
      </c>
      <c r="D4" t="s">
        <v>2074</v>
      </c>
      <c r="E4" s="2">
        <v>45674.663971481481</v>
      </c>
      <c r="F4" t="s">
        <v>2080</v>
      </c>
      <c r="G4" t="s">
        <v>2081</v>
      </c>
      <c r="H4" t="s">
        <v>2077</v>
      </c>
      <c r="I4" t="s">
        <v>90</v>
      </c>
      <c r="J4" t="s">
        <v>30</v>
      </c>
      <c r="K4" t="s">
        <v>31</v>
      </c>
      <c r="L4" t="s">
        <v>44</v>
      </c>
      <c r="M4" t="s">
        <v>46</v>
      </c>
      <c r="N4">
        <v>4</v>
      </c>
      <c r="O4" s="2">
        <v>45456.166666666664</v>
      </c>
      <c r="P4" s="2">
        <v>45705.208333333336</v>
      </c>
      <c r="Q4" t="s">
        <v>57</v>
      </c>
      <c r="R4" t="s">
        <v>76</v>
      </c>
      <c r="S4" t="s">
        <v>33</v>
      </c>
    </row>
    <row r="5" spans="1:20" x14ac:dyDescent="0.35">
      <c r="A5" t="s">
        <v>23</v>
      </c>
      <c r="B5">
        <v>107426</v>
      </c>
      <c r="C5" t="s">
        <v>1989</v>
      </c>
      <c r="D5" t="s">
        <v>2082</v>
      </c>
      <c r="E5" s="2">
        <v>45672.786901770836</v>
      </c>
      <c r="F5" t="s">
        <v>2080</v>
      </c>
      <c r="G5" t="s">
        <v>2081</v>
      </c>
      <c r="H5" t="s">
        <v>2083</v>
      </c>
      <c r="I5" t="s">
        <v>962</v>
      </c>
      <c r="J5" t="s">
        <v>30</v>
      </c>
      <c r="K5" t="s">
        <v>31</v>
      </c>
      <c r="L5" t="s">
        <v>44</v>
      </c>
      <c r="M5" t="s">
        <v>28</v>
      </c>
      <c r="N5">
        <v>22</v>
      </c>
      <c r="O5" s="2">
        <v>45509.166666666664</v>
      </c>
      <c r="P5" s="2">
        <v>45714.208333333336</v>
      </c>
      <c r="Q5" t="s">
        <v>57</v>
      </c>
      <c r="R5" t="s">
        <v>76</v>
      </c>
      <c r="S5" t="s">
        <v>33</v>
      </c>
    </row>
    <row r="6" spans="1:20" x14ac:dyDescent="0.35">
      <c r="A6" t="s">
        <v>23</v>
      </c>
      <c r="B6">
        <v>108880</v>
      </c>
      <c r="C6" t="s">
        <v>1988</v>
      </c>
      <c r="D6" t="s">
        <v>2084</v>
      </c>
      <c r="E6" s="2">
        <v>45678.138255601851</v>
      </c>
      <c r="F6" t="s">
        <v>2085</v>
      </c>
      <c r="G6" t="s">
        <v>2086</v>
      </c>
      <c r="H6" t="s">
        <v>2077</v>
      </c>
      <c r="I6" t="s">
        <v>77</v>
      </c>
      <c r="J6" t="s">
        <v>30</v>
      </c>
      <c r="K6" t="s">
        <v>31</v>
      </c>
      <c r="L6" t="s">
        <v>44</v>
      </c>
      <c r="M6" t="s">
        <v>46</v>
      </c>
      <c r="N6">
        <v>2</v>
      </c>
      <c r="O6" s="2">
        <v>45575.166666666664</v>
      </c>
      <c r="P6" s="2">
        <v>45708.208333333336</v>
      </c>
      <c r="Q6" t="s">
        <v>57</v>
      </c>
      <c r="R6" t="s">
        <v>76</v>
      </c>
      <c r="S6" t="s">
        <v>33</v>
      </c>
    </row>
    <row r="7" spans="1:20" x14ac:dyDescent="0.35">
      <c r="A7" t="s">
        <v>23</v>
      </c>
      <c r="B7">
        <v>108959</v>
      </c>
      <c r="C7" t="s">
        <v>1989</v>
      </c>
      <c r="D7" t="s">
        <v>2087</v>
      </c>
      <c r="E7" s="2">
        <v>45736.668571469905</v>
      </c>
      <c r="F7" t="s">
        <v>2088</v>
      </c>
      <c r="G7" t="s">
        <v>2089</v>
      </c>
      <c r="H7" t="s">
        <v>2077</v>
      </c>
      <c r="I7" t="s">
        <v>92</v>
      </c>
      <c r="J7" t="s">
        <v>30</v>
      </c>
      <c r="K7" t="s">
        <v>31</v>
      </c>
      <c r="L7" t="s">
        <v>44</v>
      </c>
      <c r="M7" t="s">
        <v>46</v>
      </c>
      <c r="N7">
        <v>10</v>
      </c>
      <c r="O7" s="2">
        <v>45580.166666666664</v>
      </c>
      <c r="P7" s="2">
        <v>45772.166666666664</v>
      </c>
      <c r="Q7" t="s">
        <v>57</v>
      </c>
      <c r="R7" t="s">
        <v>36</v>
      </c>
      <c r="S7" t="s">
        <v>81</v>
      </c>
    </row>
    <row r="8" spans="1:20" x14ac:dyDescent="0.35">
      <c r="A8" t="s">
        <v>23</v>
      </c>
      <c r="B8">
        <v>108959</v>
      </c>
      <c r="C8" t="s">
        <v>1989</v>
      </c>
      <c r="D8" t="s">
        <v>2087</v>
      </c>
      <c r="E8" s="2">
        <v>45736.669209722226</v>
      </c>
      <c r="F8" t="s">
        <v>2085</v>
      </c>
      <c r="G8" t="s">
        <v>2086</v>
      </c>
      <c r="H8" t="s">
        <v>2077</v>
      </c>
      <c r="I8" t="s">
        <v>92</v>
      </c>
      <c r="J8" t="s">
        <v>30</v>
      </c>
      <c r="K8" t="s">
        <v>31</v>
      </c>
      <c r="L8" t="s">
        <v>44</v>
      </c>
      <c r="M8" t="s">
        <v>46</v>
      </c>
      <c r="N8">
        <v>10</v>
      </c>
      <c r="O8" s="2">
        <v>45580.166666666664</v>
      </c>
      <c r="P8" s="2">
        <v>45772.166666666664</v>
      </c>
      <c r="Q8" t="s">
        <v>57</v>
      </c>
      <c r="R8" t="s">
        <v>36</v>
      </c>
      <c r="S8" t="s">
        <v>81</v>
      </c>
    </row>
    <row r="9" spans="1:20" x14ac:dyDescent="0.35">
      <c r="A9" t="s">
        <v>23</v>
      </c>
      <c r="B9">
        <v>108959</v>
      </c>
      <c r="C9" t="s">
        <v>1989</v>
      </c>
      <c r="D9" t="s">
        <v>2087</v>
      </c>
      <c r="E9" s="2">
        <v>45736.671001840281</v>
      </c>
      <c r="F9" t="s">
        <v>2085</v>
      </c>
      <c r="G9" t="s">
        <v>2086</v>
      </c>
      <c r="H9" t="s">
        <v>2077</v>
      </c>
      <c r="I9" t="s">
        <v>92</v>
      </c>
      <c r="J9" t="s">
        <v>30</v>
      </c>
      <c r="K9" t="s">
        <v>31</v>
      </c>
      <c r="L9" t="s">
        <v>44</v>
      </c>
      <c r="M9" t="s">
        <v>46</v>
      </c>
      <c r="N9">
        <v>10</v>
      </c>
      <c r="O9" s="2">
        <v>45580.166666666664</v>
      </c>
      <c r="P9" s="2">
        <v>45772.166666666664</v>
      </c>
      <c r="Q9" t="s">
        <v>57</v>
      </c>
      <c r="R9" t="s">
        <v>36</v>
      </c>
      <c r="S9" t="s">
        <v>81</v>
      </c>
    </row>
    <row r="10" spans="1:20" x14ac:dyDescent="0.35">
      <c r="A10" t="s">
        <v>23</v>
      </c>
      <c r="B10">
        <v>109083</v>
      </c>
      <c r="C10" t="s">
        <v>1982</v>
      </c>
      <c r="D10" t="s">
        <v>2090</v>
      </c>
      <c r="E10" s="2">
        <v>45680.805537615743</v>
      </c>
      <c r="F10" t="s">
        <v>2088</v>
      </c>
      <c r="G10" t="s">
        <v>2091</v>
      </c>
      <c r="H10" t="s">
        <v>2077</v>
      </c>
      <c r="I10" t="s">
        <v>149</v>
      </c>
      <c r="J10" t="s">
        <v>30</v>
      </c>
      <c r="K10" t="s">
        <v>31</v>
      </c>
      <c r="L10" t="s">
        <v>44</v>
      </c>
      <c r="M10" t="s">
        <v>46</v>
      </c>
      <c r="O10" s="2">
        <v>45583.166666666664</v>
      </c>
      <c r="P10" s="2">
        <v>45736.166666666664</v>
      </c>
      <c r="Q10" t="s">
        <v>57</v>
      </c>
      <c r="R10" t="s">
        <v>54</v>
      </c>
      <c r="S10" t="s">
        <v>33</v>
      </c>
    </row>
    <row r="11" spans="1:20" x14ac:dyDescent="0.35">
      <c r="A11" t="s">
        <v>23</v>
      </c>
      <c r="B11">
        <v>109083</v>
      </c>
      <c r="C11" t="s">
        <v>1988</v>
      </c>
      <c r="D11" t="s">
        <v>2090</v>
      </c>
      <c r="E11" s="2">
        <v>45729.680599479165</v>
      </c>
      <c r="F11" t="s">
        <v>2075</v>
      </c>
      <c r="G11" t="s">
        <v>2092</v>
      </c>
      <c r="H11" t="s">
        <v>2083</v>
      </c>
      <c r="I11" t="s">
        <v>149</v>
      </c>
      <c r="J11" t="s">
        <v>30</v>
      </c>
      <c r="K11" t="s">
        <v>31</v>
      </c>
      <c r="L11" t="s">
        <v>44</v>
      </c>
      <c r="M11" t="s">
        <v>46</v>
      </c>
      <c r="O11" s="2">
        <v>45583.166666666664</v>
      </c>
      <c r="P11" s="2">
        <v>45736.166666666664</v>
      </c>
      <c r="Q11" t="s">
        <v>57</v>
      </c>
      <c r="R11" t="s">
        <v>54</v>
      </c>
      <c r="S11" t="s">
        <v>33</v>
      </c>
    </row>
    <row r="12" spans="1:20" x14ac:dyDescent="0.35">
      <c r="A12" t="s">
        <v>23</v>
      </c>
      <c r="B12">
        <v>109545</v>
      </c>
      <c r="C12" t="s">
        <v>1989</v>
      </c>
      <c r="D12" t="s">
        <v>2087</v>
      </c>
      <c r="E12" s="2">
        <v>45674.585083356484</v>
      </c>
      <c r="F12" t="s">
        <v>2085</v>
      </c>
      <c r="G12" t="s">
        <v>2086</v>
      </c>
      <c r="H12" t="s">
        <v>2077</v>
      </c>
      <c r="I12" t="s">
        <v>842</v>
      </c>
      <c r="J12" t="s">
        <v>30</v>
      </c>
      <c r="K12" t="s">
        <v>31</v>
      </c>
      <c r="L12" t="s">
        <v>44</v>
      </c>
      <c r="M12" t="s">
        <v>28</v>
      </c>
      <c r="N12">
        <v>16</v>
      </c>
      <c r="O12" s="2">
        <v>45607.208333333336</v>
      </c>
      <c r="P12" s="2">
        <v>45714.208333333336</v>
      </c>
      <c r="Q12" t="s">
        <v>57</v>
      </c>
      <c r="R12" t="s">
        <v>36</v>
      </c>
      <c r="S12" t="s">
        <v>33</v>
      </c>
    </row>
    <row r="13" spans="1:20" x14ac:dyDescent="0.35">
      <c r="A13" t="s">
        <v>23</v>
      </c>
      <c r="B13">
        <v>109545</v>
      </c>
      <c r="C13" t="s">
        <v>1989</v>
      </c>
      <c r="D13" t="s">
        <v>2087</v>
      </c>
      <c r="E13" s="2">
        <v>45674.58827940972</v>
      </c>
      <c r="F13" t="s">
        <v>2075</v>
      </c>
      <c r="G13" t="s">
        <v>2076</v>
      </c>
      <c r="H13" t="s">
        <v>2077</v>
      </c>
      <c r="I13" t="s">
        <v>842</v>
      </c>
      <c r="J13" t="s">
        <v>30</v>
      </c>
      <c r="K13" t="s">
        <v>31</v>
      </c>
      <c r="L13" t="s">
        <v>44</v>
      </c>
      <c r="M13" t="s">
        <v>28</v>
      </c>
      <c r="N13">
        <v>16</v>
      </c>
      <c r="O13" s="2">
        <v>45607.208333333336</v>
      </c>
      <c r="P13" s="2">
        <v>45714.208333333336</v>
      </c>
      <c r="Q13" t="s">
        <v>57</v>
      </c>
      <c r="R13" t="s">
        <v>36</v>
      </c>
      <c r="S13" t="s">
        <v>33</v>
      </c>
    </row>
    <row r="14" spans="1:20" x14ac:dyDescent="0.35">
      <c r="A14" t="s">
        <v>23</v>
      </c>
      <c r="B14">
        <v>109545</v>
      </c>
      <c r="C14" t="s">
        <v>1989</v>
      </c>
      <c r="D14" t="s">
        <v>2087</v>
      </c>
      <c r="E14" s="2">
        <v>45674.591525011572</v>
      </c>
      <c r="F14" t="s">
        <v>2080</v>
      </c>
      <c r="G14" t="s">
        <v>2081</v>
      </c>
      <c r="H14" t="s">
        <v>2077</v>
      </c>
      <c r="I14" t="s">
        <v>842</v>
      </c>
      <c r="J14" t="s">
        <v>30</v>
      </c>
      <c r="K14" t="s">
        <v>31</v>
      </c>
      <c r="L14" t="s">
        <v>44</v>
      </c>
      <c r="M14" t="s">
        <v>28</v>
      </c>
      <c r="N14">
        <v>16</v>
      </c>
      <c r="O14" s="2">
        <v>45607.208333333336</v>
      </c>
      <c r="P14" s="2">
        <v>45714.208333333336</v>
      </c>
      <c r="Q14" t="s">
        <v>57</v>
      </c>
      <c r="R14" t="s">
        <v>36</v>
      </c>
      <c r="S14" t="s">
        <v>33</v>
      </c>
    </row>
    <row r="15" spans="1:20" x14ac:dyDescent="0.35">
      <c r="A15" t="s">
        <v>23</v>
      </c>
      <c r="B15">
        <v>109545</v>
      </c>
      <c r="C15" t="s">
        <v>1989</v>
      </c>
      <c r="D15" t="s">
        <v>2087</v>
      </c>
      <c r="E15" s="2">
        <v>45674.593919421299</v>
      </c>
      <c r="F15" t="s">
        <v>2075</v>
      </c>
      <c r="G15" t="s">
        <v>2092</v>
      </c>
      <c r="H15" t="s">
        <v>2077</v>
      </c>
      <c r="I15" t="s">
        <v>842</v>
      </c>
      <c r="J15" t="s">
        <v>30</v>
      </c>
      <c r="K15" t="s">
        <v>31</v>
      </c>
      <c r="L15" t="s">
        <v>44</v>
      </c>
      <c r="M15" t="s">
        <v>28</v>
      </c>
      <c r="N15">
        <v>16</v>
      </c>
      <c r="O15" s="2">
        <v>45607.208333333336</v>
      </c>
      <c r="P15" s="2">
        <v>45714.208333333336</v>
      </c>
      <c r="Q15" t="s">
        <v>57</v>
      </c>
      <c r="R15" t="s">
        <v>36</v>
      </c>
      <c r="S15" t="s">
        <v>33</v>
      </c>
    </row>
    <row r="16" spans="1:20" x14ac:dyDescent="0.35">
      <c r="A16" t="s">
        <v>23</v>
      </c>
      <c r="B16">
        <v>109710</v>
      </c>
      <c r="C16" t="s">
        <v>1989</v>
      </c>
      <c r="D16" t="s">
        <v>2082</v>
      </c>
      <c r="E16" s="2">
        <v>45799.860058113423</v>
      </c>
      <c r="F16" t="s">
        <v>2075</v>
      </c>
      <c r="G16" t="s">
        <v>2093</v>
      </c>
      <c r="H16" t="s">
        <v>2083</v>
      </c>
      <c r="I16" t="s">
        <v>1426</v>
      </c>
      <c r="J16" t="s">
        <v>30</v>
      </c>
      <c r="K16" t="s">
        <v>31</v>
      </c>
      <c r="L16" t="s">
        <v>44</v>
      </c>
      <c r="M16" t="s">
        <v>28</v>
      </c>
      <c r="O16" s="2">
        <v>45616.208333333336</v>
      </c>
      <c r="P16" s="2">
        <v>45800.166666666664</v>
      </c>
      <c r="Q16" t="s">
        <v>38</v>
      </c>
      <c r="R16" t="s">
        <v>36</v>
      </c>
      <c r="S16" t="s">
        <v>33</v>
      </c>
    </row>
    <row r="17" spans="1:19" x14ac:dyDescent="0.35">
      <c r="A17" t="s">
        <v>23</v>
      </c>
      <c r="B17">
        <v>109710</v>
      </c>
      <c r="C17" t="s">
        <v>1989</v>
      </c>
      <c r="D17" t="s">
        <v>2082</v>
      </c>
      <c r="E17" s="2">
        <v>45799.860670023147</v>
      </c>
      <c r="F17" t="s">
        <v>2080</v>
      </c>
      <c r="G17" t="s">
        <v>2081</v>
      </c>
      <c r="H17" t="s">
        <v>2077</v>
      </c>
      <c r="I17" t="s">
        <v>1426</v>
      </c>
      <c r="J17" t="s">
        <v>30</v>
      </c>
      <c r="K17" t="s">
        <v>31</v>
      </c>
      <c r="L17" t="s">
        <v>44</v>
      </c>
      <c r="M17" t="s">
        <v>28</v>
      </c>
      <c r="O17" s="2">
        <v>45616.208333333336</v>
      </c>
      <c r="P17" s="2">
        <v>45800.166666666664</v>
      </c>
      <c r="Q17" t="s">
        <v>38</v>
      </c>
      <c r="R17" t="s">
        <v>36</v>
      </c>
      <c r="S17" t="s">
        <v>33</v>
      </c>
    </row>
    <row r="18" spans="1:19" x14ac:dyDescent="0.35">
      <c r="A18" t="s">
        <v>23</v>
      </c>
      <c r="B18">
        <v>109710</v>
      </c>
      <c r="C18" t="s">
        <v>1989</v>
      </c>
      <c r="D18" t="s">
        <v>2082</v>
      </c>
      <c r="E18" s="2">
        <v>45799.861300833334</v>
      </c>
      <c r="F18" t="s">
        <v>2080</v>
      </c>
      <c r="G18" t="s">
        <v>2094</v>
      </c>
      <c r="H18" t="s">
        <v>2077</v>
      </c>
      <c r="I18" t="s">
        <v>1426</v>
      </c>
      <c r="J18" t="s">
        <v>30</v>
      </c>
      <c r="K18" t="s">
        <v>31</v>
      </c>
      <c r="L18" t="s">
        <v>44</v>
      </c>
      <c r="M18" t="s">
        <v>28</v>
      </c>
      <c r="O18" s="2">
        <v>45616.208333333336</v>
      </c>
      <c r="P18" s="2">
        <v>45800.166666666664</v>
      </c>
      <c r="Q18" t="s">
        <v>38</v>
      </c>
      <c r="R18" t="s">
        <v>36</v>
      </c>
      <c r="S18" t="s">
        <v>33</v>
      </c>
    </row>
    <row r="19" spans="1:19" x14ac:dyDescent="0.35">
      <c r="A19" t="s">
        <v>23</v>
      </c>
      <c r="B19">
        <v>109887</v>
      </c>
      <c r="C19" t="s">
        <v>1982</v>
      </c>
      <c r="D19" t="s">
        <v>2074</v>
      </c>
      <c r="E19" s="2">
        <v>45659.663428611108</v>
      </c>
      <c r="F19" t="s">
        <v>2080</v>
      </c>
      <c r="G19" t="s">
        <v>2095</v>
      </c>
      <c r="H19" t="s">
        <v>2077</v>
      </c>
      <c r="I19" t="s">
        <v>1280</v>
      </c>
      <c r="J19" t="s">
        <v>30</v>
      </c>
      <c r="K19" t="s">
        <v>31</v>
      </c>
      <c r="L19" t="s">
        <v>44</v>
      </c>
      <c r="M19" t="s">
        <v>28</v>
      </c>
      <c r="O19" s="2">
        <v>45628.208333333336</v>
      </c>
      <c r="P19" s="2">
        <v>45723.208333333336</v>
      </c>
      <c r="Q19" t="s">
        <v>57</v>
      </c>
      <c r="R19" t="s">
        <v>76</v>
      </c>
      <c r="S19" t="s">
        <v>33</v>
      </c>
    </row>
    <row r="20" spans="1:19" x14ac:dyDescent="0.35">
      <c r="A20" t="s">
        <v>23</v>
      </c>
      <c r="B20">
        <v>110045</v>
      </c>
      <c r="C20" t="s">
        <v>1989</v>
      </c>
      <c r="D20" t="s">
        <v>2087</v>
      </c>
      <c r="E20" s="2">
        <v>45778.589198414353</v>
      </c>
      <c r="F20" t="s">
        <v>2075</v>
      </c>
      <c r="G20" t="s">
        <v>2092</v>
      </c>
      <c r="H20" t="s">
        <v>2077</v>
      </c>
      <c r="I20" t="s">
        <v>103</v>
      </c>
      <c r="J20" t="s">
        <v>30</v>
      </c>
      <c r="K20" t="s">
        <v>31</v>
      </c>
      <c r="L20" t="s">
        <v>44</v>
      </c>
      <c r="M20" t="s">
        <v>46</v>
      </c>
      <c r="N20">
        <v>11</v>
      </c>
      <c r="O20" s="2">
        <v>45636.208333333336</v>
      </c>
      <c r="P20" s="2">
        <v>45776.166666666664</v>
      </c>
      <c r="Q20" t="s">
        <v>57</v>
      </c>
      <c r="R20" t="s">
        <v>36</v>
      </c>
      <c r="S20" t="s">
        <v>33</v>
      </c>
    </row>
    <row r="21" spans="1:19" x14ac:dyDescent="0.35">
      <c r="A21" t="s">
        <v>23</v>
      </c>
      <c r="B21">
        <v>110127</v>
      </c>
      <c r="C21" t="s">
        <v>1988</v>
      </c>
      <c r="D21" t="s">
        <v>2096</v>
      </c>
      <c r="E21" s="2">
        <v>45828.574594189813</v>
      </c>
      <c r="F21" t="s">
        <v>2075</v>
      </c>
      <c r="G21" t="s">
        <v>2076</v>
      </c>
      <c r="H21" t="s">
        <v>2077</v>
      </c>
      <c r="I21" t="s">
        <v>2097</v>
      </c>
      <c r="J21" t="s">
        <v>30</v>
      </c>
      <c r="K21" t="s">
        <v>70</v>
      </c>
      <c r="L21" t="s">
        <v>26</v>
      </c>
      <c r="M21" t="s">
        <v>28</v>
      </c>
      <c r="N21">
        <v>36</v>
      </c>
      <c r="O21" s="2">
        <v>45638.208333333336</v>
      </c>
      <c r="P21" s="2">
        <v>45881.166666666664</v>
      </c>
      <c r="Q21" t="s">
        <v>57</v>
      </c>
      <c r="R21" t="s">
        <v>98</v>
      </c>
      <c r="S21" t="s">
        <v>33</v>
      </c>
    </row>
    <row r="22" spans="1:19" x14ac:dyDescent="0.35">
      <c r="A22" t="s">
        <v>23</v>
      </c>
      <c r="B22">
        <v>110312</v>
      </c>
      <c r="C22" t="s">
        <v>1988</v>
      </c>
      <c r="D22" t="s">
        <v>2098</v>
      </c>
      <c r="E22" s="2">
        <v>45763.930279050925</v>
      </c>
      <c r="F22" t="s">
        <v>2075</v>
      </c>
      <c r="G22" t="s">
        <v>2099</v>
      </c>
      <c r="H22" t="s">
        <v>2077</v>
      </c>
      <c r="I22" t="s">
        <v>727</v>
      </c>
      <c r="J22" t="s">
        <v>30</v>
      </c>
      <c r="K22" t="s">
        <v>31</v>
      </c>
      <c r="L22" t="s">
        <v>44</v>
      </c>
      <c r="M22" t="s">
        <v>28</v>
      </c>
      <c r="N22">
        <v>12</v>
      </c>
      <c r="O22" s="2">
        <v>45653.208333333336</v>
      </c>
      <c r="P22" s="2">
        <v>45779.166666666664</v>
      </c>
      <c r="Q22" t="s">
        <v>57</v>
      </c>
      <c r="R22" t="s">
        <v>54</v>
      </c>
      <c r="S22" t="s">
        <v>33</v>
      </c>
    </row>
    <row r="23" spans="1:19" x14ac:dyDescent="0.35">
      <c r="A23" t="s">
        <v>23</v>
      </c>
      <c r="B23">
        <v>110312</v>
      </c>
      <c r="C23" t="s">
        <v>1988</v>
      </c>
      <c r="D23" t="s">
        <v>2098</v>
      </c>
      <c r="E23" s="2">
        <v>45763.93069479167</v>
      </c>
      <c r="F23" t="s">
        <v>2075</v>
      </c>
      <c r="G23" t="s">
        <v>2092</v>
      </c>
      <c r="H23" t="s">
        <v>2077</v>
      </c>
      <c r="I23" t="s">
        <v>727</v>
      </c>
      <c r="J23" t="s">
        <v>30</v>
      </c>
      <c r="K23" t="s">
        <v>31</v>
      </c>
      <c r="L23" t="s">
        <v>44</v>
      </c>
      <c r="M23" t="s">
        <v>28</v>
      </c>
      <c r="N23">
        <v>12</v>
      </c>
      <c r="O23" s="2">
        <v>45653.208333333336</v>
      </c>
      <c r="P23" s="2">
        <v>45779.166666666664</v>
      </c>
      <c r="Q23" t="s">
        <v>57</v>
      </c>
      <c r="R23" t="s">
        <v>54</v>
      </c>
      <c r="S23" t="s">
        <v>33</v>
      </c>
    </row>
    <row r="24" spans="1:19" x14ac:dyDescent="0.35">
      <c r="A24" t="s">
        <v>23</v>
      </c>
      <c r="B24">
        <v>110312</v>
      </c>
      <c r="C24" t="s">
        <v>1988</v>
      </c>
      <c r="D24" t="s">
        <v>2098</v>
      </c>
      <c r="E24" s="2">
        <v>45763.931386863427</v>
      </c>
      <c r="F24" t="s">
        <v>2080</v>
      </c>
      <c r="G24" t="s">
        <v>2100</v>
      </c>
      <c r="H24" t="s">
        <v>2077</v>
      </c>
      <c r="I24" t="s">
        <v>727</v>
      </c>
      <c r="J24" t="s">
        <v>30</v>
      </c>
      <c r="K24" t="s">
        <v>31</v>
      </c>
      <c r="L24" t="s">
        <v>44</v>
      </c>
      <c r="M24" t="s">
        <v>28</v>
      </c>
      <c r="N24">
        <v>12</v>
      </c>
      <c r="O24" s="2">
        <v>45653.208333333336</v>
      </c>
      <c r="P24" s="2">
        <v>45779.166666666664</v>
      </c>
      <c r="Q24" t="s">
        <v>57</v>
      </c>
      <c r="R24" t="s">
        <v>54</v>
      </c>
      <c r="S24" t="s">
        <v>33</v>
      </c>
    </row>
    <row r="25" spans="1:19" x14ac:dyDescent="0.35">
      <c r="A25" t="s">
        <v>23</v>
      </c>
      <c r="B25">
        <v>110312</v>
      </c>
      <c r="C25" t="s">
        <v>1988</v>
      </c>
      <c r="D25" t="s">
        <v>2098</v>
      </c>
      <c r="E25" s="2">
        <v>45763.933292303242</v>
      </c>
      <c r="F25" t="s">
        <v>2080</v>
      </c>
      <c r="G25" t="s">
        <v>2095</v>
      </c>
      <c r="H25" t="s">
        <v>2077</v>
      </c>
      <c r="I25" t="s">
        <v>727</v>
      </c>
      <c r="J25" t="s">
        <v>30</v>
      </c>
      <c r="K25" t="s">
        <v>31</v>
      </c>
      <c r="L25" t="s">
        <v>44</v>
      </c>
      <c r="M25" t="s">
        <v>28</v>
      </c>
      <c r="N25">
        <v>12</v>
      </c>
      <c r="O25" s="2">
        <v>45653.208333333336</v>
      </c>
      <c r="P25" s="2">
        <v>45779.166666666664</v>
      </c>
      <c r="Q25" t="s">
        <v>57</v>
      </c>
      <c r="R25" t="s">
        <v>54</v>
      </c>
      <c r="S25" t="s">
        <v>33</v>
      </c>
    </row>
    <row r="26" spans="1:19" x14ac:dyDescent="0.35">
      <c r="A26" t="s">
        <v>23</v>
      </c>
      <c r="B26">
        <v>110312</v>
      </c>
      <c r="C26" t="s">
        <v>1988</v>
      </c>
      <c r="D26" t="s">
        <v>2098</v>
      </c>
      <c r="E26" s="2">
        <v>45768.549081689816</v>
      </c>
      <c r="F26" t="s">
        <v>2085</v>
      </c>
      <c r="G26" t="s">
        <v>2101</v>
      </c>
      <c r="H26" t="s">
        <v>2077</v>
      </c>
      <c r="I26" t="s">
        <v>727</v>
      </c>
      <c r="J26" t="s">
        <v>30</v>
      </c>
      <c r="K26" t="s">
        <v>31</v>
      </c>
      <c r="L26" t="s">
        <v>44</v>
      </c>
      <c r="M26" t="s">
        <v>28</v>
      </c>
      <c r="N26">
        <v>12</v>
      </c>
      <c r="O26" s="2">
        <v>45653.208333333336</v>
      </c>
      <c r="P26" s="2">
        <v>45779.166666666664</v>
      </c>
      <c r="Q26" t="s">
        <v>57</v>
      </c>
      <c r="R26" t="s">
        <v>54</v>
      </c>
      <c r="S26" t="s">
        <v>33</v>
      </c>
    </row>
    <row r="27" spans="1:19" x14ac:dyDescent="0.35">
      <c r="A27" t="s">
        <v>23</v>
      </c>
      <c r="B27">
        <v>110856</v>
      </c>
      <c r="C27" t="s">
        <v>1988</v>
      </c>
      <c r="D27" t="s">
        <v>2084</v>
      </c>
      <c r="E27" s="2">
        <v>45860.253652430554</v>
      </c>
      <c r="F27" t="s">
        <v>2085</v>
      </c>
      <c r="G27" t="s">
        <v>2086</v>
      </c>
      <c r="H27" t="s">
        <v>2077</v>
      </c>
      <c r="I27" t="s">
        <v>2102</v>
      </c>
      <c r="J27" t="s">
        <v>30</v>
      </c>
      <c r="K27" t="s">
        <v>31</v>
      </c>
      <c r="L27" t="s">
        <v>44</v>
      </c>
      <c r="M27" t="s">
        <v>28</v>
      </c>
      <c r="N27">
        <v>14</v>
      </c>
      <c r="O27" s="2">
        <v>45686.208333333336</v>
      </c>
      <c r="P27" s="2">
        <v>45868.166666666664</v>
      </c>
      <c r="Q27" t="s">
        <v>57</v>
      </c>
      <c r="R27" t="s">
        <v>98</v>
      </c>
      <c r="S27" t="s">
        <v>81</v>
      </c>
    </row>
    <row r="28" spans="1:19" x14ac:dyDescent="0.35">
      <c r="A28" t="s">
        <v>23</v>
      </c>
      <c r="B28">
        <v>111022</v>
      </c>
      <c r="C28" t="s">
        <v>1982</v>
      </c>
      <c r="D28" t="s">
        <v>2074</v>
      </c>
      <c r="E28" s="2">
        <v>45728.629768622683</v>
      </c>
      <c r="F28" t="s">
        <v>2075</v>
      </c>
      <c r="G28" t="s">
        <v>2076</v>
      </c>
      <c r="H28" t="s">
        <v>2083</v>
      </c>
      <c r="I28" t="s">
        <v>158</v>
      </c>
      <c r="J28" t="s">
        <v>30</v>
      </c>
      <c r="K28" t="s">
        <v>31</v>
      </c>
      <c r="L28" t="s">
        <v>44</v>
      </c>
      <c r="M28" t="s">
        <v>46</v>
      </c>
      <c r="O28" s="2">
        <v>45694.208333333336</v>
      </c>
      <c r="P28" s="2">
        <v>45744.166666666664</v>
      </c>
      <c r="Q28" t="s">
        <v>57</v>
      </c>
      <c r="R28" t="s">
        <v>76</v>
      </c>
      <c r="S28" t="s">
        <v>33</v>
      </c>
    </row>
    <row r="29" spans="1:19" x14ac:dyDescent="0.35">
      <c r="A29" t="s">
        <v>23</v>
      </c>
      <c r="B29">
        <v>111053</v>
      </c>
      <c r="C29" t="s">
        <v>1988</v>
      </c>
      <c r="D29" t="s">
        <v>2098</v>
      </c>
      <c r="E29" s="2">
        <v>45707.935973865744</v>
      </c>
      <c r="F29" t="s">
        <v>2078</v>
      </c>
      <c r="G29" t="s">
        <v>2079</v>
      </c>
      <c r="H29" t="s">
        <v>2077</v>
      </c>
      <c r="I29" t="s">
        <v>151</v>
      </c>
      <c r="J29" t="s">
        <v>30</v>
      </c>
      <c r="K29" t="s">
        <v>31</v>
      </c>
      <c r="L29" t="s">
        <v>44</v>
      </c>
      <c r="M29" t="s">
        <v>46</v>
      </c>
      <c r="O29" s="2">
        <v>45695.208333333336</v>
      </c>
      <c r="P29" s="2">
        <v>45716.208333333336</v>
      </c>
      <c r="Q29" t="s">
        <v>57</v>
      </c>
      <c r="R29" t="s">
        <v>54</v>
      </c>
      <c r="S29" t="s">
        <v>33</v>
      </c>
    </row>
    <row r="30" spans="1:19" x14ac:dyDescent="0.35">
      <c r="A30" t="s">
        <v>23</v>
      </c>
      <c r="B30">
        <v>111053</v>
      </c>
      <c r="C30" t="s">
        <v>1988</v>
      </c>
      <c r="D30" t="s">
        <v>2098</v>
      </c>
      <c r="E30" s="2">
        <v>45707.936379409723</v>
      </c>
      <c r="F30" t="s">
        <v>2075</v>
      </c>
      <c r="G30" t="s">
        <v>2099</v>
      </c>
      <c r="H30" t="s">
        <v>2077</v>
      </c>
      <c r="I30" t="s">
        <v>151</v>
      </c>
      <c r="J30" t="s">
        <v>30</v>
      </c>
      <c r="K30" t="s">
        <v>31</v>
      </c>
      <c r="L30" t="s">
        <v>44</v>
      </c>
      <c r="M30" t="s">
        <v>46</v>
      </c>
      <c r="O30" s="2">
        <v>45695.208333333336</v>
      </c>
      <c r="P30" s="2">
        <v>45716.208333333336</v>
      </c>
      <c r="Q30" t="s">
        <v>57</v>
      </c>
      <c r="R30" t="s">
        <v>54</v>
      </c>
      <c r="S30" t="s">
        <v>33</v>
      </c>
    </row>
    <row r="31" spans="1:19" x14ac:dyDescent="0.35">
      <c r="A31" t="s">
        <v>23</v>
      </c>
      <c r="B31">
        <v>111053</v>
      </c>
      <c r="C31" t="s">
        <v>1988</v>
      </c>
      <c r="D31" t="s">
        <v>2098</v>
      </c>
      <c r="E31" s="2">
        <v>45707.936815451387</v>
      </c>
      <c r="F31" t="s">
        <v>2080</v>
      </c>
      <c r="G31" t="s">
        <v>2103</v>
      </c>
      <c r="H31" t="s">
        <v>2077</v>
      </c>
      <c r="I31" t="s">
        <v>151</v>
      </c>
      <c r="J31" t="s">
        <v>30</v>
      </c>
      <c r="K31" t="s">
        <v>31</v>
      </c>
      <c r="L31" t="s">
        <v>44</v>
      </c>
      <c r="M31" t="s">
        <v>46</v>
      </c>
      <c r="O31" s="2">
        <v>45695.208333333336</v>
      </c>
      <c r="P31" s="2">
        <v>45716.208333333336</v>
      </c>
      <c r="Q31" t="s">
        <v>57</v>
      </c>
      <c r="R31" t="s">
        <v>54</v>
      </c>
      <c r="S31" t="s">
        <v>33</v>
      </c>
    </row>
    <row r="32" spans="1:19" x14ac:dyDescent="0.35">
      <c r="A32" t="s">
        <v>23</v>
      </c>
      <c r="B32">
        <v>111053</v>
      </c>
      <c r="C32" t="s">
        <v>1988</v>
      </c>
      <c r="D32" t="s">
        <v>2098</v>
      </c>
      <c r="E32" s="2">
        <v>45707.937148391204</v>
      </c>
      <c r="F32" t="s">
        <v>2080</v>
      </c>
      <c r="G32" t="s">
        <v>2081</v>
      </c>
      <c r="H32" t="s">
        <v>2077</v>
      </c>
      <c r="I32" t="s">
        <v>151</v>
      </c>
      <c r="J32" t="s">
        <v>30</v>
      </c>
      <c r="K32" t="s">
        <v>31</v>
      </c>
      <c r="L32" t="s">
        <v>44</v>
      </c>
      <c r="M32" t="s">
        <v>46</v>
      </c>
      <c r="O32" s="2">
        <v>45695.208333333336</v>
      </c>
      <c r="P32" s="2">
        <v>45716.208333333336</v>
      </c>
      <c r="Q32" t="s">
        <v>57</v>
      </c>
      <c r="R32" t="s">
        <v>54</v>
      </c>
      <c r="S32" t="s">
        <v>33</v>
      </c>
    </row>
    <row r="33" spans="1:19" x14ac:dyDescent="0.35">
      <c r="A33" t="s">
        <v>23</v>
      </c>
      <c r="B33">
        <v>111053</v>
      </c>
      <c r="C33" t="s">
        <v>1988</v>
      </c>
      <c r="D33" t="s">
        <v>2098</v>
      </c>
      <c r="E33" s="2">
        <v>45707.937668576385</v>
      </c>
      <c r="F33" t="s">
        <v>2080</v>
      </c>
      <c r="G33" t="s">
        <v>2095</v>
      </c>
      <c r="H33" t="s">
        <v>2077</v>
      </c>
      <c r="I33" t="s">
        <v>151</v>
      </c>
      <c r="J33" t="s">
        <v>30</v>
      </c>
      <c r="K33" t="s">
        <v>31</v>
      </c>
      <c r="L33" t="s">
        <v>44</v>
      </c>
      <c r="M33" t="s">
        <v>46</v>
      </c>
      <c r="O33" s="2">
        <v>45695.208333333336</v>
      </c>
      <c r="P33" s="2">
        <v>45716.208333333336</v>
      </c>
      <c r="Q33" t="s">
        <v>57</v>
      </c>
      <c r="R33" t="s">
        <v>54</v>
      </c>
      <c r="S33" t="s">
        <v>33</v>
      </c>
    </row>
    <row r="34" spans="1:19" x14ac:dyDescent="0.35">
      <c r="A34" t="s">
        <v>23</v>
      </c>
      <c r="B34">
        <v>111315</v>
      </c>
      <c r="C34" t="s">
        <v>1989</v>
      </c>
      <c r="D34" t="s">
        <v>2087</v>
      </c>
      <c r="E34" s="2">
        <v>45840.597942245367</v>
      </c>
      <c r="F34" t="s">
        <v>2078</v>
      </c>
      <c r="G34" t="s">
        <v>2104</v>
      </c>
      <c r="H34" t="s">
        <v>2077</v>
      </c>
      <c r="I34" t="s">
        <v>99</v>
      </c>
      <c r="J34" t="s">
        <v>30</v>
      </c>
      <c r="K34" t="s">
        <v>31</v>
      </c>
      <c r="L34" t="s">
        <v>44</v>
      </c>
      <c r="M34" t="s">
        <v>46</v>
      </c>
      <c r="N34">
        <v>10</v>
      </c>
      <c r="O34" s="2">
        <v>45712.208333333336</v>
      </c>
      <c r="P34" s="2">
        <v>45849.166666666664</v>
      </c>
      <c r="Q34" t="s">
        <v>57</v>
      </c>
      <c r="R34" t="s">
        <v>98</v>
      </c>
      <c r="S34" t="s">
        <v>81</v>
      </c>
    </row>
    <row r="35" spans="1:19" x14ac:dyDescent="0.35">
      <c r="A35" t="s">
        <v>23</v>
      </c>
      <c r="B35">
        <v>111335</v>
      </c>
      <c r="C35" t="s">
        <v>1989</v>
      </c>
      <c r="D35" t="s">
        <v>2087</v>
      </c>
      <c r="E35" s="2">
        <v>45813.757268611109</v>
      </c>
      <c r="F35" t="s">
        <v>2080</v>
      </c>
      <c r="G35" t="s">
        <v>2081</v>
      </c>
      <c r="H35" t="s">
        <v>2077</v>
      </c>
      <c r="I35" t="s">
        <v>155</v>
      </c>
      <c r="J35" t="s">
        <v>30</v>
      </c>
      <c r="K35" t="s">
        <v>31</v>
      </c>
      <c r="L35" t="s">
        <v>44</v>
      </c>
      <c r="M35" t="s">
        <v>46</v>
      </c>
      <c r="O35" s="2">
        <v>45712.208333333336</v>
      </c>
      <c r="P35" s="2">
        <v>45819.166666666664</v>
      </c>
      <c r="Q35" t="s">
        <v>57</v>
      </c>
      <c r="R35" t="s">
        <v>36</v>
      </c>
      <c r="S35" t="s">
        <v>33</v>
      </c>
    </row>
    <row r="36" spans="1:19" x14ac:dyDescent="0.35">
      <c r="A36" t="s">
        <v>23</v>
      </c>
      <c r="B36">
        <v>111335</v>
      </c>
      <c r="C36" t="s">
        <v>1989</v>
      </c>
      <c r="D36" t="s">
        <v>2087</v>
      </c>
      <c r="E36" s="2">
        <v>45813.758005138887</v>
      </c>
      <c r="F36" t="s">
        <v>2085</v>
      </c>
      <c r="G36" t="s">
        <v>2086</v>
      </c>
      <c r="H36" t="s">
        <v>2077</v>
      </c>
      <c r="I36" t="s">
        <v>155</v>
      </c>
      <c r="J36" t="s">
        <v>30</v>
      </c>
      <c r="K36" t="s">
        <v>31</v>
      </c>
      <c r="L36" t="s">
        <v>44</v>
      </c>
      <c r="M36" t="s">
        <v>46</v>
      </c>
      <c r="O36" s="2">
        <v>45712.208333333336</v>
      </c>
      <c r="P36" s="2">
        <v>45819.166666666664</v>
      </c>
      <c r="Q36" t="s">
        <v>57</v>
      </c>
      <c r="R36" t="s">
        <v>36</v>
      </c>
      <c r="S36" t="s">
        <v>33</v>
      </c>
    </row>
    <row r="37" spans="1:19" x14ac:dyDescent="0.35">
      <c r="A37" t="s">
        <v>23</v>
      </c>
      <c r="B37">
        <v>111395</v>
      </c>
      <c r="C37" t="s">
        <v>1988</v>
      </c>
      <c r="D37" t="s">
        <v>2098</v>
      </c>
      <c r="E37" s="2">
        <v>45839.823628078702</v>
      </c>
      <c r="F37" t="s">
        <v>2075</v>
      </c>
      <c r="G37" t="s">
        <v>2105</v>
      </c>
      <c r="H37" t="s">
        <v>2077</v>
      </c>
      <c r="I37" t="s">
        <v>108</v>
      </c>
      <c r="J37" t="s">
        <v>30</v>
      </c>
      <c r="K37" t="s">
        <v>31</v>
      </c>
      <c r="L37" t="s">
        <v>44</v>
      </c>
      <c r="M37" t="s">
        <v>46</v>
      </c>
      <c r="N37">
        <v>12</v>
      </c>
      <c r="O37" s="2">
        <v>45714.208333333336</v>
      </c>
      <c r="P37" s="2">
        <v>45849.166666666664</v>
      </c>
      <c r="Q37" t="s">
        <v>57</v>
      </c>
      <c r="R37" t="s">
        <v>98</v>
      </c>
      <c r="S37" t="s">
        <v>33</v>
      </c>
    </row>
    <row r="38" spans="1:19" x14ac:dyDescent="0.35">
      <c r="A38" t="s">
        <v>23</v>
      </c>
      <c r="B38">
        <v>111395</v>
      </c>
      <c r="C38" t="s">
        <v>1988</v>
      </c>
      <c r="D38" t="s">
        <v>2098</v>
      </c>
      <c r="E38" s="2">
        <v>45839.823949548612</v>
      </c>
      <c r="F38" t="s">
        <v>2075</v>
      </c>
      <c r="G38" t="s">
        <v>2106</v>
      </c>
      <c r="H38" t="s">
        <v>2077</v>
      </c>
      <c r="I38" t="s">
        <v>108</v>
      </c>
      <c r="J38" t="s">
        <v>30</v>
      </c>
      <c r="K38" t="s">
        <v>31</v>
      </c>
      <c r="L38" t="s">
        <v>44</v>
      </c>
      <c r="M38" t="s">
        <v>46</v>
      </c>
      <c r="N38">
        <v>12</v>
      </c>
      <c r="O38" s="2">
        <v>45714.208333333336</v>
      </c>
      <c r="P38" s="2">
        <v>45849.166666666664</v>
      </c>
      <c r="Q38" t="s">
        <v>57</v>
      </c>
      <c r="R38" t="s">
        <v>98</v>
      </c>
      <c r="S38" t="s">
        <v>33</v>
      </c>
    </row>
    <row r="39" spans="1:19" x14ac:dyDescent="0.35">
      <c r="A39" t="s">
        <v>23</v>
      </c>
      <c r="B39">
        <v>111395</v>
      </c>
      <c r="C39" t="s">
        <v>1988</v>
      </c>
      <c r="D39" t="s">
        <v>2098</v>
      </c>
      <c r="E39" s="2">
        <v>45839.824346099536</v>
      </c>
      <c r="F39" t="s">
        <v>2080</v>
      </c>
      <c r="G39" t="s">
        <v>2081</v>
      </c>
      <c r="H39" t="s">
        <v>2077</v>
      </c>
      <c r="I39" t="s">
        <v>108</v>
      </c>
      <c r="J39" t="s">
        <v>30</v>
      </c>
      <c r="K39" t="s">
        <v>31</v>
      </c>
      <c r="L39" t="s">
        <v>44</v>
      </c>
      <c r="M39" t="s">
        <v>46</v>
      </c>
      <c r="N39">
        <v>12</v>
      </c>
      <c r="O39" s="2">
        <v>45714.208333333336</v>
      </c>
      <c r="P39" s="2">
        <v>45849.166666666664</v>
      </c>
      <c r="Q39" t="s">
        <v>57</v>
      </c>
      <c r="R39" t="s">
        <v>98</v>
      </c>
      <c r="S39" t="s">
        <v>33</v>
      </c>
    </row>
    <row r="40" spans="1:19" x14ac:dyDescent="0.35">
      <c r="A40" t="s">
        <v>23</v>
      </c>
      <c r="B40">
        <v>111395</v>
      </c>
      <c r="C40" t="s">
        <v>1988</v>
      </c>
      <c r="D40" t="s">
        <v>2098</v>
      </c>
      <c r="E40" s="2">
        <v>45839.824698611112</v>
      </c>
      <c r="F40" t="s">
        <v>2080</v>
      </c>
      <c r="G40" t="s">
        <v>2094</v>
      </c>
      <c r="H40" t="s">
        <v>2077</v>
      </c>
      <c r="I40" t="s">
        <v>108</v>
      </c>
      <c r="J40" t="s">
        <v>30</v>
      </c>
      <c r="K40" t="s">
        <v>31</v>
      </c>
      <c r="L40" t="s">
        <v>44</v>
      </c>
      <c r="M40" t="s">
        <v>46</v>
      </c>
      <c r="N40">
        <v>12</v>
      </c>
      <c r="O40" s="2">
        <v>45714.208333333336</v>
      </c>
      <c r="P40" s="2">
        <v>45849.166666666664</v>
      </c>
      <c r="Q40" t="s">
        <v>57</v>
      </c>
      <c r="R40" t="s">
        <v>98</v>
      </c>
      <c r="S40" t="s">
        <v>33</v>
      </c>
    </row>
    <row r="41" spans="1:19" x14ac:dyDescent="0.35">
      <c r="A41" t="s">
        <v>23</v>
      </c>
      <c r="B41">
        <v>111395</v>
      </c>
      <c r="C41" t="s">
        <v>1988</v>
      </c>
      <c r="D41" t="s">
        <v>2098</v>
      </c>
      <c r="E41" s="2">
        <v>45839.825642245371</v>
      </c>
      <c r="F41" t="s">
        <v>2085</v>
      </c>
      <c r="G41" t="s">
        <v>2086</v>
      </c>
      <c r="H41" t="s">
        <v>2077</v>
      </c>
      <c r="I41" t="s">
        <v>108</v>
      </c>
      <c r="J41" t="s">
        <v>30</v>
      </c>
      <c r="K41" t="s">
        <v>31</v>
      </c>
      <c r="L41" t="s">
        <v>44</v>
      </c>
      <c r="M41" t="s">
        <v>46</v>
      </c>
      <c r="N41">
        <v>12</v>
      </c>
      <c r="O41" s="2">
        <v>45714.208333333336</v>
      </c>
      <c r="P41" s="2">
        <v>45849.166666666664</v>
      </c>
      <c r="Q41" t="s">
        <v>57</v>
      </c>
      <c r="R41" t="s">
        <v>98</v>
      </c>
      <c r="S41" t="s">
        <v>33</v>
      </c>
    </row>
    <row r="42" spans="1:19" x14ac:dyDescent="0.35">
      <c r="A42" t="s">
        <v>23</v>
      </c>
      <c r="B42">
        <v>111669</v>
      </c>
      <c r="C42" t="s">
        <v>1989</v>
      </c>
      <c r="D42" t="s">
        <v>2082</v>
      </c>
      <c r="E42" s="2">
        <v>45757.506191493056</v>
      </c>
      <c r="F42" t="s">
        <v>2080</v>
      </c>
      <c r="G42" t="s">
        <v>2081</v>
      </c>
      <c r="H42" t="s">
        <v>2077</v>
      </c>
      <c r="I42" t="s">
        <v>728</v>
      </c>
      <c r="J42" t="s">
        <v>30</v>
      </c>
      <c r="K42" t="s">
        <v>31</v>
      </c>
      <c r="L42" t="s">
        <v>44</v>
      </c>
      <c r="M42" t="s">
        <v>28</v>
      </c>
      <c r="N42">
        <v>12</v>
      </c>
      <c r="O42" s="2">
        <v>45728.166666666664</v>
      </c>
      <c r="P42" s="2">
        <v>45791.166666666664</v>
      </c>
      <c r="Q42" t="s">
        <v>57</v>
      </c>
      <c r="R42" t="s">
        <v>54</v>
      </c>
      <c r="S42" t="s">
        <v>81</v>
      </c>
    </row>
    <row r="43" spans="1:19" x14ac:dyDescent="0.35">
      <c r="A43" t="s">
        <v>23</v>
      </c>
      <c r="B43">
        <v>111746</v>
      </c>
      <c r="C43" t="s">
        <v>1982</v>
      </c>
      <c r="D43" t="s">
        <v>2074</v>
      </c>
      <c r="E43" s="2">
        <v>45784.568943356484</v>
      </c>
      <c r="F43" t="s">
        <v>2078</v>
      </c>
      <c r="G43" t="s">
        <v>2104</v>
      </c>
      <c r="H43" t="s">
        <v>2077</v>
      </c>
      <c r="I43" t="s">
        <v>165</v>
      </c>
      <c r="J43" t="s">
        <v>30</v>
      </c>
      <c r="K43" t="s">
        <v>31</v>
      </c>
      <c r="L43" t="s">
        <v>44</v>
      </c>
      <c r="M43" t="s">
        <v>46</v>
      </c>
      <c r="O43" s="2">
        <v>45730.166666666664</v>
      </c>
      <c r="P43" s="2">
        <v>45863.166666666664</v>
      </c>
      <c r="Q43" t="s">
        <v>57</v>
      </c>
      <c r="R43" t="s">
        <v>76</v>
      </c>
      <c r="S43" t="s">
        <v>33</v>
      </c>
    </row>
    <row r="44" spans="1:19" x14ac:dyDescent="0.35">
      <c r="A44" t="s">
        <v>23</v>
      </c>
      <c r="B44">
        <v>111746</v>
      </c>
      <c r="C44" t="s">
        <v>1977</v>
      </c>
      <c r="D44" t="s">
        <v>2107</v>
      </c>
      <c r="E44" s="2">
        <v>45792.659893807868</v>
      </c>
      <c r="F44" t="s">
        <v>2075</v>
      </c>
      <c r="G44" t="s">
        <v>2076</v>
      </c>
      <c r="H44" t="s">
        <v>2077</v>
      </c>
      <c r="I44" t="s">
        <v>165</v>
      </c>
      <c r="J44" t="s">
        <v>30</v>
      </c>
      <c r="K44" t="s">
        <v>31</v>
      </c>
      <c r="L44" t="s">
        <v>44</v>
      </c>
      <c r="M44" t="s">
        <v>46</v>
      </c>
      <c r="O44" s="2">
        <v>45730.166666666664</v>
      </c>
      <c r="P44" s="2">
        <v>45863.166666666664</v>
      </c>
      <c r="Q44" t="s">
        <v>57</v>
      </c>
      <c r="R44" t="s">
        <v>76</v>
      </c>
      <c r="S44" t="s">
        <v>33</v>
      </c>
    </row>
    <row r="45" spans="1:19" x14ac:dyDescent="0.35">
      <c r="A45" t="s">
        <v>23</v>
      </c>
      <c r="B45">
        <v>111757</v>
      </c>
      <c r="C45" t="s">
        <v>1988</v>
      </c>
      <c r="D45" t="s">
        <v>1930</v>
      </c>
      <c r="E45" s="2">
        <v>45799.505135891202</v>
      </c>
      <c r="F45" t="s">
        <v>2075</v>
      </c>
      <c r="G45" t="s">
        <v>2092</v>
      </c>
      <c r="H45" t="s">
        <v>2077</v>
      </c>
      <c r="I45" t="s">
        <v>91</v>
      </c>
      <c r="J45" t="s">
        <v>30</v>
      </c>
      <c r="K45" t="s">
        <v>31</v>
      </c>
      <c r="L45" t="s">
        <v>44</v>
      </c>
      <c r="M45" t="s">
        <v>46</v>
      </c>
      <c r="N45">
        <v>4</v>
      </c>
      <c r="O45" s="2">
        <v>45733.166666666664</v>
      </c>
      <c r="P45" s="2">
        <v>45863.166666666664</v>
      </c>
      <c r="Q45" t="s">
        <v>57</v>
      </c>
      <c r="R45" t="s">
        <v>54</v>
      </c>
      <c r="S45" t="s">
        <v>33</v>
      </c>
    </row>
    <row r="46" spans="1:19" x14ac:dyDescent="0.35">
      <c r="A46" t="s">
        <v>23</v>
      </c>
      <c r="B46">
        <v>111804</v>
      </c>
      <c r="C46" t="s">
        <v>1982</v>
      </c>
      <c r="D46" t="s">
        <v>2084</v>
      </c>
      <c r="E46" s="2">
        <v>45748.037479398146</v>
      </c>
      <c r="F46" t="s">
        <v>2085</v>
      </c>
      <c r="G46" t="s">
        <v>2086</v>
      </c>
      <c r="H46" t="s">
        <v>2077</v>
      </c>
      <c r="I46" t="s">
        <v>1389</v>
      </c>
      <c r="J46" t="s">
        <v>30</v>
      </c>
      <c r="K46" t="s">
        <v>31</v>
      </c>
      <c r="L46" t="s">
        <v>44</v>
      </c>
      <c r="M46" t="s">
        <v>28</v>
      </c>
      <c r="O46" s="2">
        <v>45734.166666666664</v>
      </c>
      <c r="P46" s="2">
        <v>45793.166666666664</v>
      </c>
      <c r="Q46" t="s">
        <v>57</v>
      </c>
      <c r="R46" t="s">
        <v>54</v>
      </c>
      <c r="S46" t="s">
        <v>33</v>
      </c>
    </row>
    <row r="47" spans="1:19" x14ac:dyDescent="0.35">
      <c r="A47" t="s">
        <v>23</v>
      </c>
      <c r="B47">
        <v>111804</v>
      </c>
      <c r="C47" t="s">
        <v>1982</v>
      </c>
      <c r="D47" t="s">
        <v>2084</v>
      </c>
      <c r="E47" s="2">
        <v>45748.044702407409</v>
      </c>
      <c r="F47" t="s">
        <v>2085</v>
      </c>
      <c r="G47" t="s">
        <v>2086</v>
      </c>
      <c r="H47" t="s">
        <v>2077</v>
      </c>
      <c r="I47" t="s">
        <v>1389</v>
      </c>
      <c r="J47" t="s">
        <v>30</v>
      </c>
      <c r="K47" t="s">
        <v>31</v>
      </c>
      <c r="L47" t="s">
        <v>44</v>
      </c>
      <c r="M47" t="s">
        <v>28</v>
      </c>
      <c r="O47" s="2">
        <v>45734.166666666664</v>
      </c>
      <c r="P47" s="2">
        <v>45793.166666666664</v>
      </c>
      <c r="Q47" t="s">
        <v>57</v>
      </c>
      <c r="R47" t="s">
        <v>54</v>
      </c>
      <c r="S47" t="s">
        <v>33</v>
      </c>
    </row>
    <row r="48" spans="1:19" x14ac:dyDescent="0.35">
      <c r="A48" t="s">
        <v>23</v>
      </c>
      <c r="B48">
        <v>112727</v>
      </c>
      <c r="C48" t="s">
        <v>1988</v>
      </c>
      <c r="D48" t="s">
        <v>2287</v>
      </c>
      <c r="E48" s="2">
        <v>45869.792407037035</v>
      </c>
      <c r="F48" t="s">
        <v>2075</v>
      </c>
      <c r="G48" t="s">
        <v>2092</v>
      </c>
      <c r="H48" t="s">
        <v>2077</v>
      </c>
      <c r="I48" t="s">
        <v>2288</v>
      </c>
      <c r="J48" t="s">
        <v>30</v>
      </c>
      <c r="K48" t="s">
        <v>31</v>
      </c>
      <c r="L48" t="s">
        <v>26</v>
      </c>
      <c r="M48" t="s">
        <v>46</v>
      </c>
      <c r="O48" s="2">
        <v>45775.166666666664</v>
      </c>
      <c r="P48" s="2">
        <v>45891.166666666664</v>
      </c>
      <c r="Q48" t="s">
        <v>57</v>
      </c>
      <c r="R48" t="s">
        <v>98</v>
      </c>
      <c r="S48" t="s">
        <v>33</v>
      </c>
    </row>
    <row r="49" spans="1:19" x14ac:dyDescent="0.35">
      <c r="A49" t="s">
        <v>23</v>
      </c>
      <c r="B49">
        <v>112750</v>
      </c>
      <c r="C49" t="s">
        <v>1988</v>
      </c>
      <c r="D49" t="s">
        <v>2098</v>
      </c>
      <c r="E49" s="2">
        <v>45827.678087523149</v>
      </c>
      <c r="F49" t="s">
        <v>2075</v>
      </c>
      <c r="G49" t="s">
        <v>2076</v>
      </c>
      <c r="H49" t="s">
        <v>2077</v>
      </c>
      <c r="I49" t="s">
        <v>96</v>
      </c>
      <c r="J49" t="s">
        <v>30</v>
      </c>
      <c r="K49" t="s">
        <v>31</v>
      </c>
      <c r="L49" t="s">
        <v>44</v>
      </c>
      <c r="M49" t="s">
        <v>46</v>
      </c>
      <c r="N49">
        <v>10</v>
      </c>
      <c r="O49" s="2">
        <v>45775.166666666664</v>
      </c>
      <c r="P49" s="2">
        <v>45877.166666666664</v>
      </c>
      <c r="Q49" t="s">
        <v>57</v>
      </c>
      <c r="R49" t="s">
        <v>54</v>
      </c>
      <c r="S49" t="s">
        <v>33</v>
      </c>
    </row>
    <row r="50" spans="1:19" x14ac:dyDescent="0.35">
      <c r="A50" t="s">
        <v>23</v>
      </c>
      <c r="B50">
        <v>112750</v>
      </c>
      <c r="C50" t="s">
        <v>1988</v>
      </c>
      <c r="D50" t="s">
        <v>2098</v>
      </c>
      <c r="E50" s="2">
        <v>45827.67847082176</v>
      </c>
      <c r="F50" t="s">
        <v>2078</v>
      </c>
      <c r="G50" t="s">
        <v>2108</v>
      </c>
      <c r="H50" t="s">
        <v>2077</v>
      </c>
      <c r="I50" t="s">
        <v>96</v>
      </c>
      <c r="J50" t="s">
        <v>30</v>
      </c>
      <c r="K50" t="s">
        <v>31</v>
      </c>
      <c r="L50" t="s">
        <v>44</v>
      </c>
      <c r="M50" t="s">
        <v>46</v>
      </c>
      <c r="N50">
        <v>10</v>
      </c>
      <c r="O50" s="2">
        <v>45775.166666666664</v>
      </c>
      <c r="P50" s="2">
        <v>45877.166666666664</v>
      </c>
      <c r="Q50" t="s">
        <v>57</v>
      </c>
      <c r="R50" t="s">
        <v>54</v>
      </c>
      <c r="S50" t="s">
        <v>33</v>
      </c>
    </row>
    <row r="51" spans="1:19" x14ac:dyDescent="0.35">
      <c r="A51" t="s">
        <v>23</v>
      </c>
      <c r="B51">
        <v>112750</v>
      </c>
      <c r="C51" t="s">
        <v>1988</v>
      </c>
      <c r="D51" t="s">
        <v>2098</v>
      </c>
      <c r="E51" s="2">
        <v>45827.678896331017</v>
      </c>
      <c r="F51" t="s">
        <v>2075</v>
      </c>
      <c r="G51" t="s">
        <v>2099</v>
      </c>
      <c r="H51" t="s">
        <v>2077</v>
      </c>
      <c r="I51" t="s">
        <v>96</v>
      </c>
      <c r="J51" t="s">
        <v>30</v>
      </c>
      <c r="K51" t="s">
        <v>31</v>
      </c>
      <c r="L51" t="s">
        <v>44</v>
      </c>
      <c r="M51" t="s">
        <v>46</v>
      </c>
      <c r="N51">
        <v>10</v>
      </c>
      <c r="O51" s="2">
        <v>45775.166666666664</v>
      </c>
      <c r="P51" s="2">
        <v>45877.166666666664</v>
      </c>
      <c r="Q51" t="s">
        <v>57</v>
      </c>
      <c r="R51" t="s">
        <v>54</v>
      </c>
      <c r="S51" t="s">
        <v>33</v>
      </c>
    </row>
    <row r="52" spans="1:19" x14ac:dyDescent="0.35">
      <c r="A52" t="s">
        <v>23</v>
      </c>
      <c r="B52">
        <v>112750</v>
      </c>
      <c r="C52" t="s">
        <v>1988</v>
      </c>
      <c r="D52" t="s">
        <v>2098</v>
      </c>
      <c r="E52" s="2">
        <v>45827.679180358798</v>
      </c>
      <c r="F52" t="s">
        <v>2075</v>
      </c>
      <c r="G52" t="s">
        <v>2092</v>
      </c>
      <c r="H52" t="s">
        <v>2077</v>
      </c>
      <c r="I52" t="s">
        <v>96</v>
      </c>
      <c r="J52" t="s">
        <v>30</v>
      </c>
      <c r="K52" t="s">
        <v>31</v>
      </c>
      <c r="L52" t="s">
        <v>44</v>
      </c>
      <c r="M52" t="s">
        <v>46</v>
      </c>
      <c r="N52">
        <v>10</v>
      </c>
      <c r="O52" s="2">
        <v>45775.166666666664</v>
      </c>
      <c r="P52" s="2">
        <v>45877.166666666664</v>
      </c>
      <c r="Q52" t="s">
        <v>57</v>
      </c>
      <c r="R52" t="s">
        <v>54</v>
      </c>
      <c r="S52" t="s">
        <v>33</v>
      </c>
    </row>
    <row r="53" spans="1:19" x14ac:dyDescent="0.35">
      <c r="A53" t="s">
        <v>23</v>
      </c>
      <c r="B53">
        <v>112750</v>
      </c>
      <c r="C53" t="s">
        <v>1988</v>
      </c>
      <c r="D53" t="s">
        <v>2098</v>
      </c>
      <c r="E53" s="2">
        <v>45827.679508275462</v>
      </c>
      <c r="F53" t="s">
        <v>2080</v>
      </c>
      <c r="G53" t="s">
        <v>2081</v>
      </c>
      <c r="H53" t="s">
        <v>2077</v>
      </c>
      <c r="I53" t="s">
        <v>96</v>
      </c>
      <c r="J53" t="s">
        <v>30</v>
      </c>
      <c r="K53" t="s">
        <v>31</v>
      </c>
      <c r="L53" t="s">
        <v>44</v>
      </c>
      <c r="M53" t="s">
        <v>46</v>
      </c>
      <c r="N53">
        <v>10</v>
      </c>
      <c r="O53" s="2">
        <v>45775.166666666664</v>
      </c>
      <c r="P53" s="2">
        <v>45877.166666666664</v>
      </c>
      <c r="Q53" t="s">
        <v>57</v>
      </c>
      <c r="R53" t="s">
        <v>54</v>
      </c>
      <c r="S53" t="s">
        <v>33</v>
      </c>
    </row>
    <row r="54" spans="1:19" x14ac:dyDescent="0.35">
      <c r="A54" t="s">
        <v>23</v>
      </c>
      <c r="B54">
        <v>112750</v>
      </c>
      <c r="C54" t="s">
        <v>1988</v>
      </c>
      <c r="D54" t="s">
        <v>2098</v>
      </c>
      <c r="E54" s="2">
        <v>45827.679873657406</v>
      </c>
      <c r="F54" t="s">
        <v>2080</v>
      </c>
      <c r="G54" t="s">
        <v>2094</v>
      </c>
      <c r="H54" t="s">
        <v>2077</v>
      </c>
      <c r="I54" t="s">
        <v>96</v>
      </c>
      <c r="J54" t="s">
        <v>30</v>
      </c>
      <c r="K54" t="s">
        <v>31</v>
      </c>
      <c r="L54" t="s">
        <v>44</v>
      </c>
      <c r="M54" t="s">
        <v>46</v>
      </c>
      <c r="N54">
        <v>10</v>
      </c>
      <c r="O54" s="2">
        <v>45775.166666666664</v>
      </c>
      <c r="P54" s="2">
        <v>45877.166666666664</v>
      </c>
      <c r="Q54" t="s">
        <v>57</v>
      </c>
      <c r="R54" t="s">
        <v>54</v>
      </c>
      <c r="S54" t="s">
        <v>33</v>
      </c>
    </row>
    <row r="55" spans="1:19" x14ac:dyDescent="0.35">
      <c r="A55" t="s">
        <v>23</v>
      </c>
      <c r="B55">
        <v>113320</v>
      </c>
      <c r="C55" t="s">
        <v>1989</v>
      </c>
      <c r="D55" t="s">
        <v>2082</v>
      </c>
      <c r="E55" s="2">
        <v>45839.716561817128</v>
      </c>
      <c r="F55" t="s">
        <v>2080</v>
      </c>
      <c r="G55" t="s">
        <v>2081</v>
      </c>
      <c r="H55" t="s">
        <v>2083</v>
      </c>
      <c r="I55" t="s">
        <v>83</v>
      </c>
      <c r="J55" t="s">
        <v>30</v>
      </c>
      <c r="K55" t="s">
        <v>31</v>
      </c>
      <c r="L55" t="s">
        <v>44</v>
      </c>
      <c r="M55" t="s">
        <v>46</v>
      </c>
      <c r="N55">
        <v>2</v>
      </c>
      <c r="O55" s="2">
        <v>45806.166666666664</v>
      </c>
      <c r="P55" s="2">
        <v>45841.166666666664</v>
      </c>
      <c r="Q55" t="s">
        <v>38</v>
      </c>
      <c r="R55" t="s">
        <v>54</v>
      </c>
      <c r="S55" t="s">
        <v>81</v>
      </c>
    </row>
    <row r="56" spans="1:19" x14ac:dyDescent="0.35">
      <c r="A56" t="s">
        <v>23</v>
      </c>
      <c r="B56">
        <v>113432</v>
      </c>
      <c r="C56" t="s">
        <v>1989</v>
      </c>
      <c r="D56" t="s">
        <v>2087</v>
      </c>
      <c r="E56" s="2">
        <v>45840.85814340278</v>
      </c>
      <c r="F56" t="s">
        <v>2078</v>
      </c>
      <c r="G56" t="s">
        <v>2109</v>
      </c>
      <c r="H56" t="s">
        <v>2077</v>
      </c>
      <c r="I56" t="s">
        <v>110</v>
      </c>
      <c r="J56" t="s">
        <v>30</v>
      </c>
      <c r="K56" t="s">
        <v>31</v>
      </c>
      <c r="L56" t="s">
        <v>44</v>
      </c>
      <c r="M56" t="s">
        <v>46</v>
      </c>
      <c r="N56">
        <v>13</v>
      </c>
      <c r="O56" s="2">
        <v>45813.166666666664</v>
      </c>
      <c r="P56" s="2">
        <v>45856.166666666664</v>
      </c>
      <c r="Q56" t="s">
        <v>57</v>
      </c>
      <c r="R56" t="s">
        <v>98</v>
      </c>
      <c r="S56" t="s">
        <v>33</v>
      </c>
    </row>
    <row r="57" spans="1:19" x14ac:dyDescent="0.35">
      <c r="A57" t="s">
        <v>23</v>
      </c>
      <c r="B57">
        <v>113432</v>
      </c>
      <c r="C57" t="s">
        <v>1989</v>
      </c>
      <c r="D57" t="s">
        <v>2087</v>
      </c>
      <c r="E57" s="2">
        <v>45840.859241458333</v>
      </c>
      <c r="F57" t="s">
        <v>2075</v>
      </c>
      <c r="G57" t="s">
        <v>2076</v>
      </c>
      <c r="H57" t="s">
        <v>2077</v>
      </c>
      <c r="I57" t="s">
        <v>110</v>
      </c>
      <c r="J57" t="s">
        <v>30</v>
      </c>
      <c r="K57" t="s">
        <v>31</v>
      </c>
      <c r="L57" t="s">
        <v>44</v>
      </c>
      <c r="M57" t="s">
        <v>46</v>
      </c>
      <c r="N57">
        <v>13</v>
      </c>
      <c r="O57" s="2">
        <v>45813.166666666664</v>
      </c>
      <c r="P57" s="2">
        <v>45856.166666666664</v>
      </c>
      <c r="Q57" t="s">
        <v>57</v>
      </c>
      <c r="R57" t="s">
        <v>98</v>
      </c>
      <c r="S57" t="s">
        <v>33</v>
      </c>
    </row>
    <row r="58" spans="1:19" x14ac:dyDescent="0.35">
      <c r="A58" t="s">
        <v>23</v>
      </c>
      <c r="B58">
        <v>113432</v>
      </c>
      <c r="C58" t="s">
        <v>1989</v>
      </c>
      <c r="D58" t="s">
        <v>2087</v>
      </c>
      <c r="E58" s="2">
        <v>45840.860167743056</v>
      </c>
      <c r="F58" t="s">
        <v>2085</v>
      </c>
      <c r="G58" t="s">
        <v>2086</v>
      </c>
      <c r="H58" t="s">
        <v>2077</v>
      </c>
      <c r="I58" t="s">
        <v>110</v>
      </c>
      <c r="J58" t="s">
        <v>30</v>
      </c>
      <c r="K58" t="s">
        <v>31</v>
      </c>
      <c r="L58" t="s">
        <v>44</v>
      </c>
      <c r="M58" t="s">
        <v>46</v>
      </c>
      <c r="N58">
        <v>13</v>
      </c>
      <c r="O58" s="2">
        <v>45813.166666666664</v>
      </c>
      <c r="P58" s="2">
        <v>45856.166666666664</v>
      </c>
      <c r="Q58" t="s">
        <v>57</v>
      </c>
      <c r="R58" t="s">
        <v>98</v>
      </c>
      <c r="S58" t="s">
        <v>33</v>
      </c>
    </row>
    <row r="59" spans="1:19" x14ac:dyDescent="0.35">
      <c r="A59" t="s">
        <v>23</v>
      </c>
      <c r="B59">
        <v>113644</v>
      </c>
      <c r="C59" t="s">
        <v>1982</v>
      </c>
      <c r="D59" t="s">
        <v>2110</v>
      </c>
      <c r="E59" s="2">
        <v>45859.552627314813</v>
      </c>
      <c r="F59" t="s">
        <v>2078</v>
      </c>
      <c r="G59" t="s">
        <v>2108</v>
      </c>
      <c r="H59" t="s">
        <v>2077</v>
      </c>
      <c r="I59" t="s">
        <v>2111</v>
      </c>
      <c r="J59" t="s">
        <v>30</v>
      </c>
      <c r="K59" t="s">
        <v>31</v>
      </c>
      <c r="L59" t="s">
        <v>44</v>
      </c>
      <c r="M59" t="s">
        <v>28</v>
      </c>
      <c r="O59" s="2">
        <v>45824.166666666664</v>
      </c>
      <c r="P59" s="2">
        <v>45903.166666666664</v>
      </c>
      <c r="Q59" t="s">
        <v>57</v>
      </c>
      <c r="R59" t="s">
        <v>76</v>
      </c>
      <c r="S59" t="s">
        <v>33</v>
      </c>
    </row>
    <row r="60" spans="1:19" x14ac:dyDescent="0.35">
      <c r="A60" t="s">
        <v>23</v>
      </c>
      <c r="B60">
        <v>113691</v>
      </c>
      <c r="C60" t="s">
        <v>1988</v>
      </c>
      <c r="D60" t="s">
        <v>2110</v>
      </c>
      <c r="E60" s="2">
        <v>45868.710257361112</v>
      </c>
      <c r="F60" t="s">
        <v>2078</v>
      </c>
      <c r="G60" t="s">
        <v>2108</v>
      </c>
      <c r="H60" t="s">
        <v>2077</v>
      </c>
      <c r="I60" t="s">
        <v>2289</v>
      </c>
      <c r="J60" t="s">
        <v>30</v>
      </c>
      <c r="K60" t="s">
        <v>31</v>
      </c>
      <c r="L60" t="s">
        <v>26</v>
      </c>
      <c r="M60" t="s">
        <v>46</v>
      </c>
      <c r="O60" s="2">
        <v>45826.166666666664</v>
      </c>
      <c r="P60" s="2">
        <v>45910.166666666664</v>
      </c>
      <c r="Q60" t="s">
        <v>57</v>
      </c>
      <c r="R60" t="s">
        <v>76</v>
      </c>
      <c r="S60" t="s">
        <v>33</v>
      </c>
    </row>
    <row r="61" spans="1:19" x14ac:dyDescent="0.35">
      <c r="A61" t="s">
        <v>23</v>
      </c>
      <c r="B61">
        <v>113762</v>
      </c>
      <c r="C61" t="s">
        <v>1988</v>
      </c>
      <c r="D61" t="s">
        <v>461</v>
      </c>
      <c r="E61" s="2">
        <v>45834.854223368056</v>
      </c>
      <c r="F61" t="s">
        <v>2080</v>
      </c>
      <c r="G61" t="s">
        <v>2081</v>
      </c>
      <c r="H61" t="s">
        <v>2077</v>
      </c>
      <c r="I61" t="s">
        <v>171</v>
      </c>
      <c r="J61" t="s">
        <v>30</v>
      </c>
      <c r="K61" t="s">
        <v>31</v>
      </c>
      <c r="L61" t="s">
        <v>44</v>
      </c>
      <c r="M61" t="s">
        <v>46</v>
      </c>
      <c r="O61" s="2">
        <v>45831.166666666664</v>
      </c>
      <c r="P61" s="2">
        <v>45849.166666666664</v>
      </c>
      <c r="Q61" t="s">
        <v>57</v>
      </c>
      <c r="R61" t="s">
        <v>36</v>
      </c>
      <c r="S61" t="s">
        <v>33</v>
      </c>
    </row>
    <row r="62" spans="1:19" x14ac:dyDescent="0.35">
      <c r="A62" t="s">
        <v>23</v>
      </c>
      <c r="B62">
        <v>114136</v>
      </c>
      <c r="C62" t="s">
        <v>1989</v>
      </c>
      <c r="D62" t="s">
        <v>2138</v>
      </c>
      <c r="E62" s="2">
        <v>45869.757345555554</v>
      </c>
      <c r="F62" t="s">
        <v>2080</v>
      </c>
      <c r="G62" t="s">
        <v>2081</v>
      </c>
      <c r="H62" t="s">
        <v>2083</v>
      </c>
      <c r="I62" t="s">
        <v>2278</v>
      </c>
      <c r="J62" t="s">
        <v>30</v>
      </c>
      <c r="K62" t="s">
        <v>31</v>
      </c>
      <c r="L62" t="s">
        <v>44</v>
      </c>
      <c r="M62" t="s">
        <v>46</v>
      </c>
      <c r="O62" s="2">
        <v>45848.166666666664</v>
      </c>
      <c r="P62" s="2">
        <v>45869.166666666664</v>
      </c>
      <c r="Q62" t="s">
        <v>57</v>
      </c>
      <c r="R62" t="s">
        <v>36</v>
      </c>
      <c r="S62" t="s">
        <v>81</v>
      </c>
    </row>
    <row r="63" spans="1:19" x14ac:dyDescent="0.35">
      <c r="A63" t="s">
        <v>23</v>
      </c>
      <c r="B63">
        <v>114136</v>
      </c>
      <c r="C63" t="s">
        <v>1989</v>
      </c>
      <c r="D63" t="s">
        <v>2138</v>
      </c>
      <c r="E63" s="2">
        <v>45869.757567708337</v>
      </c>
      <c r="F63" t="s">
        <v>2080</v>
      </c>
      <c r="G63" t="s">
        <v>2081</v>
      </c>
      <c r="H63" t="s">
        <v>2083</v>
      </c>
      <c r="I63" t="s">
        <v>2278</v>
      </c>
      <c r="J63" t="s">
        <v>30</v>
      </c>
      <c r="K63" t="s">
        <v>31</v>
      </c>
      <c r="L63" t="s">
        <v>44</v>
      </c>
      <c r="M63" t="s">
        <v>46</v>
      </c>
      <c r="O63" s="2">
        <v>45848.166666666664</v>
      </c>
      <c r="P63" s="2">
        <v>45869.166666666664</v>
      </c>
      <c r="Q63" t="s">
        <v>57</v>
      </c>
      <c r="R63" t="s">
        <v>36</v>
      </c>
      <c r="S63" t="s">
        <v>81</v>
      </c>
    </row>
    <row r="64" spans="1:19" x14ac:dyDescent="0.35">
      <c r="A64" t="s">
        <v>23</v>
      </c>
      <c r="B64">
        <v>114136</v>
      </c>
      <c r="C64" t="s">
        <v>1989</v>
      </c>
      <c r="D64" t="s">
        <v>2138</v>
      </c>
      <c r="E64" s="2">
        <v>45869.757762905094</v>
      </c>
      <c r="F64" t="s">
        <v>2080</v>
      </c>
      <c r="G64" t="s">
        <v>2081</v>
      </c>
      <c r="H64" t="s">
        <v>2083</v>
      </c>
      <c r="I64" t="s">
        <v>2278</v>
      </c>
      <c r="J64" t="s">
        <v>30</v>
      </c>
      <c r="K64" t="s">
        <v>31</v>
      </c>
      <c r="L64" t="s">
        <v>44</v>
      </c>
      <c r="M64" t="s">
        <v>46</v>
      </c>
      <c r="O64" s="2">
        <v>45848.166666666664</v>
      </c>
      <c r="P64" s="2">
        <v>45869.166666666664</v>
      </c>
      <c r="Q64" t="s">
        <v>57</v>
      </c>
      <c r="R64" t="s">
        <v>36</v>
      </c>
      <c r="S64" t="s">
        <v>81</v>
      </c>
    </row>
    <row r="65" spans="1:19" x14ac:dyDescent="0.35">
      <c r="A65" t="s">
        <v>23</v>
      </c>
      <c r="B65">
        <v>114136</v>
      </c>
      <c r="C65" t="s">
        <v>1989</v>
      </c>
      <c r="D65" t="s">
        <v>2138</v>
      </c>
      <c r="E65" s="2">
        <v>45869.758263854164</v>
      </c>
      <c r="F65" t="s">
        <v>2075</v>
      </c>
      <c r="G65" t="s">
        <v>2105</v>
      </c>
      <c r="H65" t="s">
        <v>2083</v>
      </c>
      <c r="I65" t="s">
        <v>2278</v>
      </c>
      <c r="J65" t="s">
        <v>30</v>
      </c>
      <c r="K65" t="s">
        <v>31</v>
      </c>
      <c r="L65" t="s">
        <v>44</v>
      </c>
      <c r="M65" t="s">
        <v>46</v>
      </c>
      <c r="O65" s="2">
        <v>45848.166666666664</v>
      </c>
      <c r="P65" s="2">
        <v>45869.166666666664</v>
      </c>
      <c r="Q65" t="s">
        <v>57</v>
      </c>
      <c r="R65" t="s">
        <v>36</v>
      </c>
      <c r="S65" t="s">
        <v>81</v>
      </c>
    </row>
    <row r="66" spans="1:19" x14ac:dyDescent="0.35">
      <c r="A66" t="s">
        <v>23</v>
      </c>
      <c r="B66">
        <v>97184</v>
      </c>
      <c r="C66" t="s">
        <v>1988</v>
      </c>
      <c r="D66" t="s">
        <v>2084</v>
      </c>
      <c r="E66" s="2">
        <v>45700.797580671293</v>
      </c>
      <c r="F66" t="s">
        <v>2085</v>
      </c>
      <c r="G66" t="s">
        <v>2086</v>
      </c>
      <c r="H66" t="s">
        <v>2077</v>
      </c>
      <c r="I66" t="s">
        <v>1185</v>
      </c>
      <c r="J66" t="s">
        <v>30</v>
      </c>
      <c r="K66" t="s">
        <v>70</v>
      </c>
      <c r="L66" t="s">
        <v>44</v>
      </c>
      <c r="M66" t="s">
        <v>28</v>
      </c>
      <c r="O66" s="2">
        <v>44986.208333333336</v>
      </c>
      <c r="P66" s="2">
        <v>45736.166666666664</v>
      </c>
      <c r="Q66" t="s">
        <v>57</v>
      </c>
      <c r="R66" t="s">
        <v>54</v>
      </c>
      <c r="S66" t="s">
        <v>33</v>
      </c>
    </row>
    <row r="67" spans="1:19" x14ac:dyDescent="0.35">
      <c r="A67" t="s">
        <v>23</v>
      </c>
      <c r="B67">
        <v>97184</v>
      </c>
      <c r="C67" t="s">
        <v>1988</v>
      </c>
      <c r="D67" t="s">
        <v>2084</v>
      </c>
      <c r="E67" s="2">
        <v>45706.057408391207</v>
      </c>
      <c r="F67" t="s">
        <v>2085</v>
      </c>
      <c r="G67" t="s">
        <v>2086</v>
      </c>
      <c r="H67" t="s">
        <v>2077</v>
      </c>
      <c r="I67" t="s">
        <v>1185</v>
      </c>
      <c r="J67" t="s">
        <v>30</v>
      </c>
      <c r="K67" t="s">
        <v>70</v>
      </c>
      <c r="L67" t="s">
        <v>44</v>
      </c>
      <c r="M67" t="s">
        <v>28</v>
      </c>
      <c r="O67" s="2">
        <v>44986.208333333336</v>
      </c>
      <c r="P67" s="2">
        <v>45736.166666666664</v>
      </c>
      <c r="Q67" t="s">
        <v>57</v>
      </c>
      <c r="R67" t="s">
        <v>54</v>
      </c>
      <c r="S67" t="s">
        <v>33</v>
      </c>
    </row>
    <row r="68" spans="1:19" x14ac:dyDescent="0.35">
      <c r="A68" t="s">
        <v>23</v>
      </c>
      <c r="B68">
        <v>97184</v>
      </c>
      <c r="C68" t="s">
        <v>1989</v>
      </c>
      <c r="D68" t="s">
        <v>2087</v>
      </c>
      <c r="E68" s="2">
        <v>45728.763002638887</v>
      </c>
      <c r="F68" t="s">
        <v>2078</v>
      </c>
      <c r="G68" t="s">
        <v>2079</v>
      </c>
      <c r="H68" t="s">
        <v>2077</v>
      </c>
      <c r="I68" t="s">
        <v>1185</v>
      </c>
      <c r="J68" t="s">
        <v>30</v>
      </c>
      <c r="K68" t="s">
        <v>70</v>
      </c>
      <c r="L68" t="s">
        <v>44</v>
      </c>
      <c r="M68" t="s">
        <v>28</v>
      </c>
      <c r="O68" s="2">
        <v>44986.208333333336</v>
      </c>
      <c r="P68" s="2">
        <v>45736.166666666664</v>
      </c>
      <c r="Q68" t="s">
        <v>57</v>
      </c>
      <c r="R68" t="s">
        <v>54</v>
      </c>
      <c r="S68" t="s">
        <v>33</v>
      </c>
    </row>
    <row r="69" spans="1:19" x14ac:dyDescent="0.35">
      <c r="A69" t="s">
        <v>23</v>
      </c>
      <c r="B69">
        <v>97184</v>
      </c>
      <c r="C69" t="s">
        <v>1989</v>
      </c>
      <c r="D69" t="s">
        <v>2087</v>
      </c>
      <c r="E69" s="2">
        <v>45728.766290775464</v>
      </c>
      <c r="F69" t="s">
        <v>2080</v>
      </c>
      <c r="G69" t="s">
        <v>2081</v>
      </c>
      <c r="H69" t="s">
        <v>2077</v>
      </c>
      <c r="I69" t="s">
        <v>1185</v>
      </c>
      <c r="J69" t="s">
        <v>30</v>
      </c>
      <c r="K69" t="s">
        <v>70</v>
      </c>
      <c r="L69" t="s">
        <v>44</v>
      </c>
      <c r="M69" t="s">
        <v>28</v>
      </c>
      <c r="O69" s="2">
        <v>44986.208333333336</v>
      </c>
      <c r="P69" s="2">
        <v>45736.166666666664</v>
      </c>
      <c r="Q69" t="s">
        <v>57</v>
      </c>
      <c r="R69" t="s">
        <v>54</v>
      </c>
      <c r="S69" t="s">
        <v>33</v>
      </c>
    </row>
    <row r="70" spans="1:19" x14ac:dyDescent="0.35">
      <c r="A70" t="s">
        <v>23</v>
      </c>
      <c r="B70">
        <v>97184</v>
      </c>
      <c r="C70" t="s">
        <v>1989</v>
      </c>
      <c r="D70" t="s">
        <v>2087</v>
      </c>
      <c r="E70" s="2">
        <v>45728.76787891204</v>
      </c>
      <c r="F70" t="s">
        <v>2085</v>
      </c>
      <c r="G70" t="s">
        <v>2086</v>
      </c>
      <c r="H70" t="s">
        <v>2077</v>
      </c>
      <c r="I70" t="s">
        <v>1185</v>
      </c>
      <c r="J70" t="s">
        <v>30</v>
      </c>
      <c r="K70" t="s">
        <v>70</v>
      </c>
      <c r="L70" t="s">
        <v>44</v>
      </c>
      <c r="M70" t="s">
        <v>28</v>
      </c>
      <c r="O70" s="2">
        <v>44986.208333333336</v>
      </c>
      <c r="P70" s="2">
        <v>45736.166666666664</v>
      </c>
      <c r="Q70" t="s">
        <v>57</v>
      </c>
      <c r="R70" t="s">
        <v>54</v>
      </c>
      <c r="S70" t="s">
        <v>33</v>
      </c>
    </row>
    <row r="71" spans="1:19" x14ac:dyDescent="0.35">
      <c r="A71" t="s">
        <v>23</v>
      </c>
      <c r="B71" t="s">
        <v>737</v>
      </c>
      <c r="C71" t="s">
        <v>1973</v>
      </c>
      <c r="D71" t="s">
        <v>2112</v>
      </c>
      <c r="E71" s="2">
        <v>45692.7067321875</v>
      </c>
      <c r="F71" t="s">
        <v>2113</v>
      </c>
      <c r="G71" t="s">
        <v>2114</v>
      </c>
      <c r="H71" t="s">
        <v>2077</v>
      </c>
      <c r="I71" t="s">
        <v>738</v>
      </c>
      <c r="J71" t="s">
        <v>30</v>
      </c>
      <c r="K71" t="s">
        <v>31</v>
      </c>
      <c r="L71" t="s">
        <v>44</v>
      </c>
      <c r="M71" t="s">
        <v>28</v>
      </c>
      <c r="N71">
        <v>13</v>
      </c>
      <c r="O71" s="2">
        <v>44449.397847222222</v>
      </c>
      <c r="P71" s="2">
        <v>45728.166666666664</v>
      </c>
      <c r="Q71" t="s">
        <v>32</v>
      </c>
      <c r="R71" t="s">
        <v>135</v>
      </c>
    </row>
    <row r="72" spans="1:19" x14ac:dyDescent="0.35">
      <c r="A72" t="s">
        <v>23</v>
      </c>
      <c r="B72" t="s">
        <v>732</v>
      </c>
      <c r="C72" t="s">
        <v>1989</v>
      </c>
      <c r="D72" t="s">
        <v>2087</v>
      </c>
      <c r="E72" s="2">
        <v>45733.634760624998</v>
      </c>
      <c r="F72" t="s">
        <v>2075</v>
      </c>
      <c r="G72" t="s">
        <v>2076</v>
      </c>
      <c r="H72" t="s">
        <v>2077</v>
      </c>
      <c r="I72" t="s">
        <v>733</v>
      </c>
      <c r="J72" t="s">
        <v>30</v>
      </c>
      <c r="K72" t="s">
        <v>70</v>
      </c>
      <c r="L72" t="s">
        <v>44</v>
      </c>
      <c r="M72" t="s">
        <v>28</v>
      </c>
      <c r="N72">
        <v>13</v>
      </c>
      <c r="O72" s="2">
        <v>44784.860173611109</v>
      </c>
      <c r="P72" s="2">
        <v>45707.208333333336</v>
      </c>
      <c r="Q72" t="s">
        <v>38</v>
      </c>
      <c r="R72" t="s">
        <v>54</v>
      </c>
    </row>
    <row r="73" spans="1:19" x14ac:dyDescent="0.35">
      <c r="A73" t="s">
        <v>23</v>
      </c>
      <c r="B73" t="s">
        <v>732</v>
      </c>
      <c r="C73" t="s">
        <v>1989</v>
      </c>
      <c r="D73" t="s">
        <v>2087</v>
      </c>
      <c r="E73" s="2">
        <v>45733.635261446761</v>
      </c>
      <c r="F73" t="s">
        <v>2085</v>
      </c>
      <c r="G73" t="s">
        <v>2086</v>
      </c>
      <c r="H73" t="s">
        <v>2077</v>
      </c>
      <c r="I73" t="s">
        <v>733</v>
      </c>
      <c r="J73" t="s">
        <v>30</v>
      </c>
      <c r="K73" t="s">
        <v>70</v>
      </c>
      <c r="L73" t="s">
        <v>44</v>
      </c>
      <c r="M73" t="s">
        <v>28</v>
      </c>
      <c r="N73">
        <v>13</v>
      </c>
      <c r="O73" s="2">
        <v>44784.860173611109</v>
      </c>
      <c r="P73" s="2">
        <v>45707.208333333336</v>
      </c>
      <c r="Q73" t="s">
        <v>38</v>
      </c>
      <c r="R73" t="s">
        <v>54</v>
      </c>
    </row>
    <row r="74" spans="1:19" x14ac:dyDescent="0.35">
      <c r="A74" t="s">
        <v>23</v>
      </c>
      <c r="B74" t="s">
        <v>732</v>
      </c>
      <c r="C74" t="s">
        <v>1989</v>
      </c>
      <c r="D74" t="s">
        <v>2087</v>
      </c>
      <c r="E74" s="2">
        <v>45733.641086643518</v>
      </c>
      <c r="F74" t="s">
        <v>2080</v>
      </c>
      <c r="G74" t="s">
        <v>2081</v>
      </c>
      <c r="H74" t="s">
        <v>2077</v>
      </c>
      <c r="I74" t="s">
        <v>733</v>
      </c>
      <c r="J74" t="s">
        <v>30</v>
      </c>
      <c r="K74" t="s">
        <v>70</v>
      </c>
      <c r="L74" t="s">
        <v>44</v>
      </c>
      <c r="M74" t="s">
        <v>28</v>
      </c>
      <c r="N74">
        <v>13</v>
      </c>
      <c r="O74" s="2">
        <v>44784.860173611109</v>
      </c>
      <c r="P74" s="2">
        <v>45707.208333333336</v>
      </c>
      <c r="Q74" t="s">
        <v>38</v>
      </c>
      <c r="R74" t="s">
        <v>54</v>
      </c>
    </row>
    <row r="75" spans="1:19" x14ac:dyDescent="0.35">
      <c r="A75" t="s">
        <v>23</v>
      </c>
      <c r="B75" t="s">
        <v>2290</v>
      </c>
      <c r="C75" t="s">
        <v>1988</v>
      </c>
      <c r="D75" t="s">
        <v>269</v>
      </c>
      <c r="E75" s="2">
        <v>45870.661262847221</v>
      </c>
      <c r="F75" t="s">
        <v>2075</v>
      </c>
      <c r="G75" t="s">
        <v>2076</v>
      </c>
      <c r="H75" t="s">
        <v>2077</v>
      </c>
      <c r="I75" t="s">
        <v>2291</v>
      </c>
      <c r="J75" t="s">
        <v>30</v>
      </c>
      <c r="K75" t="s">
        <v>70</v>
      </c>
      <c r="L75" t="s">
        <v>26</v>
      </c>
      <c r="M75" t="s">
        <v>28</v>
      </c>
      <c r="N75">
        <v>12</v>
      </c>
      <c r="O75" s="2">
        <v>44840.946087962962</v>
      </c>
      <c r="P75" s="2">
        <v>45897.166666666664</v>
      </c>
      <c r="Q75" t="s">
        <v>38</v>
      </c>
      <c r="R75" t="s">
        <v>54</v>
      </c>
      <c r="S75" t="s">
        <v>33</v>
      </c>
    </row>
    <row r="76" spans="1:19" x14ac:dyDescent="0.35">
      <c r="A76" t="s">
        <v>23</v>
      </c>
      <c r="B76" t="s">
        <v>2290</v>
      </c>
      <c r="C76" t="s">
        <v>1988</v>
      </c>
      <c r="D76" t="s">
        <v>269</v>
      </c>
      <c r="E76" s="2">
        <v>45870.661516655091</v>
      </c>
      <c r="F76" t="s">
        <v>2075</v>
      </c>
      <c r="G76" t="s">
        <v>2092</v>
      </c>
      <c r="H76" t="s">
        <v>2077</v>
      </c>
      <c r="I76" t="s">
        <v>2291</v>
      </c>
      <c r="J76" t="s">
        <v>30</v>
      </c>
      <c r="K76" t="s">
        <v>70</v>
      </c>
      <c r="L76" t="s">
        <v>26</v>
      </c>
      <c r="M76" t="s">
        <v>28</v>
      </c>
      <c r="N76">
        <v>12</v>
      </c>
      <c r="O76" s="2">
        <v>44840.946087962962</v>
      </c>
      <c r="P76" s="2">
        <v>45897.166666666664</v>
      </c>
      <c r="Q76" t="s">
        <v>38</v>
      </c>
      <c r="R76" t="s">
        <v>54</v>
      </c>
      <c r="S76" t="s">
        <v>33</v>
      </c>
    </row>
    <row r="77" spans="1:19" x14ac:dyDescent="0.35">
      <c r="A77" t="s">
        <v>23</v>
      </c>
      <c r="B77" t="s">
        <v>1047</v>
      </c>
      <c r="C77" t="s">
        <v>1989</v>
      </c>
      <c r="D77" t="s">
        <v>2087</v>
      </c>
      <c r="E77" s="2">
        <v>45707.872474652781</v>
      </c>
      <c r="F77" t="s">
        <v>2085</v>
      </c>
      <c r="G77" t="s">
        <v>2086</v>
      </c>
      <c r="H77" t="s">
        <v>2077</v>
      </c>
      <c r="I77" t="s">
        <v>1048</v>
      </c>
      <c r="J77" t="s">
        <v>30</v>
      </c>
      <c r="K77" t="s">
        <v>70</v>
      </c>
      <c r="L77" t="s">
        <v>44</v>
      </c>
      <c r="M77" t="s">
        <v>28</v>
      </c>
      <c r="O77" s="2">
        <v>44935.037349537037</v>
      </c>
      <c r="P77" s="2">
        <v>45712.208333333336</v>
      </c>
      <c r="Q77" t="s">
        <v>48</v>
      </c>
      <c r="R77" t="s">
        <v>36</v>
      </c>
    </row>
    <row r="78" spans="1:19" x14ac:dyDescent="0.35">
      <c r="A78" t="s">
        <v>23</v>
      </c>
      <c r="B78" t="s">
        <v>771</v>
      </c>
      <c r="C78" t="s">
        <v>1988</v>
      </c>
      <c r="D78" t="s">
        <v>2098</v>
      </c>
      <c r="E78" s="2">
        <v>45730.896236238426</v>
      </c>
      <c r="F78" t="s">
        <v>2078</v>
      </c>
      <c r="G78" t="s">
        <v>2079</v>
      </c>
      <c r="H78" t="s">
        <v>2077</v>
      </c>
      <c r="I78" t="s">
        <v>772</v>
      </c>
      <c r="J78" t="s">
        <v>30</v>
      </c>
      <c r="K78" t="s">
        <v>31</v>
      </c>
      <c r="L78" t="s">
        <v>44</v>
      </c>
      <c r="M78" t="s">
        <v>28</v>
      </c>
      <c r="N78">
        <v>14</v>
      </c>
      <c r="O78" s="2">
        <v>45071.504803240743</v>
      </c>
      <c r="P78" s="2">
        <v>45756.166666666664</v>
      </c>
      <c r="Q78" t="s">
        <v>32</v>
      </c>
      <c r="R78" t="s">
        <v>135</v>
      </c>
    </row>
    <row r="79" spans="1:19" x14ac:dyDescent="0.35">
      <c r="A79" t="s">
        <v>23</v>
      </c>
      <c r="B79" t="s">
        <v>771</v>
      </c>
      <c r="C79" t="s">
        <v>1988</v>
      </c>
      <c r="D79" t="s">
        <v>2098</v>
      </c>
      <c r="E79" s="2">
        <v>45730.896605937502</v>
      </c>
      <c r="F79" t="s">
        <v>2078</v>
      </c>
      <c r="G79" t="s">
        <v>2115</v>
      </c>
      <c r="H79" t="s">
        <v>2077</v>
      </c>
      <c r="I79" t="s">
        <v>772</v>
      </c>
      <c r="J79" t="s">
        <v>30</v>
      </c>
      <c r="K79" t="s">
        <v>31</v>
      </c>
      <c r="L79" t="s">
        <v>44</v>
      </c>
      <c r="M79" t="s">
        <v>28</v>
      </c>
      <c r="N79">
        <v>14</v>
      </c>
      <c r="O79" s="2">
        <v>45071.504803240743</v>
      </c>
      <c r="P79" s="2">
        <v>45756.166666666664</v>
      </c>
      <c r="Q79" t="s">
        <v>32</v>
      </c>
      <c r="R79" t="s">
        <v>135</v>
      </c>
    </row>
    <row r="80" spans="1:19" x14ac:dyDescent="0.35">
      <c r="A80" t="s">
        <v>23</v>
      </c>
      <c r="B80" t="s">
        <v>771</v>
      </c>
      <c r="C80" t="s">
        <v>1988</v>
      </c>
      <c r="D80" t="s">
        <v>2098</v>
      </c>
      <c r="E80" s="2">
        <v>45730.897062372685</v>
      </c>
      <c r="F80" t="s">
        <v>2078</v>
      </c>
      <c r="G80" t="s">
        <v>2116</v>
      </c>
      <c r="H80" t="s">
        <v>2077</v>
      </c>
      <c r="I80" t="s">
        <v>772</v>
      </c>
      <c r="J80" t="s">
        <v>30</v>
      </c>
      <c r="K80" t="s">
        <v>31</v>
      </c>
      <c r="L80" t="s">
        <v>44</v>
      </c>
      <c r="M80" t="s">
        <v>28</v>
      </c>
      <c r="N80">
        <v>14</v>
      </c>
      <c r="O80" s="2">
        <v>45071.504803240743</v>
      </c>
      <c r="P80" s="2">
        <v>45756.166666666664</v>
      </c>
      <c r="Q80" t="s">
        <v>32</v>
      </c>
      <c r="R80" t="s">
        <v>135</v>
      </c>
    </row>
    <row r="81" spans="1:18" x14ac:dyDescent="0.35">
      <c r="A81" t="s">
        <v>23</v>
      </c>
      <c r="B81" t="s">
        <v>771</v>
      </c>
      <c r="C81" t="s">
        <v>1988</v>
      </c>
      <c r="D81" t="s">
        <v>2098</v>
      </c>
      <c r="E81" s="2">
        <v>45730.897786875001</v>
      </c>
      <c r="F81" t="s">
        <v>2075</v>
      </c>
      <c r="G81" t="s">
        <v>2105</v>
      </c>
      <c r="H81" t="s">
        <v>2077</v>
      </c>
      <c r="I81" t="s">
        <v>772</v>
      </c>
      <c r="J81" t="s">
        <v>30</v>
      </c>
      <c r="K81" t="s">
        <v>31</v>
      </c>
      <c r="L81" t="s">
        <v>44</v>
      </c>
      <c r="M81" t="s">
        <v>28</v>
      </c>
      <c r="N81">
        <v>14</v>
      </c>
      <c r="O81" s="2">
        <v>45071.504803240743</v>
      </c>
      <c r="P81" s="2">
        <v>45756.166666666664</v>
      </c>
      <c r="Q81" t="s">
        <v>32</v>
      </c>
      <c r="R81" t="s">
        <v>135</v>
      </c>
    </row>
    <row r="82" spans="1:18" x14ac:dyDescent="0.35">
      <c r="A82" t="s">
        <v>23</v>
      </c>
      <c r="B82" t="s">
        <v>771</v>
      </c>
      <c r="C82" t="s">
        <v>1988</v>
      </c>
      <c r="D82" t="s">
        <v>2098</v>
      </c>
      <c r="E82" s="2">
        <v>45730.898113935182</v>
      </c>
      <c r="F82" t="s">
        <v>2075</v>
      </c>
      <c r="G82" t="s">
        <v>2092</v>
      </c>
      <c r="H82" t="s">
        <v>2077</v>
      </c>
      <c r="I82" t="s">
        <v>772</v>
      </c>
      <c r="J82" t="s">
        <v>30</v>
      </c>
      <c r="K82" t="s">
        <v>31</v>
      </c>
      <c r="L82" t="s">
        <v>44</v>
      </c>
      <c r="M82" t="s">
        <v>28</v>
      </c>
      <c r="N82">
        <v>14</v>
      </c>
      <c r="O82" s="2">
        <v>45071.504803240743</v>
      </c>
      <c r="P82" s="2">
        <v>45756.166666666664</v>
      </c>
      <c r="Q82" t="s">
        <v>32</v>
      </c>
      <c r="R82" t="s">
        <v>135</v>
      </c>
    </row>
    <row r="83" spans="1:18" x14ac:dyDescent="0.35">
      <c r="A83" t="s">
        <v>23</v>
      </c>
      <c r="B83" t="s">
        <v>771</v>
      </c>
      <c r="C83" t="s">
        <v>1988</v>
      </c>
      <c r="D83" t="s">
        <v>2098</v>
      </c>
      <c r="E83" s="2">
        <v>45730.898444375001</v>
      </c>
      <c r="F83" t="s">
        <v>2075</v>
      </c>
      <c r="G83" t="s">
        <v>2092</v>
      </c>
      <c r="H83" t="s">
        <v>2077</v>
      </c>
      <c r="I83" t="s">
        <v>772</v>
      </c>
      <c r="J83" t="s">
        <v>30</v>
      </c>
      <c r="K83" t="s">
        <v>31</v>
      </c>
      <c r="L83" t="s">
        <v>44</v>
      </c>
      <c r="M83" t="s">
        <v>28</v>
      </c>
      <c r="N83">
        <v>14</v>
      </c>
      <c r="O83" s="2">
        <v>45071.504803240743</v>
      </c>
      <c r="P83" s="2">
        <v>45756.166666666664</v>
      </c>
      <c r="Q83" t="s">
        <v>32</v>
      </c>
      <c r="R83" t="s">
        <v>135</v>
      </c>
    </row>
    <row r="84" spans="1:18" x14ac:dyDescent="0.35">
      <c r="A84" t="s">
        <v>23</v>
      </c>
      <c r="B84" t="s">
        <v>771</v>
      </c>
      <c r="C84" t="s">
        <v>1988</v>
      </c>
      <c r="D84" t="s">
        <v>2098</v>
      </c>
      <c r="E84" s="2">
        <v>45730.899301527781</v>
      </c>
      <c r="F84" t="s">
        <v>2080</v>
      </c>
      <c r="G84" t="s">
        <v>2081</v>
      </c>
      <c r="H84" t="s">
        <v>2077</v>
      </c>
      <c r="I84" t="s">
        <v>772</v>
      </c>
      <c r="J84" t="s">
        <v>30</v>
      </c>
      <c r="K84" t="s">
        <v>31</v>
      </c>
      <c r="L84" t="s">
        <v>44</v>
      </c>
      <c r="M84" t="s">
        <v>28</v>
      </c>
      <c r="N84">
        <v>14</v>
      </c>
      <c r="O84" s="2">
        <v>45071.504803240743</v>
      </c>
      <c r="P84" s="2">
        <v>45756.166666666664</v>
      </c>
      <c r="Q84" t="s">
        <v>32</v>
      </c>
      <c r="R84" t="s">
        <v>135</v>
      </c>
    </row>
    <row r="85" spans="1:18" x14ac:dyDescent="0.35">
      <c r="A85" t="s">
        <v>23</v>
      </c>
      <c r="B85" t="s">
        <v>771</v>
      </c>
      <c r="C85" t="s">
        <v>1988</v>
      </c>
      <c r="D85" t="s">
        <v>2098</v>
      </c>
      <c r="E85" s="2">
        <v>45730.89959090278</v>
      </c>
      <c r="F85" t="s">
        <v>2080</v>
      </c>
      <c r="G85" t="s">
        <v>2094</v>
      </c>
      <c r="H85" t="s">
        <v>2077</v>
      </c>
      <c r="I85" t="s">
        <v>772</v>
      </c>
      <c r="J85" t="s">
        <v>30</v>
      </c>
      <c r="K85" t="s">
        <v>31</v>
      </c>
      <c r="L85" t="s">
        <v>44</v>
      </c>
      <c r="M85" t="s">
        <v>28</v>
      </c>
      <c r="N85">
        <v>14</v>
      </c>
      <c r="O85" s="2">
        <v>45071.504803240743</v>
      </c>
      <c r="P85" s="2">
        <v>45756.166666666664</v>
      </c>
      <c r="Q85" t="s">
        <v>32</v>
      </c>
      <c r="R85" t="s">
        <v>135</v>
      </c>
    </row>
    <row r="86" spans="1:18" x14ac:dyDescent="0.35">
      <c r="A86" t="s">
        <v>23</v>
      </c>
      <c r="B86" t="s">
        <v>856</v>
      </c>
      <c r="C86" t="s">
        <v>1989</v>
      </c>
      <c r="D86" t="s">
        <v>2087</v>
      </c>
      <c r="E86" s="2">
        <v>45811.655914386574</v>
      </c>
      <c r="F86" t="s">
        <v>2075</v>
      </c>
      <c r="G86" t="s">
        <v>2092</v>
      </c>
      <c r="H86" t="s">
        <v>2077</v>
      </c>
      <c r="I86" t="s">
        <v>857</v>
      </c>
      <c r="J86" t="s">
        <v>30</v>
      </c>
      <c r="K86" t="s">
        <v>31</v>
      </c>
      <c r="L86" t="s">
        <v>44</v>
      </c>
      <c r="M86" t="s">
        <v>28</v>
      </c>
      <c r="N86">
        <v>17</v>
      </c>
      <c r="O86" s="2">
        <v>45085.325810185182</v>
      </c>
      <c r="P86" s="2">
        <v>45826.166666666664</v>
      </c>
      <c r="Q86" t="s">
        <v>48</v>
      </c>
      <c r="R86" t="s">
        <v>36</v>
      </c>
    </row>
    <row r="87" spans="1:18" x14ac:dyDescent="0.35">
      <c r="A87" t="s">
        <v>23</v>
      </c>
      <c r="B87" t="s">
        <v>856</v>
      </c>
      <c r="C87" t="s">
        <v>1989</v>
      </c>
      <c r="D87" t="s">
        <v>2087</v>
      </c>
      <c r="E87" s="2">
        <v>45811.656260023148</v>
      </c>
      <c r="F87" t="s">
        <v>2080</v>
      </c>
      <c r="G87" t="s">
        <v>2081</v>
      </c>
      <c r="H87" t="s">
        <v>2077</v>
      </c>
      <c r="I87" t="s">
        <v>857</v>
      </c>
      <c r="J87" t="s">
        <v>30</v>
      </c>
      <c r="K87" t="s">
        <v>31</v>
      </c>
      <c r="L87" t="s">
        <v>44</v>
      </c>
      <c r="M87" t="s">
        <v>28</v>
      </c>
      <c r="N87">
        <v>17</v>
      </c>
      <c r="O87" s="2">
        <v>45085.325810185182</v>
      </c>
      <c r="P87" s="2">
        <v>45826.166666666664</v>
      </c>
      <c r="Q87" t="s">
        <v>48</v>
      </c>
      <c r="R87" t="s">
        <v>36</v>
      </c>
    </row>
    <row r="88" spans="1:18" x14ac:dyDescent="0.35">
      <c r="A88" t="s">
        <v>23</v>
      </c>
      <c r="B88" t="s">
        <v>856</v>
      </c>
      <c r="C88" t="s">
        <v>1989</v>
      </c>
      <c r="D88" t="s">
        <v>2087</v>
      </c>
      <c r="E88" s="2">
        <v>45811.657238333333</v>
      </c>
      <c r="F88" t="s">
        <v>2080</v>
      </c>
      <c r="G88" t="s">
        <v>2081</v>
      </c>
      <c r="H88" t="s">
        <v>2077</v>
      </c>
      <c r="I88" t="s">
        <v>857</v>
      </c>
      <c r="J88" t="s">
        <v>30</v>
      </c>
      <c r="K88" t="s">
        <v>31</v>
      </c>
      <c r="L88" t="s">
        <v>44</v>
      </c>
      <c r="M88" t="s">
        <v>28</v>
      </c>
      <c r="N88">
        <v>17</v>
      </c>
      <c r="O88" s="2">
        <v>45085.325810185182</v>
      </c>
      <c r="P88" s="2">
        <v>45826.166666666664</v>
      </c>
      <c r="Q88" t="s">
        <v>48</v>
      </c>
      <c r="R88" t="s">
        <v>36</v>
      </c>
    </row>
    <row r="89" spans="1:18" x14ac:dyDescent="0.35">
      <c r="A89" t="s">
        <v>23</v>
      </c>
      <c r="B89" t="s">
        <v>856</v>
      </c>
      <c r="C89" t="s">
        <v>1989</v>
      </c>
      <c r="D89" t="s">
        <v>2087</v>
      </c>
      <c r="E89" s="2">
        <v>45811.663100289348</v>
      </c>
      <c r="F89" t="s">
        <v>2075</v>
      </c>
      <c r="G89" t="s">
        <v>2076</v>
      </c>
      <c r="H89" t="s">
        <v>2077</v>
      </c>
      <c r="I89" t="s">
        <v>857</v>
      </c>
      <c r="J89" t="s">
        <v>30</v>
      </c>
      <c r="K89" t="s">
        <v>31</v>
      </c>
      <c r="L89" t="s">
        <v>44</v>
      </c>
      <c r="M89" t="s">
        <v>28</v>
      </c>
      <c r="N89">
        <v>17</v>
      </c>
      <c r="O89" s="2">
        <v>45085.325810185182</v>
      </c>
      <c r="P89" s="2">
        <v>45826.166666666664</v>
      </c>
      <c r="Q89" t="s">
        <v>48</v>
      </c>
      <c r="R89" t="s">
        <v>36</v>
      </c>
    </row>
    <row r="90" spans="1:18" x14ac:dyDescent="0.35">
      <c r="A90" t="s">
        <v>23</v>
      </c>
      <c r="B90" t="s">
        <v>2117</v>
      </c>
      <c r="C90" t="s">
        <v>1982</v>
      </c>
      <c r="D90" t="s">
        <v>2074</v>
      </c>
      <c r="E90" s="2">
        <v>45701.64626238426</v>
      </c>
      <c r="F90" t="s">
        <v>2075</v>
      </c>
      <c r="G90" t="s">
        <v>2076</v>
      </c>
      <c r="H90" t="s">
        <v>2083</v>
      </c>
      <c r="I90" t="s">
        <v>2118</v>
      </c>
      <c r="J90" t="s">
        <v>30</v>
      </c>
      <c r="K90" t="s">
        <v>70</v>
      </c>
      <c r="L90" t="s">
        <v>26</v>
      </c>
      <c r="M90" t="s">
        <v>28</v>
      </c>
      <c r="N90">
        <v>15</v>
      </c>
      <c r="O90" s="2">
        <v>45119.65016203704</v>
      </c>
      <c r="P90" s="2">
        <v>45876.166666666664</v>
      </c>
      <c r="Q90" t="s">
        <v>38</v>
      </c>
      <c r="R90" t="s">
        <v>76</v>
      </c>
    </row>
    <row r="91" spans="1:18" x14ac:dyDescent="0.35">
      <c r="A91" t="s">
        <v>23</v>
      </c>
      <c r="B91" t="s">
        <v>2117</v>
      </c>
      <c r="C91" t="s">
        <v>1982</v>
      </c>
      <c r="D91" t="s">
        <v>2074</v>
      </c>
      <c r="E91" s="2">
        <v>45707.8487833912</v>
      </c>
      <c r="F91" t="s">
        <v>2075</v>
      </c>
      <c r="G91" t="s">
        <v>2092</v>
      </c>
      <c r="H91" t="s">
        <v>2083</v>
      </c>
      <c r="I91" t="s">
        <v>2118</v>
      </c>
      <c r="J91" t="s">
        <v>30</v>
      </c>
      <c r="K91" t="s">
        <v>70</v>
      </c>
      <c r="L91" t="s">
        <v>26</v>
      </c>
      <c r="M91" t="s">
        <v>28</v>
      </c>
      <c r="N91">
        <v>15</v>
      </c>
      <c r="O91" s="2">
        <v>45119.65016203704</v>
      </c>
      <c r="P91" s="2">
        <v>45876.166666666664</v>
      </c>
      <c r="Q91" t="s">
        <v>38</v>
      </c>
      <c r="R91" t="s">
        <v>76</v>
      </c>
    </row>
    <row r="92" spans="1:18" x14ac:dyDescent="0.35">
      <c r="A92" t="s">
        <v>23</v>
      </c>
      <c r="B92" t="s">
        <v>2117</v>
      </c>
      <c r="C92" t="s">
        <v>1982</v>
      </c>
      <c r="D92" t="s">
        <v>2074</v>
      </c>
      <c r="E92" s="2">
        <v>45715.667290821759</v>
      </c>
      <c r="F92" t="s">
        <v>2075</v>
      </c>
      <c r="G92" t="s">
        <v>2092</v>
      </c>
      <c r="H92" t="s">
        <v>2083</v>
      </c>
      <c r="I92" t="s">
        <v>2118</v>
      </c>
      <c r="J92" t="s">
        <v>30</v>
      </c>
      <c r="K92" t="s">
        <v>70</v>
      </c>
      <c r="L92" t="s">
        <v>26</v>
      </c>
      <c r="M92" t="s">
        <v>28</v>
      </c>
      <c r="N92">
        <v>15</v>
      </c>
      <c r="O92" s="2">
        <v>45119.65016203704</v>
      </c>
      <c r="P92" s="2">
        <v>45876.166666666664</v>
      </c>
      <c r="Q92" t="s">
        <v>38</v>
      </c>
      <c r="R92" t="s">
        <v>76</v>
      </c>
    </row>
    <row r="93" spans="1:18" x14ac:dyDescent="0.35">
      <c r="A93" t="s">
        <v>23</v>
      </c>
      <c r="B93" t="s">
        <v>2117</v>
      </c>
      <c r="C93" t="s">
        <v>1982</v>
      </c>
      <c r="D93" t="s">
        <v>2074</v>
      </c>
      <c r="E93" s="2">
        <v>45723.735722997684</v>
      </c>
      <c r="F93" t="s">
        <v>2075</v>
      </c>
      <c r="G93" t="s">
        <v>2092</v>
      </c>
      <c r="H93" t="s">
        <v>2083</v>
      </c>
      <c r="I93" t="s">
        <v>2118</v>
      </c>
      <c r="J93" t="s">
        <v>30</v>
      </c>
      <c r="K93" t="s">
        <v>70</v>
      </c>
      <c r="L93" t="s">
        <v>26</v>
      </c>
      <c r="M93" t="s">
        <v>28</v>
      </c>
      <c r="N93">
        <v>15</v>
      </c>
      <c r="O93" s="2">
        <v>45119.65016203704</v>
      </c>
      <c r="P93" s="2">
        <v>45876.166666666664</v>
      </c>
      <c r="Q93" t="s">
        <v>38</v>
      </c>
      <c r="R93" t="s">
        <v>76</v>
      </c>
    </row>
    <row r="94" spans="1:18" x14ac:dyDescent="0.35">
      <c r="A94" t="s">
        <v>23</v>
      </c>
      <c r="B94" t="s">
        <v>2117</v>
      </c>
      <c r="C94" t="s">
        <v>1982</v>
      </c>
      <c r="D94" t="s">
        <v>2074</v>
      </c>
      <c r="E94" s="2">
        <v>45728.679085833333</v>
      </c>
      <c r="F94" t="s">
        <v>2075</v>
      </c>
      <c r="G94" t="s">
        <v>2092</v>
      </c>
      <c r="H94" t="s">
        <v>2083</v>
      </c>
      <c r="I94" t="s">
        <v>2118</v>
      </c>
      <c r="J94" t="s">
        <v>30</v>
      </c>
      <c r="K94" t="s">
        <v>70</v>
      </c>
      <c r="L94" t="s">
        <v>26</v>
      </c>
      <c r="M94" t="s">
        <v>28</v>
      </c>
      <c r="N94">
        <v>15</v>
      </c>
      <c r="O94" s="2">
        <v>45119.65016203704</v>
      </c>
      <c r="P94" s="2">
        <v>45876.166666666664</v>
      </c>
      <c r="Q94" t="s">
        <v>38</v>
      </c>
      <c r="R94" t="s">
        <v>76</v>
      </c>
    </row>
    <row r="95" spans="1:18" x14ac:dyDescent="0.35">
      <c r="A95" t="s">
        <v>23</v>
      </c>
      <c r="B95" t="s">
        <v>2117</v>
      </c>
      <c r="C95" t="s">
        <v>1989</v>
      </c>
      <c r="D95" t="s">
        <v>2119</v>
      </c>
      <c r="E95" s="2">
        <v>45866.584138981481</v>
      </c>
      <c r="F95" t="s">
        <v>2075</v>
      </c>
      <c r="G95" t="s">
        <v>2092</v>
      </c>
      <c r="H95" t="s">
        <v>2083</v>
      </c>
      <c r="I95" t="s">
        <v>2118</v>
      </c>
      <c r="J95" t="s">
        <v>30</v>
      </c>
      <c r="K95" t="s">
        <v>70</v>
      </c>
      <c r="L95" t="s">
        <v>26</v>
      </c>
      <c r="M95" t="s">
        <v>28</v>
      </c>
      <c r="N95">
        <v>15</v>
      </c>
      <c r="O95" s="2">
        <v>45119.65016203704</v>
      </c>
      <c r="P95" s="2">
        <v>45876.166666666664</v>
      </c>
      <c r="Q95" t="s">
        <v>38</v>
      </c>
      <c r="R95" t="s">
        <v>76</v>
      </c>
    </row>
    <row r="96" spans="1:18" x14ac:dyDescent="0.35">
      <c r="A96" t="s">
        <v>23</v>
      </c>
      <c r="B96" t="s">
        <v>1025</v>
      </c>
      <c r="C96" t="s">
        <v>1989</v>
      </c>
      <c r="D96" t="s">
        <v>2087</v>
      </c>
      <c r="E96" s="2">
        <v>45779.550358622684</v>
      </c>
      <c r="F96" t="s">
        <v>2080</v>
      </c>
      <c r="G96" t="s">
        <v>2081</v>
      </c>
      <c r="H96" t="s">
        <v>2077</v>
      </c>
      <c r="I96" t="s">
        <v>1026</v>
      </c>
      <c r="J96" t="s">
        <v>30</v>
      </c>
      <c r="K96" t="s">
        <v>70</v>
      </c>
      <c r="L96" t="s">
        <v>44</v>
      </c>
      <c r="M96" t="s">
        <v>28</v>
      </c>
      <c r="N96">
        <v>30</v>
      </c>
      <c r="O96" s="2">
        <v>45211.71738425926</v>
      </c>
      <c r="P96" s="2">
        <v>45779.166666666664</v>
      </c>
      <c r="Q96" t="s">
        <v>48</v>
      </c>
      <c r="R96" t="s">
        <v>36</v>
      </c>
    </row>
    <row r="97" spans="1:19" x14ac:dyDescent="0.35">
      <c r="A97" t="s">
        <v>23</v>
      </c>
      <c r="B97" t="s">
        <v>859</v>
      </c>
      <c r="C97" t="s">
        <v>1988</v>
      </c>
      <c r="D97" t="s">
        <v>2084</v>
      </c>
      <c r="E97" s="2">
        <v>45736.141334953703</v>
      </c>
      <c r="F97" t="s">
        <v>2085</v>
      </c>
      <c r="G97" t="s">
        <v>2086</v>
      </c>
      <c r="H97" t="s">
        <v>2077</v>
      </c>
      <c r="I97" t="s">
        <v>860</v>
      </c>
      <c r="J97" t="s">
        <v>30</v>
      </c>
      <c r="K97" t="s">
        <v>31</v>
      </c>
      <c r="L97" t="s">
        <v>44</v>
      </c>
      <c r="M97" t="s">
        <v>28</v>
      </c>
      <c r="N97">
        <v>17</v>
      </c>
      <c r="O97" s="2">
        <v>45216.874421296299</v>
      </c>
      <c r="P97" s="2">
        <v>45772.166666666664</v>
      </c>
      <c r="Q97" t="s">
        <v>48</v>
      </c>
      <c r="R97" t="s">
        <v>409</v>
      </c>
    </row>
    <row r="98" spans="1:19" x14ac:dyDescent="0.35">
      <c r="A98" t="s">
        <v>23</v>
      </c>
      <c r="B98" t="s">
        <v>859</v>
      </c>
      <c r="C98" t="s">
        <v>1988</v>
      </c>
      <c r="D98" t="s">
        <v>2084</v>
      </c>
      <c r="E98" s="2">
        <v>45737.199076689816</v>
      </c>
      <c r="F98" t="s">
        <v>2085</v>
      </c>
      <c r="G98" t="s">
        <v>2086</v>
      </c>
      <c r="H98" t="s">
        <v>2077</v>
      </c>
      <c r="I98" t="s">
        <v>860</v>
      </c>
      <c r="J98" t="s">
        <v>30</v>
      </c>
      <c r="K98" t="s">
        <v>31</v>
      </c>
      <c r="L98" t="s">
        <v>44</v>
      </c>
      <c r="M98" t="s">
        <v>28</v>
      </c>
      <c r="N98">
        <v>17</v>
      </c>
      <c r="O98" s="2">
        <v>45216.874421296299</v>
      </c>
      <c r="P98" s="2">
        <v>45772.166666666664</v>
      </c>
      <c r="Q98" t="s">
        <v>48</v>
      </c>
      <c r="R98" t="s">
        <v>409</v>
      </c>
    </row>
    <row r="99" spans="1:19" x14ac:dyDescent="0.35">
      <c r="A99" t="s">
        <v>23</v>
      </c>
      <c r="B99" t="s">
        <v>922</v>
      </c>
      <c r="C99" t="s">
        <v>1989</v>
      </c>
      <c r="D99" t="s">
        <v>2119</v>
      </c>
      <c r="E99" s="2">
        <v>45790.762439861108</v>
      </c>
      <c r="F99" t="s">
        <v>2078</v>
      </c>
      <c r="G99" t="s">
        <v>2108</v>
      </c>
      <c r="H99" t="s">
        <v>2077</v>
      </c>
      <c r="I99" t="s">
        <v>923</v>
      </c>
      <c r="J99" t="s">
        <v>30</v>
      </c>
      <c r="K99" t="s">
        <v>70</v>
      </c>
      <c r="L99" t="s">
        <v>44</v>
      </c>
      <c r="M99" t="s">
        <v>28</v>
      </c>
      <c r="N99">
        <v>20</v>
      </c>
      <c r="O99" s="2">
        <v>45236.862349537034</v>
      </c>
      <c r="P99" s="2">
        <v>45856.166666666664</v>
      </c>
      <c r="Q99" t="s">
        <v>48</v>
      </c>
      <c r="R99" t="s">
        <v>409</v>
      </c>
    </row>
    <row r="100" spans="1:19" x14ac:dyDescent="0.35">
      <c r="A100" t="s">
        <v>23</v>
      </c>
      <c r="B100" t="s">
        <v>922</v>
      </c>
      <c r="C100" t="s">
        <v>1989</v>
      </c>
      <c r="D100" t="s">
        <v>2119</v>
      </c>
      <c r="E100" s="2">
        <v>45790.762725347224</v>
      </c>
      <c r="F100" t="s">
        <v>2075</v>
      </c>
      <c r="G100" t="s">
        <v>2092</v>
      </c>
      <c r="H100" t="s">
        <v>2083</v>
      </c>
      <c r="I100" t="s">
        <v>923</v>
      </c>
      <c r="J100" t="s">
        <v>30</v>
      </c>
      <c r="K100" t="s">
        <v>70</v>
      </c>
      <c r="L100" t="s">
        <v>44</v>
      </c>
      <c r="M100" t="s">
        <v>28</v>
      </c>
      <c r="N100">
        <v>20</v>
      </c>
      <c r="O100" s="2">
        <v>45236.862349537034</v>
      </c>
      <c r="P100" s="2">
        <v>45856.166666666664</v>
      </c>
      <c r="Q100" t="s">
        <v>48</v>
      </c>
      <c r="R100" t="s">
        <v>409</v>
      </c>
    </row>
    <row r="101" spans="1:19" x14ac:dyDescent="0.35">
      <c r="A101" t="s">
        <v>23</v>
      </c>
      <c r="B101" t="s">
        <v>835</v>
      </c>
      <c r="C101" t="s">
        <v>1988</v>
      </c>
      <c r="D101" t="s">
        <v>2084</v>
      </c>
      <c r="E101" s="2">
        <v>45788.915462604164</v>
      </c>
      <c r="F101" t="s">
        <v>2085</v>
      </c>
      <c r="G101" t="s">
        <v>2086</v>
      </c>
      <c r="H101" t="s">
        <v>2077</v>
      </c>
      <c r="I101" t="s">
        <v>836</v>
      </c>
      <c r="J101" t="s">
        <v>30</v>
      </c>
      <c r="K101" t="s">
        <v>31</v>
      </c>
      <c r="L101" t="s">
        <v>44</v>
      </c>
      <c r="M101" t="s">
        <v>28</v>
      </c>
      <c r="N101">
        <v>16</v>
      </c>
      <c r="O101" s="2">
        <v>45282.372673611113</v>
      </c>
      <c r="P101" s="2">
        <v>45849.166666666664</v>
      </c>
      <c r="Q101" t="s">
        <v>38</v>
      </c>
      <c r="R101" t="s">
        <v>54</v>
      </c>
    </row>
    <row r="102" spans="1:19" x14ac:dyDescent="0.35">
      <c r="A102" t="s">
        <v>23</v>
      </c>
      <c r="B102" t="s">
        <v>835</v>
      </c>
      <c r="C102" t="s">
        <v>1988</v>
      </c>
      <c r="D102" t="s">
        <v>2084</v>
      </c>
      <c r="E102" s="2">
        <v>45821.638891967596</v>
      </c>
      <c r="F102" t="s">
        <v>2085</v>
      </c>
      <c r="G102" t="s">
        <v>2086</v>
      </c>
      <c r="H102" t="s">
        <v>2077</v>
      </c>
      <c r="I102" t="s">
        <v>836</v>
      </c>
      <c r="J102" t="s">
        <v>30</v>
      </c>
      <c r="K102" t="s">
        <v>31</v>
      </c>
      <c r="L102" t="s">
        <v>44</v>
      </c>
      <c r="M102" t="s">
        <v>28</v>
      </c>
      <c r="N102">
        <v>16</v>
      </c>
      <c r="O102" s="2">
        <v>45282.372673611113</v>
      </c>
      <c r="P102" s="2">
        <v>45849.166666666664</v>
      </c>
      <c r="Q102" t="s">
        <v>38</v>
      </c>
      <c r="R102" t="s">
        <v>54</v>
      </c>
    </row>
    <row r="103" spans="1:19" x14ac:dyDescent="0.35">
      <c r="A103" t="s">
        <v>23</v>
      </c>
      <c r="B103" t="s">
        <v>835</v>
      </c>
      <c r="C103" t="s">
        <v>1989</v>
      </c>
      <c r="D103" t="s">
        <v>2119</v>
      </c>
      <c r="E103" s="2">
        <v>45839.835273564815</v>
      </c>
      <c r="F103" t="s">
        <v>2085</v>
      </c>
      <c r="G103" t="s">
        <v>2086</v>
      </c>
      <c r="H103" t="s">
        <v>2083</v>
      </c>
      <c r="I103" t="s">
        <v>836</v>
      </c>
      <c r="J103" t="s">
        <v>30</v>
      </c>
      <c r="K103" t="s">
        <v>31</v>
      </c>
      <c r="L103" t="s">
        <v>44</v>
      </c>
      <c r="M103" t="s">
        <v>28</v>
      </c>
      <c r="N103">
        <v>16</v>
      </c>
      <c r="O103" s="2">
        <v>45282.372673611113</v>
      </c>
      <c r="P103" s="2">
        <v>45849.166666666664</v>
      </c>
      <c r="Q103" t="s">
        <v>38</v>
      </c>
      <c r="R103" t="s">
        <v>54</v>
      </c>
    </row>
    <row r="104" spans="1:19" x14ac:dyDescent="0.35">
      <c r="A104" t="s">
        <v>23</v>
      </c>
      <c r="B104" t="s">
        <v>1145</v>
      </c>
      <c r="C104" t="s">
        <v>1988</v>
      </c>
      <c r="D104" t="s">
        <v>2084</v>
      </c>
      <c r="E104" s="2">
        <v>45712.769518680558</v>
      </c>
      <c r="F104" t="s">
        <v>2085</v>
      </c>
      <c r="G104" t="s">
        <v>2086</v>
      </c>
      <c r="H104" t="s">
        <v>2077</v>
      </c>
      <c r="I104" t="s">
        <v>1146</v>
      </c>
      <c r="J104" t="s">
        <v>30</v>
      </c>
      <c r="K104" t="s">
        <v>70</v>
      </c>
      <c r="L104" t="s">
        <v>44</v>
      </c>
      <c r="M104" t="s">
        <v>28</v>
      </c>
      <c r="O104" s="2">
        <v>45295.876226851855</v>
      </c>
      <c r="P104" s="2">
        <v>45723.208333333336</v>
      </c>
      <c r="Q104" t="s">
        <v>48</v>
      </c>
      <c r="R104" t="s">
        <v>409</v>
      </c>
      <c r="S104" t="s">
        <v>33</v>
      </c>
    </row>
    <row r="105" spans="1:19" x14ac:dyDescent="0.35">
      <c r="A105" t="s">
        <v>23</v>
      </c>
      <c r="B105" t="s">
        <v>1145</v>
      </c>
      <c r="C105" t="s">
        <v>1989</v>
      </c>
      <c r="D105" t="s">
        <v>2120</v>
      </c>
      <c r="E105" s="2">
        <v>45715.853732418982</v>
      </c>
      <c r="F105" t="s">
        <v>2078</v>
      </c>
      <c r="G105" t="s">
        <v>2104</v>
      </c>
      <c r="H105" t="s">
        <v>2083</v>
      </c>
      <c r="I105" t="s">
        <v>1146</v>
      </c>
      <c r="J105" t="s">
        <v>30</v>
      </c>
      <c r="K105" t="s">
        <v>70</v>
      </c>
      <c r="L105" t="s">
        <v>44</v>
      </c>
      <c r="M105" t="s">
        <v>28</v>
      </c>
      <c r="O105" s="2">
        <v>45295.876226851855</v>
      </c>
      <c r="P105" s="2">
        <v>45723.208333333336</v>
      </c>
      <c r="Q105" t="s">
        <v>48</v>
      </c>
      <c r="R105" t="s">
        <v>409</v>
      </c>
      <c r="S105" t="s">
        <v>33</v>
      </c>
    </row>
    <row r="106" spans="1:19" x14ac:dyDescent="0.35">
      <c r="A106" t="s">
        <v>23</v>
      </c>
      <c r="B106" t="s">
        <v>1145</v>
      </c>
      <c r="C106" t="s">
        <v>1989</v>
      </c>
      <c r="D106" t="s">
        <v>2120</v>
      </c>
      <c r="E106" s="2">
        <v>45715.855294583336</v>
      </c>
      <c r="F106" t="s">
        <v>2075</v>
      </c>
      <c r="G106" t="s">
        <v>2121</v>
      </c>
      <c r="H106" t="s">
        <v>2083</v>
      </c>
      <c r="I106" t="s">
        <v>1146</v>
      </c>
      <c r="J106" t="s">
        <v>30</v>
      </c>
      <c r="K106" t="s">
        <v>70</v>
      </c>
      <c r="L106" t="s">
        <v>44</v>
      </c>
      <c r="M106" t="s">
        <v>28</v>
      </c>
      <c r="O106" s="2">
        <v>45295.876226851855</v>
      </c>
      <c r="P106" s="2">
        <v>45723.208333333336</v>
      </c>
      <c r="Q106" t="s">
        <v>48</v>
      </c>
      <c r="R106" t="s">
        <v>409</v>
      </c>
      <c r="S106" t="s">
        <v>33</v>
      </c>
    </row>
    <row r="107" spans="1:19" x14ac:dyDescent="0.35">
      <c r="A107" t="s">
        <v>23</v>
      </c>
      <c r="B107" t="s">
        <v>1145</v>
      </c>
      <c r="C107" t="s">
        <v>1989</v>
      </c>
      <c r="D107" t="s">
        <v>2120</v>
      </c>
      <c r="E107" s="2">
        <v>45715.855770740738</v>
      </c>
      <c r="F107" t="s">
        <v>2075</v>
      </c>
      <c r="G107" t="s">
        <v>2121</v>
      </c>
      <c r="H107" t="s">
        <v>2083</v>
      </c>
      <c r="I107" t="s">
        <v>1146</v>
      </c>
      <c r="J107" t="s">
        <v>30</v>
      </c>
      <c r="K107" t="s">
        <v>70</v>
      </c>
      <c r="L107" t="s">
        <v>44</v>
      </c>
      <c r="M107" t="s">
        <v>28</v>
      </c>
      <c r="O107" s="2">
        <v>45295.876226851855</v>
      </c>
      <c r="P107" s="2">
        <v>45723.208333333336</v>
      </c>
      <c r="Q107" t="s">
        <v>48</v>
      </c>
      <c r="R107" t="s">
        <v>409</v>
      </c>
      <c r="S107" t="s">
        <v>33</v>
      </c>
    </row>
    <row r="108" spans="1:19" x14ac:dyDescent="0.35">
      <c r="A108" t="s">
        <v>23</v>
      </c>
      <c r="B108" t="s">
        <v>1145</v>
      </c>
      <c r="C108" t="s">
        <v>1989</v>
      </c>
      <c r="D108" t="s">
        <v>2120</v>
      </c>
      <c r="E108" s="2">
        <v>45715.856468958336</v>
      </c>
      <c r="F108" t="s">
        <v>2075</v>
      </c>
      <c r="G108" t="s">
        <v>2106</v>
      </c>
      <c r="H108" t="s">
        <v>2077</v>
      </c>
      <c r="I108" t="s">
        <v>1146</v>
      </c>
      <c r="J108" t="s">
        <v>30</v>
      </c>
      <c r="K108" t="s">
        <v>70</v>
      </c>
      <c r="L108" t="s">
        <v>44</v>
      </c>
      <c r="M108" t="s">
        <v>28</v>
      </c>
      <c r="O108" s="2">
        <v>45295.876226851855</v>
      </c>
      <c r="P108" s="2">
        <v>45723.208333333336</v>
      </c>
      <c r="Q108" t="s">
        <v>48</v>
      </c>
      <c r="R108" t="s">
        <v>409</v>
      </c>
      <c r="S108" t="s">
        <v>33</v>
      </c>
    </row>
    <row r="109" spans="1:19" x14ac:dyDescent="0.35">
      <c r="A109" t="s">
        <v>23</v>
      </c>
      <c r="B109" t="s">
        <v>2122</v>
      </c>
      <c r="C109" t="s">
        <v>1973</v>
      </c>
      <c r="D109" t="s">
        <v>2112</v>
      </c>
      <c r="E109" s="2">
        <v>45800.749525555555</v>
      </c>
      <c r="F109" t="s">
        <v>2113</v>
      </c>
      <c r="G109" t="s">
        <v>2123</v>
      </c>
      <c r="H109" t="s">
        <v>2083</v>
      </c>
      <c r="I109" t="s">
        <v>2124</v>
      </c>
      <c r="J109" t="s">
        <v>30</v>
      </c>
      <c r="K109" t="s">
        <v>31</v>
      </c>
      <c r="L109" t="s">
        <v>26</v>
      </c>
      <c r="M109" t="s">
        <v>28</v>
      </c>
      <c r="N109">
        <v>12</v>
      </c>
      <c r="O109" s="2">
        <v>45306.418043981481</v>
      </c>
      <c r="P109" s="2">
        <v>45877.166666666664</v>
      </c>
      <c r="Q109" t="s">
        <v>32</v>
      </c>
      <c r="R109" t="s">
        <v>135</v>
      </c>
      <c r="S109" t="s">
        <v>33</v>
      </c>
    </row>
    <row r="110" spans="1:19" x14ac:dyDescent="0.35">
      <c r="A110" t="s">
        <v>23</v>
      </c>
      <c r="B110" t="s">
        <v>2122</v>
      </c>
      <c r="C110" t="s">
        <v>1973</v>
      </c>
      <c r="D110" t="s">
        <v>2112</v>
      </c>
      <c r="E110" s="2">
        <v>45800.750958784723</v>
      </c>
      <c r="F110" t="s">
        <v>2113</v>
      </c>
      <c r="G110" t="s">
        <v>2123</v>
      </c>
      <c r="H110" t="s">
        <v>2083</v>
      </c>
      <c r="I110" t="s">
        <v>2124</v>
      </c>
      <c r="J110" t="s">
        <v>30</v>
      </c>
      <c r="K110" t="s">
        <v>31</v>
      </c>
      <c r="L110" t="s">
        <v>26</v>
      </c>
      <c r="M110" t="s">
        <v>28</v>
      </c>
      <c r="N110">
        <v>12</v>
      </c>
      <c r="O110" s="2">
        <v>45306.418043981481</v>
      </c>
      <c r="P110" s="2">
        <v>45877.166666666664</v>
      </c>
      <c r="Q110" t="s">
        <v>32</v>
      </c>
      <c r="R110" t="s">
        <v>135</v>
      </c>
      <c r="S110" t="s">
        <v>33</v>
      </c>
    </row>
    <row r="111" spans="1:19" x14ac:dyDescent="0.35">
      <c r="A111" t="s">
        <v>23</v>
      </c>
      <c r="B111" t="s">
        <v>2122</v>
      </c>
      <c r="C111" t="s">
        <v>1973</v>
      </c>
      <c r="D111" t="s">
        <v>2112</v>
      </c>
      <c r="E111" s="2">
        <v>45800.751431064811</v>
      </c>
      <c r="F111" t="s">
        <v>2125</v>
      </c>
      <c r="G111" t="s">
        <v>2126</v>
      </c>
      <c r="H111" t="s">
        <v>2077</v>
      </c>
      <c r="I111" t="s">
        <v>2124</v>
      </c>
      <c r="J111" t="s">
        <v>30</v>
      </c>
      <c r="K111" t="s">
        <v>31</v>
      </c>
      <c r="L111" t="s">
        <v>26</v>
      </c>
      <c r="M111" t="s">
        <v>28</v>
      </c>
      <c r="N111">
        <v>12</v>
      </c>
      <c r="O111" s="2">
        <v>45306.418043981481</v>
      </c>
      <c r="P111" s="2">
        <v>45877.166666666664</v>
      </c>
      <c r="Q111" t="s">
        <v>32</v>
      </c>
      <c r="R111" t="s">
        <v>135</v>
      </c>
      <c r="S111" t="s">
        <v>33</v>
      </c>
    </row>
    <row r="112" spans="1:19" x14ac:dyDescent="0.35">
      <c r="A112" t="s">
        <v>23</v>
      </c>
      <c r="B112" t="s">
        <v>743</v>
      </c>
      <c r="C112" t="s">
        <v>1973</v>
      </c>
      <c r="D112" t="s">
        <v>2112</v>
      </c>
      <c r="E112" s="2">
        <v>45681.76819909722</v>
      </c>
      <c r="F112" t="s">
        <v>2113</v>
      </c>
      <c r="G112" t="s">
        <v>2127</v>
      </c>
      <c r="H112" t="s">
        <v>2083</v>
      </c>
      <c r="I112" t="s">
        <v>744</v>
      </c>
      <c r="J112" t="s">
        <v>30</v>
      </c>
      <c r="K112" t="s">
        <v>31</v>
      </c>
      <c r="L112" t="s">
        <v>44</v>
      </c>
      <c r="M112" t="s">
        <v>28</v>
      </c>
      <c r="N112">
        <v>13</v>
      </c>
      <c r="O112" s="2">
        <v>45314.621516203704</v>
      </c>
      <c r="P112" s="2">
        <v>45751.166666666664</v>
      </c>
      <c r="Q112" t="s">
        <v>32</v>
      </c>
      <c r="R112" t="s">
        <v>135</v>
      </c>
    </row>
    <row r="113" spans="1:19" x14ac:dyDescent="0.35">
      <c r="A113" t="s">
        <v>23</v>
      </c>
      <c r="B113" t="s">
        <v>1112</v>
      </c>
      <c r="C113" t="s">
        <v>1988</v>
      </c>
      <c r="D113" t="s">
        <v>2084</v>
      </c>
      <c r="E113" s="2">
        <v>45686.67598630787</v>
      </c>
      <c r="F113" t="s">
        <v>2085</v>
      </c>
      <c r="G113" t="s">
        <v>2086</v>
      </c>
      <c r="H113" t="s">
        <v>2077</v>
      </c>
      <c r="I113" t="s">
        <v>1113</v>
      </c>
      <c r="J113" t="s">
        <v>30</v>
      </c>
      <c r="K113" t="s">
        <v>31</v>
      </c>
      <c r="L113" t="s">
        <v>44</v>
      </c>
      <c r="M113" t="s">
        <v>28</v>
      </c>
      <c r="O113" s="2">
        <v>45366.06858796296</v>
      </c>
      <c r="P113" s="2">
        <v>45702.208333333336</v>
      </c>
      <c r="Q113" t="s">
        <v>38</v>
      </c>
      <c r="R113" t="s">
        <v>130</v>
      </c>
    </row>
    <row r="114" spans="1:19" x14ac:dyDescent="0.35">
      <c r="A114" t="s">
        <v>23</v>
      </c>
      <c r="B114" t="s">
        <v>587</v>
      </c>
      <c r="C114" t="s">
        <v>1988</v>
      </c>
      <c r="D114" t="s">
        <v>2084</v>
      </c>
      <c r="E114" s="2">
        <v>45726.882950312502</v>
      </c>
      <c r="F114" t="s">
        <v>2085</v>
      </c>
      <c r="G114" t="s">
        <v>2086</v>
      </c>
      <c r="H114" t="s">
        <v>2077</v>
      </c>
      <c r="I114" t="s">
        <v>588</v>
      </c>
      <c r="J114" t="s">
        <v>30</v>
      </c>
      <c r="K114" t="s">
        <v>31</v>
      </c>
      <c r="L114" t="s">
        <v>44</v>
      </c>
      <c r="M114" t="s">
        <v>28</v>
      </c>
      <c r="N114">
        <v>10</v>
      </c>
      <c r="O114" s="2">
        <v>45350.608888888892</v>
      </c>
      <c r="P114" s="2">
        <v>45750.166666666664</v>
      </c>
      <c r="Q114" t="s">
        <v>174</v>
      </c>
      <c r="R114" t="s">
        <v>54</v>
      </c>
    </row>
    <row r="115" spans="1:19" x14ac:dyDescent="0.35">
      <c r="A115" t="s">
        <v>23</v>
      </c>
      <c r="B115" t="s">
        <v>587</v>
      </c>
      <c r="C115" t="s">
        <v>1989</v>
      </c>
      <c r="D115" t="s">
        <v>2119</v>
      </c>
      <c r="E115" s="2">
        <v>45733.673159444443</v>
      </c>
      <c r="F115" t="s">
        <v>2080</v>
      </c>
      <c r="G115" t="s">
        <v>2081</v>
      </c>
      <c r="H115" t="s">
        <v>2077</v>
      </c>
      <c r="I115" t="s">
        <v>588</v>
      </c>
      <c r="J115" t="s">
        <v>30</v>
      </c>
      <c r="K115" t="s">
        <v>31</v>
      </c>
      <c r="L115" t="s">
        <v>44</v>
      </c>
      <c r="M115" t="s">
        <v>28</v>
      </c>
      <c r="N115">
        <v>10</v>
      </c>
      <c r="O115" s="2">
        <v>45350.608888888892</v>
      </c>
      <c r="P115" s="2">
        <v>45750.166666666664</v>
      </c>
      <c r="Q115" t="s">
        <v>174</v>
      </c>
      <c r="R115" t="s">
        <v>54</v>
      </c>
    </row>
    <row r="116" spans="1:19" x14ac:dyDescent="0.35">
      <c r="A116" t="s">
        <v>23</v>
      </c>
      <c r="B116" t="s">
        <v>800</v>
      </c>
      <c r="C116" t="s">
        <v>1989</v>
      </c>
      <c r="D116" t="s">
        <v>2082</v>
      </c>
      <c r="E116" s="2">
        <v>45712.653989444443</v>
      </c>
      <c r="F116" t="s">
        <v>2080</v>
      </c>
      <c r="G116" t="s">
        <v>2081</v>
      </c>
      <c r="H116" t="s">
        <v>2083</v>
      </c>
      <c r="I116" t="s">
        <v>801</v>
      </c>
      <c r="J116" t="s">
        <v>30</v>
      </c>
      <c r="K116" t="s">
        <v>31</v>
      </c>
      <c r="L116" t="s">
        <v>44</v>
      </c>
      <c r="M116" t="s">
        <v>28</v>
      </c>
      <c r="N116">
        <v>15</v>
      </c>
      <c r="O116" s="2">
        <v>45351.630937499998</v>
      </c>
      <c r="P116" s="2">
        <v>45715.208333333336</v>
      </c>
      <c r="Q116" t="s">
        <v>38</v>
      </c>
      <c r="R116" t="s">
        <v>54</v>
      </c>
      <c r="S116" t="s">
        <v>81</v>
      </c>
    </row>
    <row r="117" spans="1:19" x14ac:dyDescent="0.35">
      <c r="A117" t="s">
        <v>23</v>
      </c>
      <c r="B117" t="s">
        <v>861</v>
      </c>
      <c r="C117" t="s">
        <v>1989</v>
      </c>
      <c r="D117" t="s">
        <v>2082</v>
      </c>
      <c r="E117" s="2">
        <v>45660.873550405093</v>
      </c>
      <c r="F117" t="s">
        <v>2078</v>
      </c>
      <c r="G117" t="s">
        <v>2108</v>
      </c>
      <c r="H117" t="s">
        <v>2077</v>
      </c>
      <c r="I117" t="s">
        <v>862</v>
      </c>
      <c r="J117" t="s">
        <v>30</v>
      </c>
      <c r="K117" t="s">
        <v>70</v>
      </c>
      <c r="L117" t="s">
        <v>44</v>
      </c>
      <c r="M117" t="s">
        <v>28</v>
      </c>
      <c r="N117">
        <v>17</v>
      </c>
      <c r="O117" s="2">
        <v>45362.534895833334</v>
      </c>
      <c r="P117" s="2">
        <v>45671.208333333336</v>
      </c>
      <c r="Q117" t="s">
        <v>57</v>
      </c>
      <c r="R117" t="s">
        <v>76</v>
      </c>
    </row>
    <row r="118" spans="1:19" x14ac:dyDescent="0.35">
      <c r="A118" t="s">
        <v>23</v>
      </c>
      <c r="B118" t="s">
        <v>861</v>
      </c>
      <c r="C118" t="s">
        <v>1989</v>
      </c>
      <c r="D118" t="s">
        <v>2082</v>
      </c>
      <c r="E118" s="2">
        <v>45660.87543172454</v>
      </c>
      <c r="F118" t="s">
        <v>2080</v>
      </c>
      <c r="G118" t="s">
        <v>2081</v>
      </c>
      <c r="H118" t="s">
        <v>2077</v>
      </c>
      <c r="I118" t="s">
        <v>862</v>
      </c>
      <c r="J118" t="s">
        <v>30</v>
      </c>
      <c r="K118" t="s">
        <v>70</v>
      </c>
      <c r="L118" t="s">
        <v>44</v>
      </c>
      <c r="M118" t="s">
        <v>28</v>
      </c>
      <c r="N118">
        <v>17</v>
      </c>
      <c r="O118" s="2">
        <v>45362.534895833334</v>
      </c>
      <c r="P118" s="2">
        <v>45671.208333333336</v>
      </c>
      <c r="Q118" t="s">
        <v>57</v>
      </c>
      <c r="R118" t="s">
        <v>76</v>
      </c>
    </row>
    <row r="119" spans="1:19" x14ac:dyDescent="0.35">
      <c r="A119" t="s">
        <v>23</v>
      </c>
      <c r="B119" t="s">
        <v>861</v>
      </c>
      <c r="C119" t="s">
        <v>1989</v>
      </c>
      <c r="D119" t="s">
        <v>2082</v>
      </c>
      <c r="E119" s="2">
        <v>45660.877034062498</v>
      </c>
      <c r="F119" t="s">
        <v>2080</v>
      </c>
      <c r="G119" t="s">
        <v>2081</v>
      </c>
      <c r="H119" t="s">
        <v>2077</v>
      </c>
      <c r="I119" t="s">
        <v>862</v>
      </c>
      <c r="J119" t="s">
        <v>30</v>
      </c>
      <c r="K119" t="s">
        <v>70</v>
      </c>
      <c r="L119" t="s">
        <v>44</v>
      </c>
      <c r="M119" t="s">
        <v>28</v>
      </c>
      <c r="N119">
        <v>17</v>
      </c>
      <c r="O119" s="2">
        <v>45362.534895833334</v>
      </c>
      <c r="P119" s="2">
        <v>45671.208333333336</v>
      </c>
      <c r="Q119" t="s">
        <v>57</v>
      </c>
      <c r="R119" t="s">
        <v>76</v>
      </c>
    </row>
    <row r="120" spans="1:19" x14ac:dyDescent="0.35">
      <c r="A120" t="s">
        <v>23</v>
      </c>
      <c r="B120" t="s">
        <v>861</v>
      </c>
      <c r="C120" t="s">
        <v>1989</v>
      </c>
      <c r="D120" t="s">
        <v>2082</v>
      </c>
      <c r="E120" s="2">
        <v>45660.880327395833</v>
      </c>
      <c r="F120" t="s">
        <v>2080</v>
      </c>
      <c r="G120" t="s">
        <v>2081</v>
      </c>
      <c r="H120" t="s">
        <v>2077</v>
      </c>
      <c r="I120" t="s">
        <v>862</v>
      </c>
      <c r="J120" t="s">
        <v>30</v>
      </c>
      <c r="K120" t="s">
        <v>70</v>
      </c>
      <c r="L120" t="s">
        <v>44</v>
      </c>
      <c r="M120" t="s">
        <v>28</v>
      </c>
      <c r="N120">
        <v>17</v>
      </c>
      <c r="O120" s="2">
        <v>45362.534895833334</v>
      </c>
      <c r="P120" s="2">
        <v>45671.208333333336</v>
      </c>
      <c r="Q120" t="s">
        <v>57</v>
      </c>
      <c r="R120" t="s">
        <v>76</v>
      </c>
    </row>
    <row r="121" spans="1:19" x14ac:dyDescent="0.35">
      <c r="A121" t="s">
        <v>23</v>
      </c>
      <c r="B121" t="s">
        <v>2128</v>
      </c>
      <c r="C121" t="s">
        <v>1980</v>
      </c>
      <c r="D121" t="s">
        <v>2129</v>
      </c>
      <c r="E121" s="2">
        <v>45799.003331423613</v>
      </c>
      <c r="F121" t="s">
        <v>2078</v>
      </c>
      <c r="G121" t="s">
        <v>2109</v>
      </c>
      <c r="H121" t="s">
        <v>2083</v>
      </c>
      <c r="I121" t="s">
        <v>2130</v>
      </c>
      <c r="J121" t="s">
        <v>30</v>
      </c>
      <c r="K121" t="s">
        <v>31</v>
      </c>
      <c r="L121" t="s">
        <v>26</v>
      </c>
      <c r="M121" t="s">
        <v>28</v>
      </c>
      <c r="N121">
        <v>31</v>
      </c>
      <c r="O121" s="2">
        <v>45370.60869212963</v>
      </c>
      <c r="P121" s="2">
        <v>45877.166666666664</v>
      </c>
      <c r="Q121" t="s">
        <v>48</v>
      </c>
      <c r="R121" t="s">
        <v>36</v>
      </c>
    </row>
    <row r="122" spans="1:19" x14ac:dyDescent="0.35">
      <c r="A122" t="s">
        <v>23</v>
      </c>
      <c r="B122" t="s">
        <v>1846</v>
      </c>
      <c r="C122" t="s">
        <v>1989</v>
      </c>
      <c r="D122" t="s">
        <v>2119</v>
      </c>
      <c r="E122" s="2">
        <v>45670.761990277781</v>
      </c>
      <c r="F122" t="s">
        <v>2080</v>
      </c>
      <c r="G122" t="s">
        <v>2081</v>
      </c>
      <c r="H122" t="s">
        <v>2077</v>
      </c>
      <c r="I122" t="s">
        <v>1847</v>
      </c>
      <c r="J122" t="s">
        <v>30</v>
      </c>
      <c r="K122" t="s">
        <v>31</v>
      </c>
      <c r="L122" t="s">
        <v>44</v>
      </c>
      <c r="M122" t="s">
        <v>1719</v>
      </c>
      <c r="O122" s="2">
        <v>45406.491307870368</v>
      </c>
      <c r="P122" s="2"/>
      <c r="Q122" t="s">
        <v>48</v>
      </c>
      <c r="R122" t="s">
        <v>76</v>
      </c>
      <c r="S122" t="s">
        <v>33</v>
      </c>
    </row>
    <row r="123" spans="1:19" x14ac:dyDescent="0.35">
      <c r="A123" t="s">
        <v>23</v>
      </c>
      <c r="B123" t="s">
        <v>1846</v>
      </c>
      <c r="C123" t="s">
        <v>1989</v>
      </c>
      <c r="D123" t="s">
        <v>2119</v>
      </c>
      <c r="E123" s="2">
        <v>45670.762289699072</v>
      </c>
      <c r="F123" t="s">
        <v>2075</v>
      </c>
      <c r="G123" t="s">
        <v>2092</v>
      </c>
      <c r="H123" t="s">
        <v>2083</v>
      </c>
      <c r="I123" t="s">
        <v>1847</v>
      </c>
      <c r="J123" t="s">
        <v>30</v>
      </c>
      <c r="K123" t="s">
        <v>31</v>
      </c>
      <c r="L123" t="s">
        <v>44</v>
      </c>
      <c r="M123" t="s">
        <v>1719</v>
      </c>
      <c r="O123" s="2">
        <v>45406.491307870368</v>
      </c>
      <c r="P123" s="2"/>
      <c r="Q123" t="s">
        <v>48</v>
      </c>
      <c r="R123" t="s">
        <v>76</v>
      </c>
      <c r="S123" t="s">
        <v>33</v>
      </c>
    </row>
    <row r="124" spans="1:19" x14ac:dyDescent="0.35">
      <c r="A124" t="s">
        <v>23</v>
      </c>
      <c r="B124" t="s">
        <v>593</v>
      </c>
      <c r="C124" t="s">
        <v>1988</v>
      </c>
      <c r="D124" t="s">
        <v>2090</v>
      </c>
      <c r="E124" s="2">
        <v>45671.890967766201</v>
      </c>
      <c r="F124" t="s">
        <v>2085</v>
      </c>
      <c r="G124" t="s">
        <v>2086</v>
      </c>
      <c r="H124" t="s">
        <v>2077</v>
      </c>
      <c r="I124" t="s">
        <v>594</v>
      </c>
      <c r="J124" t="s">
        <v>30</v>
      </c>
      <c r="K124" t="s">
        <v>31</v>
      </c>
      <c r="L124" t="s">
        <v>44</v>
      </c>
      <c r="M124" t="s">
        <v>28</v>
      </c>
      <c r="N124">
        <v>10</v>
      </c>
      <c r="O124" s="2">
        <v>45425.669537037036</v>
      </c>
      <c r="P124" s="2">
        <v>45681.208333333336</v>
      </c>
      <c r="Q124" t="s">
        <v>38</v>
      </c>
      <c r="R124" t="s">
        <v>76</v>
      </c>
    </row>
    <row r="125" spans="1:19" x14ac:dyDescent="0.35">
      <c r="A125" t="s">
        <v>23</v>
      </c>
      <c r="B125" t="s">
        <v>1127</v>
      </c>
      <c r="C125" t="s">
        <v>1989</v>
      </c>
      <c r="D125" t="s">
        <v>2119</v>
      </c>
      <c r="E125" s="2">
        <v>45768.711141608794</v>
      </c>
      <c r="F125" t="s">
        <v>2080</v>
      </c>
      <c r="G125" t="s">
        <v>2100</v>
      </c>
      <c r="H125" t="s">
        <v>2077</v>
      </c>
      <c r="I125" t="s">
        <v>1128</v>
      </c>
      <c r="J125" t="s">
        <v>30</v>
      </c>
      <c r="K125" t="s">
        <v>31</v>
      </c>
      <c r="L125" t="s">
        <v>44</v>
      </c>
      <c r="M125" t="s">
        <v>28</v>
      </c>
      <c r="O125" s="2">
        <v>45429.844629629632</v>
      </c>
      <c r="P125" s="2">
        <v>45779.166666666664</v>
      </c>
      <c r="Q125" t="s">
        <v>48</v>
      </c>
      <c r="R125" t="s">
        <v>409</v>
      </c>
      <c r="S125" t="s">
        <v>33</v>
      </c>
    </row>
    <row r="126" spans="1:19" x14ac:dyDescent="0.35">
      <c r="A126" t="s">
        <v>23</v>
      </c>
      <c r="B126" t="s">
        <v>1127</v>
      </c>
      <c r="C126" t="s">
        <v>1989</v>
      </c>
      <c r="D126" t="s">
        <v>2119</v>
      </c>
      <c r="E126" s="2">
        <v>45768.711948067132</v>
      </c>
      <c r="F126" t="s">
        <v>2085</v>
      </c>
      <c r="G126" t="s">
        <v>2086</v>
      </c>
      <c r="H126" t="s">
        <v>2077</v>
      </c>
      <c r="I126" t="s">
        <v>1128</v>
      </c>
      <c r="J126" t="s">
        <v>30</v>
      </c>
      <c r="K126" t="s">
        <v>31</v>
      </c>
      <c r="L126" t="s">
        <v>44</v>
      </c>
      <c r="M126" t="s">
        <v>28</v>
      </c>
      <c r="O126" s="2">
        <v>45429.844629629632</v>
      </c>
      <c r="P126" s="2">
        <v>45779.166666666664</v>
      </c>
      <c r="Q126" t="s">
        <v>48</v>
      </c>
      <c r="R126" t="s">
        <v>409</v>
      </c>
      <c r="S126" t="s">
        <v>33</v>
      </c>
    </row>
    <row r="127" spans="1:19" x14ac:dyDescent="0.35">
      <c r="A127" t="s">
        <v>23</v>
      </c>
      <c r="B127" t="s">
        <v>1149</v>
      </c>
      <c r="C127" t="s">
        <v>1988</v>
      </c>
      <c r="D127" t="s">
        <v>2090</v>
      </c>
      <c r="E127" s="2">
        <v>45701.726380995373</v>
      </c>
      <c r="F127" t="s">
        <v>2085</v>
      </c>
      <c r="G127" t="s">
        <v>2086</v>
      </c>
      <c r="H127" t="s">
        <v>2077</v>
      </c>
      <c r="I127" t="s">
        <v>1150</v>
      </c>
      <c r="J127" t="s">
        <v>30</v>
      </c>
      <c r="K127" t="s">
        <v>31</v>
      </c>
      <c r="L127" t="s">
        <v>44</v>
      </c>
      <c r="M127" t="s">
        <v>28</v>
      </c>
      <c r="O127" s="2">
        <v>45434.873206018521</v>
      </c>
      <c r="P127" s="2">
        <v>45719.208333333336</v>
      </c>
      <c r="Q127" t="s">
        <v>57</v>
      </c>
      <c r="R127" t="s">
        <v>130</v>
      </c>
      <c r="S127" t="s">
        <v>33</v>
      </c>
    </row>
    <row r="128" spans="1:19" x14ac:dyDescent="0.35">
      <c r="A128" t="s">
        <v>23</v>
      </c>
      <c r="B128" t="s">
        <v>1165</v>
      </c>
      <c r="C128" t="s">
        <v>1988</v>
      </c>
      <c r="D128" t="s">
        <v>2090</v>
      </c>
      <c r="E128" s="2">
        <v>45685.86691571759</v>
      </c>
      <c r="F128" t="s">
        <v>2085</v>
      </c>
      <c r="G128" t="s">
        <v>2086</v>
      </c>
      <c r="H128" t="s">
        <v>2077</v>
      </c>
      <c r="I128" t="s">
        <v>1166</v>
      </c>
      <c r="J128" t="s">
        <v>30</v>
      </c>
      <c r="K128" t="s">
        <v>31</v>
      </c>
      <c r="L128" t="s">
        <v>44</v>
      </c>
      <c r="M128" t="s">
        <v>28</v>
      </c>
      <c r="O128" s="2">
        <v>45456.850462962961</v>
      </c>
      <c r="P128" s="2">
        <v>45715.208333333336</v>
      </c>
      <c r="Q128" t="s">
        <v>38</v>
      </c>
      <c r="R128" t="s">
        <v>76</v>
      </c>
      <c r="S128" t="s">
        <v>33</v>
      </c>
    </row>
    <row r="129" spans="1:19" x14ac:dyDescent="0.35">
      <c r="A129" t="s">
        <v>23</v>
      </c>
      <c r="B129" t="s">
        <v>1165</v>
      </c>
      <c r="C129" t="s">
        <v>1989</v>
      </c>
      <c r="D129" t="s">
        <v>2082</v>
      </c>
      <c r="E129" s="2">
        <v>45691.674079895834</v>
      </c>
      <c r="F129" t="s">
        <v>2080</v>
      </c>
      <c r="G129" t="s">
        <v>2081</v>
      </c>
      <c r="H129" t="s">
        <v>2077</v>
      </c>
      <c r="I129" t="s">
        <v>1166</v>
      </c>
      <c r="J129" t="s">
        <v>30</v>
      </c>
      <c r="K129" t="s">
        <v>31</v>
      </c>
      <c r="L129" t="s">
        <v>44</v>
      </c>
      <c r="M129" t="s">
        <v>28</v>
      </c>
      <c r="O129" s="2">
        <v>45456.850462962961</v>
      </c>
      <c r="P129" s="2">
        <v>45715.208333333336</v>
      </c>
      <c r="Q129" t="s">
        <v>38</v>
      </c>
      <c r="R129" t="s">
        <v>76</v>
      </c>
      <c r="S129" t="s">
        <v>33</v>
      </c>
    </row>
    <row r="130" spans="1:19" x14ac:dyDescent="0.35">
      <c r="A130" t="s">
        <v>23</v>
      </c>
      <c r="B130" t="s">
        <v>1165</v>
      </c>
      <c r="C130" t="s">
        <v>1989</v>
      </c>
      <c r="D130" t="s">
        <v>2082</v>
      </c>
      <c r="E130" s="2">
        <v>45691.67496246528</v>
      </c>
      <c r="F130" t="s">
        <v>2080</v>
      </c>
      <c r="G130" t="s">
        <v>2094</v>
      </c>
      <c r="H130" t="s">
        <v>2083</v>
      </c>
      <c r="I130" t="s">
        <v>1166</v>
      </c>
      <c r="J130" t="s">
        <v>30</v>
      </c>
      <c r="K130" t="s">
        <v>31</v>
      </c>
      <c r="L130" t="s">
        <v>44</v>
      </c>
      <c r="M130" t="s">
        <v>28</v>
      </c>
      <c r="O130" s="2">
        <v>45456.850462962961</v>
      </c>
      <c r="P130" s="2">
        <v>45715.208333333336</v>
      </c>
      <c r="Q130" t="s">
        <v>38</v>
      </c>
      <c r="R130" t="s">
        <v>76</v>
      </c>
      <c r="S130" t="s">
        <v>33</v>
      </c>
    </row>
    <row r="131" spans="1:19" x14ac:dyDescent="0.35">
      <c r="A131" t="s">
        <v>23</v>
      </c>
      <c r="B131" t="s">
        <v>782</v>
      </c>
      <c r="C131" t="s">
        <v>1988</v>
      </c>
      <c r="D131" t="s">
        <v>2090</v>
      </c>
      <c r="E131" s="2">
        <v>45758.860915902776</v>
      </c>
      <c r="F131" t="s">
        <v>2085</v>
      </c>
      <c r="G131" t="s">
        <v>2086</v>
      </c>
      <c r="H131" t="s">
        <v>2083</v>
      </c>
      <c r="I131" t="s">
        <v>783</v>
      </c>
      <c r="J131" t="s">
        <v>30</v>
      </c>
      <c r="K131" t="s">
        <v>31</v>
      </c>
      <c r="L131" t="s">
        <v>44</v>
      </c>
      <c r="M131" t="s">
        <v>28</v>
      </c>
      <c r="N131">
        <v>14</v>
      </c>
      <c r="O131" s="2">
        <v>45462.696111111109</v>
      </c>
      <c r="P131" s="2">
        <v>45776.166666666664</v>
      </c>
      <c r="Q131" t="s">
        <v>48</v>
      </c>
      <c r="R131" t="s">
        <v>130</v>
      </c>
      <c r="S131" t="s">
        <v>81</v>
      </c>
    </row>
    <row r="132" spans="1:19" x14ac:dyDescent="0.35">
      <c r="A132" t="s">
        <v>23</v>
      </c>
      <c r="B132" t="s">
        <v>1153</v>
      </c>
      <c r="C132" t="s">
        <v>1988</v>
      </c>
      <c r="D132" t="s">
        <v>2074</v>
      </c>
      <c r="E132" s="2">
        <v>45789.540813298612</v>
      </c>
      <c r="F132" t="s">
        <v>2075</v>
      </c>
      <c r="G132" t="s">
        <v>2092</v>
      </c>
      <c r="H132" t="s">
        <v>2083</v>
      </c>
      <c r="I132" t="s">
        <v>1154</v>
      </c>
      <c r="J132" t="s">
        <v>30</v>
      </c>
      <c r="K132" t="s">
        <v>31</v>
      </c>
      <c r="L132" t="s">
        <v>44</v>
      </c>
      <c r="M132" t="s">
        <v>28</v>
      </c>
      <c r="O132" s="2">
        <v>45464.677743055552</v>
      </c>
      <c r="P132" s="2">
        <v>45807.166666666664</v>
      </c>
      <c r="Q132" t="s">
        <v>48</v>
      </c>
      <c r="R132" t="s">
        <v>409</v>
      </c>
      <c r="S132" t="s">
        <v>140</v>
      </c>
    </row>
    <row r="133" spans="1:19" x14ac:dyDescent="0.35">
      <c r="A133" t="s">
        <v>23</v>
      </c>
      <c r="B133" t="s">
        <v>1153</v>
      </c>
      <c r="C133" t="s">
        <v>1989</v>
      </c>
      <c r="D133" t="s">
        <v>2119</v>
      </c>
      <c r="E133" s="2">
        <v>45791.512853113425</v>
      </c>
      <c r="F133" t="s">
        <v>2078</v>
      </c>
      <c r="G133" t="s">
        <v>2104</v>
      </c>
      <c r="H133" t="s">
        <v>2077</v>
      </c>
      <c r="I133" t="s">
        <v>1154</v>
      </c>
      <c r="J133" t="s">
        <v>30</v>
      </c>
      <c r="K133" t="s">
        <v>31</v>
      </c>
      <c r="L133" t="s">
        <v>44</v>
      </c>
      <c r="M133" t="s">
        <v>28</v>
      </c>
      <c r="O133" s="2">
        <v>45464.677743055552</v>
      </c>
      <c r="P133" s="2">
        <v>45807.166666666664</v>
      </c>
      <c r="Q133" t="s">
        <v>48</v>
      </c>
      <c r="R133" t="s">
        <v>409</v>
      </c>
      <c r="S133" t="s">
        <v>140</v>
      </c>
    </row>
    <row r="134" spans="1:19" x14ac:dyDescent="0.35">
      <c r="A134" t="s">
        <v>23</v>
      </c>
      <c r="B134" t="s">
        <v>599</v>
      </c>
      <c r="C134" t="s">
        <v>1988</v>
      </c>
      <c r="D134" t="s">
        <v>2084</v>
      </c>
      <c r="E134" s="2">
        <v>45832.042204826386</v>
      </c>
      <c r="F134" t="s">
        <v>2085</v>
      </c>
      <c r="G134" t="s">
        <v>2086</v>
      </c>
      <c r="H134" t="s">
        <v>2077</v>
      </c>
      <c r="I134" t="s">
        <v>600</v>
      </c>
      <c r="J134" t="s">
        <v>30</v>
      </c>
      <c r="K134" t="s">
        <v>31</v>
      </c>
      <c r="L134" t="s">
        <v>44</v>
      </c>
      <c r="M134" t="s">
        <v>28</v>
      </c>
      <c r="N134">
        <v>10</v>
      </c>
      <c r="O134" s="2">
        <v>45488.238900462966</v>
      </c>
      <c r="P134" s="2">
        <v>45861.166666666664</v>
      </c>
      <c r="Q134" t="s">
        <v>38</v>
      </c>
      <c r="R134" t="s">
        <v>54</v>
      </c>
      <c r="S134" t="s">
        <v>33</v>
      </c>
    </row>
    <row r="135" spans="1:19" x14ac:dyDescent="0.35">
      <c r="A135" t="s">
        <v>23</v>
      </c>
      <c r="B135" t="s">
        <v>837</v>
      </c>
      <c r="C135" t="s">
        <v>1989</v>
      </c>
      <c r="D135" t="s">
        <v>2131</v>
      </c>
      <c r="E135" s="2">
        <v>45693.839904456021</v>
      </c>
      <c r="F135" t="s">
        <v>2085</v>
      </c>
      <c r="G135" t="s">
        <v>2101</v>
      </c>
      <c r="H135" t="s">
        <v>2077</v>
      </c>
      <c r="I135" t="s">
        <v>838</v>
      </c>
      <c r="J135" t="s">
        <v>30</v>
      </c>
      <c r="K135" t="s">
        <v>31</v>
      </c>
      <c r="L135" t="s">
        <v>44</v>
      </c>
      <c r="M135" t="s">
        <v>28</v>
      </c>
      <c r="N135">
        <v>16</v>
      </c>
      <c r="O135" s="2">
        <v>45498.641087962962</v>
      </c>
      <c r="P135" s="2">
        <v>45701.208333333336</v>
      </c>
      <c r="Q135" t="s">
        <v>48</v>
      </c>
      <c r="R135" t="s">
        <v>76</v>
      </c>
      <c r="S135" t="s">
        <v>81</v>
      </c>
    </row>
    <row r="136" spans="1:19" x14ac:dyDescent="0.35">
      <c r="A136" t="s">
        <v>23</v>
      </c>
      <c r="B136" t="s">
        <v>885</v>
      </c>
      <c r="C136" t="s">
        <v>1988</v>
      </c>
      <c r="D136" t="s">
        <v>2074</v>
      </c>
      <c r="E136" s="2">
        <v>45748.870718784725</v>
      </c>
      <c r="F136" t="s">
        <v>2075</v>
      </c>
      <c r="G136" t="s">
        <v>2076</v>
      </c>
      <c r="H136" t="s">
        <v>2077</v>
      </c>
      <c r="I136" t="s">
        <v>886</v>
      </c>
      <c r="J136" t="s">
        <v>30</v>
      </c>
      <c r="K136" t="s">
        <v>31</v>
      </c>
      <c r="L136" t="s">
        <v>44</v>
      </c>
      <c r="M136" t="s">
        <v>28</v>
      </c>
      <c r="N136">
        <v>18</v>
      </c>
      <c r="O136" s="2">
        <v>45503.747662037036</v>
      </c>
      <c r="P136" s="2">
        <v>45776.166666666664</v>
      </c>
      <c r="Q136" t="s">
        <v>48</v>
      </c>
      <c r="R136" t="s">
        <v>409</v>
      </c>
      <c r="S136" t="s">
        <v>81</v>
      </c>
    </row>
    <row r="137" spans="1:19" x14ac:dyDescent="0.35">
      <c r="A137" t="s">
        <v>23</v>
      </c>
      <c r="B137" t="s">
        <v>1210</v>
      </c>
      <c r="C137" t="s">
        <v>1988</v>
      </c>
      <c r="D137" t="s">
        <v>2074</v>
      </c>
      <c r="E137" s="2">
        <v>45796.68732892361</v>
      </c>
      <c r="F137" t="s">
        <v>2080</v>
      </c>
      <c r="G137" t="s">
        <v>2081</v>
      </c>
      <c r="H137" t="s">
        <v>2077</v>
      </c>
      <c r="I137" t="s">
        <v>1211</v>
      </c>
      <c r="J137" t="s">
        <v>30</v>
      </c>
      <c r="K137" t="s">
        <v>31</v>
      </c>
      <c r="L137" t="s">
        <v>44</v>
      </c>
      <c r="M137" t="s">
        <v>28</v>
      </c>
      <c r="O137" s="2">
        <v>45506.88480324074</v>
      </c>
      <c r="P137" s="2">
        <v>45838.166666666664</v>
      </c>
      <c r="Q137" t="s">
        <v>48</v>
      </c>
      <c r="R137" t="s">
        <v>409</v>
      </c>
      <c r="S137" t="s">
        <v>81</v>
      </c>
    </row>
    <row r="138" spans="1:19" x14ac:dyDescent="0.35">
      <c r="A138" t="s">
        <v>23</v>
      </c>
      <c r="B138" t="s">
        <v>973</v>
      </c>
      <c r="C138" t="s">
        <v>1988</v>
      </c>
      <c r="D138" t="s">
        <v>2084</v>
      </c>
      <c r="E138" s="2">
        <v>45674.245821550925</v>
      </c>
      <c r="F138" t="s">
        <v>2085</v>
      </c>
      <c r="G138" t="s">
        <v>2086</v>
      </c>
      <c r="H138" t="s">
        <v>2077</v>
      </c>
      <c r="I138" t="s">
        <v>974</v>
      </c>
      <c r="J138" t="s">
        <v>30</v>
      </c>
      <c r="K138" t="s">
        <v>31</v>
      </c>
      <c r="L138" t="s">
        <v>44</v>
      </c>
      <c r="M138" t="s">
        <v>28</v>
      </c>
      <c r="N138">
        <v>23</v>
      </c>
      <c r="O138" s="2">
        <v>45518.834918981483</v>
      </c>
      <c r="P138" s="2">
        <v>45708.208333333336</v>
      </c>
      <c r="Q138" t="s">
        <v>38</v>
      </c>
      <c r="R138" t="s">
        <v>76</v>
      </c>
      <c r="S138" t="s">
        <v>33</v>
      </c>
    </row>
    <row r="139" spans="1:19" x14ac:dyDescent="0.35">
      <c r="A139" t="s">
        <v>23</v>
      </c>
      <c r="B139" t="s">
        <v>1191</v>
      </c>
      <c r="C139" t="s">
        <v>1988</v>
      </c>
      <c r="D139" t="s">
        <v>2084</v>
      </c>
      <c r="E139" s="2">
        <v>45714.697265254632</v>
      </c>
      <c r="F139" t="s">
        <v>2085</v>
      </c>
      <c r="G139" t="s">
        <v>2086</v>
      </c>
      <c r="H139" t="s">
        <v>2077</v>
      </c>
      <c r="I139" t="s">
        <v>1192</v>
      </c>
      <c r="J139" t="s">
        <v>30</v>
      </c>
      <c r="K139" t="s">
        <v>31</v>
      </c>
      <c r="L139" t="s">
        <v>44</v>
      </c>
      <c r="M139" t="s">
        <v>28</v>
      </c>
      <c r="O139" s="2">
        <v>45524.370416666665</v>
      </c>
      <c r="P139" s="2">
        <v>45742.166666666664</v>
      </c>
      <c r="Q139" t="s">
        <v>38</v>
      </c>
      <c r="R139" t="s">
        <v>130</v>
      </c>
      <c r="S139" t="s">
        <v>33</v>
      </c>
    </row>
    <row r="140" spans="1:19" x14ac:dyDescent="0.35">
      <c r="A140" t="s">
        <v>23</v>
      </c>
      <c r="B140" t="s">
        <v>1193</v>
      </c>
      <c r="C140" t="s">
        <v>1988</v>
      </c>
      <c r="D140" t="s">
        <v>2090</v>
      </c>
      <c r="E140" s="2">
        <v>45709.84991380787</v>
      </c>
      <c r="F140" t="s">
        <v>2075</v>
      </c>
      <c r="G140" t="s">
        <v>2105</v>
      </c>
      <c r="H140" t="s">
        <v>2077</v>
      </c>
      <c r="I140" t="s">
        <v>1194</v>
      </c>
      <c r="J140" t="s">
        <v>30</v>
      </c>
      <c r="K140" t="s">
        <v>31</v>
      </c>
      <c r="L140" t="s">
        <v>44</v>
      </c>
      <c r="M140" t="s">
        <v>28</v>
      </c>
      <c r="O140" s="2">
        <v>45525.769236111111</v>
      </c>
      <c r="P140" s="2">
        <v>45742.166666666664</v>
      </c>
      <c r="Q140" t="s">
        <v>38</v>
      </c>
      <c r="R140" t="s">
        <v>76</v>
      </c>
      <c r="S140" t="s">
        <v>33</v>
      </c>
    </row>
    <row r="141" spans="1:19" x14ac:dyDescent="0.35">
      <c r="A141" t="s">
        <v>23</v>
      </c>
      <c r="B141" t="s">
        <v>604</v>
      </c>
      <c r="C141" t="s">
        <v>1988</v>
      </c>
      <c r="D141" t="s">
        <v>2084</v>
      </c>
      <c r="E141" s="2">
        <v>45814.111703449074</v>
      </c>
      <c r="F141" t="s">
        <v>2085</v>
      </c>
      <c r="G141" t="s">
        <v>2086</v>
      </c>
      <c r="H141" t="s">
        <v>2077</v>
      </c>
      <c r="I141" t="s">
        <v>605</v>
      </c>
      <c r="J141" t="s">
        <v>30</v>
      </c>
      <c r="K141" t="s">
        <v>31</v>
      </c>
      <c r="L141" t="s">
        <v>44</v>
      </c>
      <c r="M141" t="s">
        <v>28</v>
      </c>
      <c r="N141">
        <v>10</v>
      </c>
      <c r="O141" s="2">
        <v>45526.692800925928</v>
      </c>
      <c r="P141" s="2">
        <v>45852.166666666664</v>
      </c>
      <c r="Q141" t="s">
        <v>32</v>
      </c>
      <c r="R141" t="s">
        <v>25</v>
      </c>
      <c r="S141" t="s">
        <v>81</v>
      </c>
    </row>
    <row r="142" spans="1:19" x14ac:dyDescent="0.35">
      <c r="A142" t="s">
        <v>23</v>
      </c>
      <c r="B142" t="s">
        <v>779</v>
      </c>
      <c r="C142" t="s">
        <v>1989</v>
      </c>
      <c r="D142" t="s">
        <v>2087</v>
      </c>
      <c r="E142" s="2">
        <v>45852.639918923611</v>
      </c>
      <c r="F142" t="s">
        <v>2075</v>
      </c>
      <c r="G142" t="s">
        <v>2099</v>
      </c>
      <c r="H142" t="s">
        <v>2077</v>
      </c>
      <c r="I142" t="s">
        <v>780</v>
      </c>
      <c r="J142" t="s">
        <v>30</v>
      </c>
      <c r="K142" t="s">
        <v>70</v>
      </c>
      <c r="L142" t="s">
        <v>44</v>
      </c>
      <c r="M142" t="s">
        <v>28</v>
      </c>
      <c r="N142">
        <v>14</v>
      </c>
      <c r="O142" s="2">
        <v>45530.829675925925</v>
      </c>
      <c r="P142" s="2">
        <v>45863.166666666664</v>
      </c>
      <c r="Q142" t="s">
        <v>38</v>
      </c>
      <c r="R142" t="s">
        <v>36</v>
      </c>
      <c r="S142" t="s">
        <v>33</v>
      </c>
    </row>
    <row r="143" spans="1:19" x14ac:dyDescent="0.35">
      <c r="A143" t="s">
        <v>23</v>
      </c>
      <c r="B143" t="s">
        <v>779</v>
      </c>
      <c r="C143" t="s">
        <v>1989</v>
      </c>
      <c r="D143" t="s">
        <v>2087</v>
      </c>
      <c r="E143" s="2">
        <v>45852.64070048611</v>
      </c>
      <c r="F143" t="s">
        <v>2075</v>
      </c>
      <c r="G143" t="s">
        <v>2076</v>
      </c>
      <c r="H143" t="s">
        <v>2077</v>
      </c>
      <c r="I143" t="s">
        <v>780</v>
      </c>
      <c r="J143" t="s">
        <v>30</v>
      </c>
      <c r="K143" t="s">
        <v>70</v>
      </c>
      <c r="L143" t="s">
        <v>44</v>
      </c>
      <c r="M143" t="s">
        <v>28</v>
      </c>
      <c r="N143">
        <v>14</v>
      </c>
      <c r="O143" s="2">
        <v>45530.829675925925</v>
      </c>
      <c r="P143" s="2">
        <v>45863.166666666664</v>
      </c>
      <c r="Q143" t="s">
        <v>38</v>
      </c>
      <c r="R143" t="s">
        <v>36</v>
      </c>
      <c r="S143" t="s">
        <v>33</v>
      </c>
    </row>
    <row r="144" spans="1:19" x14ac:dyDescent="0.35">
      <c r="A144" t="s">
        <v>23</v>
      </c>
      <c r="B144" t="s">
        <v>1353</v>
      </c>
      <c r="C144" t="s">
        <v>1989</v>
      </c>
      <c r="D144" t="s">
        <v>2087</v>
      </c>
      <c r="E144" s="2">
        <v>45786.745838495372</v>
      </c>
      <c r="F144" t="s">
        <v>2085</v>
      </c>
      <c r="G144" t="s">
        <v>2086</v>
      </c>
      <c r="H144" t="s">
        <v>2077</v>
      </c>
      <c r="I144" t="s">
        <v>1354</v>
      </c>
      <c r="J144" t="s">
        <v>30</v>
      </c>
      <c r="K144" t="s">
        <v>70</v>
      </c>
      <c r="L144" t="s">
        <v>44</v>
      </c>
      <c r="M144" t="s">
        <v>28</v>
      </c>
      <c r="O144" s="2">
        <v>45531.458043981482</v>
      </c>
      <c r="P144" s="2">
        <v>45786.166666666664</v>
      </c>
      <c r="Q144" t="s">
        <v>38</v>
      </c>
      <c r="R144" t="s">
        <v>36</v>
      </c>
      <c r="S144" t="s">
        <v>33</v>
      </c>
    </row>
    <row r="145" spans="1:19" x14ac:dyDescent="0.35">
      <c r="A145" t="s">
        <v>23</v>
      </c>
      <c r="B145" t="s">
        <v>998</v>
      </c>
      <c r="C145" t="s">
        <v>1988</v>
      </c>
      <c r="D145" t="s">
        <v>2084</v>
      </c>
      <c r="E145" s="2">
        <v>45736.826639386571</v>
      </c>
      <c r="F145" t="s">
        <v>2085</v>
      </c>
      <c r="G145" t="s">
        <v>2086</v>
      </c>
      <c r="H145" t="s">
        <v>2077</v>
      </c>
      <c r="I145" t="s">
        <v>999</v>
      </c>
      <c r="J145" t="s">
        <v>30</v>
      </c>
      <c r="K145" t="s">
        <v>31</v>
      </c>
      <c r="L145" t="s">
        <v>44</v>
      </c>
      <c r="M145" t="s">
        <v>28</v>
      </c>
      <c r="N145">
        <v>26</v>
      </c>
      <c r="O145" s="2">
        <v>45539.632106481484</v>
      </c>
      <c r="P145" s="2">
        <v>45796.166666666664</v>
      </c>
      <c r="Q145" t="s">
        <v>38</v>
      </c>
      <c r="R145" t="s">
        <v>130</v>
      </c>
      <c r="S145" t="s">
        <v>33</v>
      </c>
    </row>
    <row r="146" spans="1:19" x14ac:dyDescent="0.35">
      <c r="A146" t="s">
        <v>23</v>
      </c>
      <c r="B146" t="s">
        <v>1256</v>
      </c>
      <c r="C146" t="s">
        <v>1988</v>
      </c>
      <c r="D146" t="s">
        <v>2084</v>
      </c>
      <c r="E146" s="2">
        <v>45751.810759560183</v>
      </c>
      <c r="F146" t="s">
        <v>2085</v>
      </c>
      <c r="G146" t="s">
        <v>2086</v>
      </c>
      <c r="H146" t="s">
        <v>2077</v>
      </c>
      <c r="I146" t="s">
        <v>1257</v>
      </c>
      <c r="J146" t="s">
        <v>30</v>
      </c>
      <c r="K146" t="s">
        <v>31</v>
      </c>
      <c r="L146" t="s">
        <v>44</v>
      </c>
      <c r="M146" t="s">
        <v>28</v>
      </c>
      <c r="O146" s="2">
        <v>45547.397893518515</v>
      </c>
      <c r="P146" s="2">
        <v>45777.166666666664</v>
      </c>
      <c r="Q146" t="s">
        <v>38</v>
      </c>
      <c r="R146" t="s">
        <v>244</v>
      </c>
    </row>
    <row r="147" spans="1:19" x14ac:dyDescent="0.35">
      <c r="A147" t="s">
        <v>23</v>
      </c>
      <c r="B147" t="s">
        <v>1256</v>
      </c>
      <c r="C147" t="s">
        <v>1988</v>
      </c>
      <c r="D147" t="s">
        <v>2084</v>
      </c>
      <c r="E147" s="2">
        <v>45756.159861215281</v>
      </c>
      <c r="F147" t="s">
        <v>2085</v>
      </c>
      <c r="G147" t="s">
        <v>2086</v>
      </c>
      <c r="H147" t="s">
        <v>2077</v>
      </c>
      <c r="I147" t="s">
        <v>1257</v>
      </c>
      <c r="J147" t="s">
        <v>30</v>
      </c>
      <c r="K147" t="s">
        <v>31</v>
      </c>
      <c r="L147" t="s">
        <v>44</v>
      </c>
      <c r="M147" t="s">
        <v>28</v>
      </c>
      <c r="O147" s="2">
        <v>45547.397893518515</v>
      </c>
      <c r="P147" s="2">
        <v>45777.166666666664</v>
      </c>
      <c r="Q147" t="s">
        <v>38</v>
      </c>
      <c r="R147" t="s">
        <v>244</v>
      </c>
    </row>
    <row r="148" spans="1:19" x14ac:dyDescent="0.35">
      <c r="A148" t="s">
        <v>23</v>
      </c>
      <c r="B148" t="s">
        <v>1256</v>
      </c>
      <c r="C148" t="s">
        <v>1988</v>
      </c>
      <c r="D148" t="s">
        <v>2084</v>
      </c>
      <c r="E148" s="2">
        <v>45770.669713657408</v>
      </c>
      <c r="F148" t="s">
        <v>2085</v>
      </c>
      <c r="G148" t="s">
        <v>2086</v>
      </c>
      <c r="H148" t="s">
        <v>2077</v>
      </c>
      <c r="I148" t="s">
        <v>1257</v>
      </c>
      <c r="J148" t="s">
        <v>30</v>
      </c>
      <c r="K148" t="s">
        <v>31</v>
      </c>
      <c r="L148" t="s">
        <v>44</v>
      </c>
      <c r="M148" t="s">
        <v>28</v>
      </c>
      <c r="O148" s="2">
        <v>45547.397893518515</v>
      </c>
      <c r="P148" s="2">
        <v>45777.166666666664</v>
      </c>
      <c r="Q148" t="s">
        <v>38</v>
      </c>
      <c r="R148" t="s">
        <v>244</v>
      </c>
    </row>
    <row r="149" spans="1:19" x14ac:dyDescent="0.35">
      <c r="A149" t="s">
        <v>23</v>
      </c>
      <c r="B149" t="s">
        <v>1934</v>
      </c>
      <c r="C149" t="s">
        <v>1988</v>
      </c>
      <c r="D149" t="s">
        <v>2132</v>
      </c>
      <c r="E149" s="2">
        <v>45664.627855150466</v>
      </c>
      <c r="F149" t="s">
        <v>2080</v>
      </c>
      <c r="G149" t="s">
        <v>2094</v>
      </c>
      <c r="H149" t="s">
        <v>2077</v>
      </c>
      <c r="I149" t="s">
        <v>1935</v>
      </c>
      <c r="J149" t="s">
        <v>30</v>
      </c>
      <c r="K149" t="s">
        <v>31</v>
      </c>
      <c r="L149" t="s">
        <v>44</v>
      </c>
      <c r="M149" t="s">
        <v>1719</v>
      </c>
      <c r="O149" s="2">
        <v>45551.769594907404</v>
      </c>
      <c r="P149" s="2"/>
      <c r="Q149" t="s">
        <v>38</v>
      </c>
      <c r="R149" t="s">
        <v>36</v>
      </c>
    </row>
    <row r="150" spans="1:19" x14ac:dyDescent="0.35">
      <c r="A150" t="s">
        <v>23</v>
      </c>
      <c r="B150" t="s">
        <v>1227</v>
      </c>
      <c r="C150" t="s">
        <v>1988</v>
      </c>
      <c r="D150" t="s">
        <v>2084</v>
      </c>
      <c r="E150" s="2">
        <v>45796.051725069447</v>
      </c>
      <c r="F150" t="s">
        <v>2085</v>
      </c>
      <c r="G150" t="s">
        <v>2086</v>
      </c>
      <c r="H150" t="s">
        <v>2077</v>
      </c>
      <c r="I150" t="s">
        <v>1228</v>
      </c>
      <c r="J150" t="s">
        <v>30</v>
      </c>
      <c r="K150" t="s">
        <v>31</v>
      </c>
      <c r="L150" t="s">
        <v>44</v>
      </c>
      <c r="M150" t="s">
        <v>28</v>
      </c>
      <c r="O150" s="2">
        <v>45554.738819444443</v>
      </c>
      <c r="P150" s="2">
        <v>45820.166666666664</v>
      </c>
      <c r="Q150" t="s">
        <v>38</v>
      </c>
      <c r="R150" t="s">
        <v>130</v>
      </c>
      <c r="S150" t="s">
        <v>81</v>
      </c>
    </row>
    <row r="151" spans="1:19" x14ac:dyDescent="0.35">
      <c r="A151" t="s">
        <v>23</v>
      </c>
      <c r="B151" t="s">
        <v>1233</v>
      </c>
      <c r="C151" t="s">
        <v>1988</v>
      </c>
      <c r="D151" t="s">
        <v>2084</v>
      </c>
      <c r="E151" s="2">
        <v>45740.857584814818</v>
      </c>
      <c r="F151" t="s">
        <v>2085</v>
      </c>
      <c r="G151" t="s">
        <v>2086</v>
      </c>
      <c r="H151" t="s">
        <v>2077</v>
      </c>
      <c r="I151" t="s">
        <v>1234</v>
      </c>
      <c r="J151" t="s">
        <v>30</v>
      </c>
      <c r="K151" t="s">
        <v>31</v>
      </c>
      <c r="L151" t="s">
        <v>44</v>
      </c>
      <c r="M151" t="s">
        <v>28</v>
      </c>
      <c r="O151" s="2">
        <v>45555.561030092591</v>
      </c>
      <c r="P151" s="2">
        <v>45769.166666666664</v>
      </c>
      <c r="Q151" t="s">
        <v>38</v>
      </c>
      <c r="R151" t="s">
        <v>130</v>
      </c>
      <c r="S151" t="s">
        <v>33</v>
      </c>
    </row>
    <row r="152" spans="1:19" x14ac:dyDescent="0.35">
      <c r="A152" t="s">
        <v>23</v>
      </c>
      <c r="B152" t="s">
        <v>1237</v>
      </c>
      <c r="C152" t="s">
        <v>1988</v>
      </c>
      <c r="D152" t="s">
        <v>2074</v>
      </c>
      <c r="E152" s="2">
        <v>45685.668806365742</v>
      </c>
      <c r="F152" t="s">
        <v>2075</v>
      </c>
      <c r="G152" t="s">
        <v>2092</v>
      </c>
      <c r="H152" t="s">
        <v>2083</v>
      </c>
      <c r="I152" t="s">
        <v>1238</v>
      </c>
      <c r="J152" t="s">
        <v>30</v>
      </c>
      <c r="K152" t="s">
        <v>31</v>
      </c>
      <c r="L152" t="s">
        <v>44</v>
      </c>
      <c r="M152" t="s">
        <v>28</v>
      </c>
      <c r="O152" s="2">
        <v>45555.620868055557</v>
      </c>
      <c r="P152" s="2">
        <v>45714.208333333336</v>
      </c>
      <c r="Q152" t="s">
        <v>38</v>
      </c>
      <c r="R152" t="s">
        <v>76</v>
      </c>
      <c r="S152" t="s">
        <v>81</v>
      </c>
    </row>
    <row r="153" spans="1:19" x14ac:dyDescent="0.35">
      <c r="A153" t="s">
        <v>23</v>
      </c>
      <c r="B153" t="s">
        <v>981</v>
      </c>
      <c r="C153" t="s">
        <v>1988</v>
      </c>
      <c r="D153" t="s">
        <v>2090</v>
      </c>
      <c r="E153" s="2">
        <v>45679.702273101851</v>
      </c>
      <c r="F153" t="s">
        <v>2085</v>
      </c>
      <c r="G153" t="s">
        <v>2101</v>
      </c>
      <c r="H153" t="s">
        <v>2077</v>
      </c>
      <c r="I153" t="s">
        <v>982</v>
      </c>
      <c r="J153" t="s">
        <v>30</v>
      </c>
      <c r="K153" t="s">
        <v>31</v>
      </c>
      <c r="L153" t="s">
        <v>44</v>
      </c>
      <c r="M153" t="s">
        <v>28</v>
      </c>
      <c r="N153">
        <v>24</v>
      </c>
      <c r="O153" s="2">
        <v>45561.621157407404</v>
      </c>
      <c r="P153" s="2">
        <v>45708.208333333336</v>
      </c>
      <c r="Q153" t="s">
        <v>38</v>
      </c>
      <c r="R153" t="s">
        <v>76</v>
      </c>
      <c r="S153" t="s">
        <v>33</v>
      </c>
    </row>
    <row r="154" spans="1:19" x14ac:dyDescent="0.35">
      <c r="A154" t="s">
        <v>23</v>
      </c>
      <c r="B154" t="s">
        <v>2133</v>
      </c>
      <c r="C154" t="s">
        <v>1982</v>
      </c>
      <c r="D154" t="s">
        <v>2074</v>
      </c>
      <c r="E154" s="2">
        <v>45671.856171863423</v>
      </c>
      <c r="F154" t="s">
        <v>2088</v>
      </c>
      <c r="G154" t="s">
        <v>2134</v>
      </c>
      <c r="H154" t="s">
        <v>2077</v>
      </c>
      <c r="I154" t="s">
        <v>2135</v>
      </c>
      <c r="J154" t="s">
        <v>2136</v>
      </c>
      <c r="K154" t="s">
        <v>2137</v>
      </c>
      <c r="L154" t="s">
        <v>44</v>
      </c>
      <c r="M154" t="s">
        <v>1716</v>
      </c>
      <c r="O154" s="2">
        <v>45562.759548611109</v>
      </c>
      <c r="P154" s="2"/>
      <c r="Q154" t="s">
        <v>32</v>
      </c>
      <c r="R154" t="s">
        <v>25</v>
      </c>
      <c r="S154" t="s">
        <v>81</v>
      </c>
    </row>
    <row r="155" spans="1:19" x14ac:dyDescent="0.35">
      <c r="A155" t="s">
        <v>23</v>
      </c>
      <c r="B155" t="s">
        <v>2133</v>
      </c>
      <c r="C155" t="s">
        <v>1982</v>
      </c>
      <c r="D155" t="s">
        <v>2074</v>
      </c>
      <c r="E155" s="2">
        <v>45673.649071701388</v>
      </c>
      <c r="F155" t="s">
        <v>2075</v>
      </c>
      <c r="G155" t="s">
        <v>2099</v>
      </c>
      <c r="H155" t="s">
        <v>2077</v>
      </c>
      <c r="I155" t="s">
        <v>2135</v>
      </c>
      <c r="J155" t="s">
        <v>2136</v>
      </c>
      <c r="K155" t="s">
        <v>2137</v>
      </c>
      <c r="L155" t="s">
        <v>44</v>
      </c>
      <c r="M155" t="s">
        <v>1716</v>
      </c>
      <c r="O155" s="2">
        <v>45562.759548611109</v>
      </c>
      <c r="P155" s="2"/>
      <c r="Q155" t="s">
        <v>32</v>
      </c>
      <c r="R155" t="s">
        <v>25</v>
      </c>
      <c r="S155" t="s">
        <v>81</v>
      </c>
    </row>
    <row r="156" spans="1:19" x14ac:dyDescent="0.35">
      <c r="A156" t="s">
        <v>23</v>
      </c>
      <c r="B156" t="s">
        <v>2133</v>
      </c>
      <c r="C156" t="s">
        <v>1988</v>
      </c>
      <c r="D156" t="s">
        <v>2074</v>
      </c>
      <c r="E156" s="2">
        <v>45693.644550555553</v>
      </c>
      <c r="F156" t="s">
        <v>2075</v>
      </c>
      <c r="G156" t="s">
        <v>2105</v>
      </c>
      <c r="H156" t="s">
        <v>2083</v>
      </c>
      <c r="I156" t="s">
        <v>2135</v>
      </c>
      <c r="J156" t="s">
        <v>2136</v>
      </c>
      <c r="K156" t="s">
        <v>2137</v>
      </c>
      <c r="L156" t="s">
        <v>44</v>
      </c>
      <c r="M156" t="s">
        <v>1716</v>
      </c>
      <c r="O156" s="2">
        <v>45562.759548611109</v>
      </c>
      <c r="P156" s="2"/>
      <c r="Q156" t="s">
        <v>32</v>
      </c>
      <c r="R156" t="s">
        <v>25</v>
      </c>
      <c r="S156" t="s">
        <v>81</v>
      </c>
    </row>
    <row r="157" spans="1:19" x14ac:dyDescent="0.35">
      <c r="A157" t="s">
        <v>23</v>
      </c>
      <c r="B157" t="s">
        <v>2133</v>
      </c>
      <c r="C157" t="s">
        <v>1988</v>
      </c>
      <c r="D157" t="s">
        <v>2074</v>
      </c>
      <c r="E157" s="2">
        <v>45722.624777511577</v>
      </c>
      <c r="F157" t="s">
        <v>2075</v>
      </c>
      <c r="G157" t="s">
        <v>2092</v>
      </c>
      <c r="H157" t="s">
        <v>2077</v>
      </c>
      <c r="I157" t="s">
        <v>2135</v>
      </c>
      <c r="J157" t="s">
        <v>2136</v>
      </c>
      <c r="K157" t="s">
        <v>2137</v>
      </c>
      <c r="L157" t="s">
        <v>44</v>
      </c>
      <c r="M157" t="s">
        <v>1716</v>
      </c>
      <c r="O157" s="2">
        <v>45562.759548611109</v>
      </c>
      <c r="P157" s="2"/>
      <c r="Q157" t="s">
        <v>32</v>
      </c>
      <c r="R157" t="s">
        <v>25</v>
      </c>
      <c r="S157" t="s">
        <v>81</v>
      </c>
    </row>
    <row r="158" spans="1:19" x14ac:dyDescent="0.35">
      <c r="A158" t="s">
        <v>23</v>
      </c>
      <c r="B158" t="s">
        <v>665</v>
      </c>
      <c r="C158" t="s">
        <v>1982</v>
      </c>
      <c r="D158" t="s">
        <v>2090</v>
      </c>
      <c r="E158" s="2">
        <v>45680.828427349537</v>
      </c>
      <c r="F158" t="s">
        <v>2088</v>
      </c>
      <c r="G158" t="s">
        <v>2091</v>
      </c>
      <c r="H158" t="s">
        <v>2077</v>
      </c>
      <c r="I158" t="s">
        <v>666</v>
      </c>
      <c r="J158" t="s">
        <v>30</v>
      </c>
      <c r="K158" t="s">
        <v>31</v>
      </c>
      <c r="L158" t="s">
        <v>44</v>
      </c>
      <c r="M158" t="s">
        <v>28</v>
      </c>
      <c r="N158">
        <v>11</v>
      </c>
      <c r="O158" s="2">
        <v>45562.807627314818</v>
      </c>
      <c r="P158" s="2">
        <v>45729.166666666664</v>
      </c>
      <c r="Q158" t="s">
        <v>38</v>
      </c>
      <c r="R158" t="s">
        <v>76</v>
      </c>
      <c r="S158" t="s">
        <v>33</v>
      </c>
    </row>
    <row r="159" spans="1:19" x14ac:dyDescent="0.35">
      <c r="A159" t="s">
        <v>23</v>
      </c>
      <c r="B159" t="s">
        <v>665</v>
      </c>
      <c r="C159" t="s">
        <v>1988</v>
      </c>
      <c r="D159" t="s">
        <v>2090</v>
      </c>
      <c r="E159" s="2">
        <v>45714.911705937498</v>
      </c>
      <c r="F159" t="s">
        <v>2085</v>
      </c>
      <c r="G159" t="s">
        <v>2101</v>
      </c>
      <c r="H159" t="s">
        <v>2077</v>
      </c>
      <c r="I159" t="s">
        <v>666</v>
      </c>
      <c r="J159" t="s">
        <v>30</v>
      </c>
      <c r="K159" t="s">
        <v>31</v>
      </c>
      <c r="L159" t="s">
        <v>44</v>
      </c>
      <c r="M159" t="s">
        <v>28</v>
      </c>
      <c r="N159">
        <v>11</v>
      </c>
      <c r="O159" s="2">
        <v>45562.807627314818</v>
      </c>
      <c r="P159" s="2">
        <v>45729.166666666664</v>
      </c>
      <c r="Q159" t="s">
        <v>38</v>
      </c>
      <c r="R159" t="s">
        <v>76</v>
      </c>
      <c r="S159" t="s">
        <v>33</v>
      </c>
    </row>
    <row r="160" spans="1:19" x14ac:dyDescent="0.35">
      <c r="A160" t="s">
        <v>23</v>
      </c>
      <c r="B160" t="s">
        <v>1269</v>
      </c>
      <c r="C160" t="s">
        <v>1989</v>
      </c>
      <c r="D160" t="s">
        <v>2119</v>
      </c>
      <c r="E160" s="2">
        <v>45791.51709415509</v>
      </c>
      <c r="F160" t="s">
        <v>2080</v>
      </c>
      <c r="G160" t="s">
        <v>2094</v>
      </c>
      <c r="H160" t="s">
        <v>2077</v>
      </c>
      <c r="I160" t="s">
        <v>1270</v>
      </c>
      <c r="J160" t="s">
        <v>30</v>
      </c>
      <c r="K160" t="s">
        <v>31</v>
      </c>
      <c r="L160" t="s">
        <v>44</v>
      </c>
      <c r="M160" t="s">
        <v>28</v>
      </c>
      <c r="O160" s="2">
        <v>45565.84233796296</v>
      </c>
      <c r="P160" s="2">
        <v>45838.166666666664</v>
      </c>
      <c r="Q160" t="s">
        <v>48</v>
      </c>
      <c r="R160" t="s">
        <v>409</v>
      </c>
      <c r="S160" t="s">
        <v>81</v>
      </c>
    </row>
    <row r="161" spans="1:19" x14ac:dyDescent="0.35">
      <c r="A161" t="s">
        <v>23</v>
      </c>
      <c r="B161" t="s">
        <v>791</v>
      </c>
      <c r="C161" t="s">
        <v>1988</v>
      </c>
      <c r="D161" t="s">
        <v>2084</v>
      </c>
      <c r="E161" s="2">
        <v>45693.941336689815</v>
      </c>
      <c r="F161" t="s">
        <v>2085</v>
      </c>
      <c r="G161" t="s">
        <v>2086</v>
      </c>
      <c r="H161" t="s">
        <v>2077</v>
      </c>
      <c r="I161" t="s">
        <v>792</v>
      </c>
      <c r="J161" t="s">
        <v>30</v>
      </c>
      <c r="K161" t="s">
        <v>31</v>
      </c>
      <c r="L161" t="s">
        <v>44</v>
      </c>
      <c r="M161" t="s">
        <v>28</v>
      </c>
      <c r="N161">
        <v>14</v>
      </c>
      <c r="O161" s="2">
        <v>45566.603738425925</v>
      </c>
      <c r="P161" s="2">
        <v>45730.166666666664</v>
      </c>
      <c r="Q161" t="s">
        <v>38</v>
      </c>
      <c r="R161" t="s">
        <v>76</v>
      </c>
      <c r="S161" t="s">
        <v>33</v>
      </c>
    </row>
    <row r="162" spans="1:19" x14ac:dyDescent="0.35">
      <c r="A162" t="s">
        <v>23</v>
      </c>
      <c r="B162" t="s">
        <v>755</v>
      </c>
      <c r="C162" t="s">
        <v>1988</v>
      </c>
      <c r="D162" t="s">
        <v>2084</v>
      </c>
      <c r="E162" s="2">
        <v>45730.822429409724</v>
      </c>
      <c r="F162" t="s">
        <v>2085</v>
      </c>
      <c r="G162" t="s">
        <v>2086</v>
      </c>
      <c r="H162" t="s">
        <v>2077</v>
      </c>
      <c r="I162" t="s">
        <v>756</v>
      </c>
      <c r="J162" t="s">
        <v>30</v>
      </c>
      <c r="K162" t="s">
        <v>31</v>
      </c>
      <c r="L162" t="s">
        <v>44</v>
      </c>
      <c r="M162" t="s">
        <v>28</v>
      </c>
      <c r="N162">
        <v>13</v>
      </c>
      <c r="O162" s="2">
        <v>45567.556331018517</v>
      </c>
      <c r="P162" s="2">
        <v>45744.166666666664</v>
      </c>
      <c r="Q162" t="s">
        <v>38</v>
      </c>
      <c r="R162" t="s">
        <v>54</v>
      </c>
      <c r="S162" t="s">
        <v>33</v>
      </c>
    </row>
    <row r="163" spans="1:19" x14ac:dyDescent="0.35">
      <c r="A163" t="s">
        <v>23</v>
      </c>
      <c r="B163" t="s">
        <v>755</v>
      </c>
      <c r="C163" t="s">
        <v>1989</v>
      </c>
      <c r="D163" t="s">
        <v>2082</v>
      </c>
      <c r="E163" s="2">
        <v>45736.805829745368</v>
      </c>
      <c r="F163" t="s">
        <v>2080</v>
      </c>
      <c r="G163" t="s">
        <v>2094</v>
      </c>
      <c r="H163" t="s">
        <v>2077</v>
      </c>
      <c r="I163" t="s">
        <v>756</v>
      </c>
      <c r="J163" t="s">
        <v>30</v>
      </c>
      <c r="K163" t="s">
        <v>31</v>
      </c>
      <c r="L163" t="s">
        <v>44</v>
      </c>
      <c r="M163" t="s">
        <v>28</v>
      </c>
      <c r="N163">
        <v>13</v>
      </c>
      <c r="O163" s="2">
        <v>45567.556331018517</v>
      </c>
      <c r="P163" s="2">
        <v>45744.166666666664</v>
      </c>
      <c r="Q163" t="s">
        <v>38</v>
      </c>
      <c r="R163" t="s">
        <v>54</v>
      </c>
      <c r="S163" t="s">
        <v>33</v>
      </c>
    </row>
    <row r="164" spans="1:19" x14ac:dyDescent="0.35">
      <c r="A164" t="s">
        <v>23</v>
      </c>
      <c r="B164" t="s">
        <v>725</v>
      </c>
      <c r="C164" t="s">
        <v>1982</v>
      </c>
      <c r="D164" t="s">
        <v>2090</v>
      </c>
      <c r="E164" s="2">
        <v>45709.69016697917</v>
      </c>
      <c r="F164" t="s">
        <v>2088</v>
      </c>
      <c r="G164" t="s">
        <v>2091</v>
      </c>
      <c r="H164" t="s">
        <v>2083</v>
      </c>
      <c r="I164" t="s">
        <v>726</v>
      </c>
      <c r="J164" t="s">
        <v>30</v>
      </c>
      <c r="K164" t="s">
        <v>31</v>
      </c>
      <c r="L164" t="s">
        <v>44</v>
      </c>
      <c r="M164" t="s">
        <v>28</v>
      </c>
      <c r="N164">
        <v>12</v>
      </c>
      <c r="O164" s="2">
        <v>45569.863761574074</v>
      </c>
      <c r="P164" s="2">
        <v>45776.166666666664</v>
      </c>
      <c r="Q164" t="s">
        <v>38</v>
      </c>
      <c r="R164" t="s">
        <v>130</v>
      </c>
      <c r="S164" t="s">
        <v>33</v>
      </c>
    </row>
    <row r="165" spans="1:19" x14ac:dyDescent="0.35">
      <c r="A165" t="s">
        <v>23</v>
      </c>
      <c r="B165" t="s">
        <v>725</v>
      </c>
      <c r="C165" t="s">
        <v>1982</v>
      </c>
      <c r="D165" t="s">
        <v>2090</v>
      </c>
      <c r="E165" s="2">
        <v>45720.894982754631</v>
      </c>
      <c r="F165" t="s">
        <v>2088</v>
      </c>
      <c r="G165" t="s">
        <v>2091</v>
      </c>
      <c r="H165" t="s">
        <v>2083</v>
      </c>
      <c r="I165" t="s">
        <v>726</v>
      </c>
      <c r="J165" t="s">
        <v>30</v>
      </c>
      <c r="K165" t="s">
        <v>31</v>
      </c>
      <c r="L165" t="s">
        <v>44</v>
      </c>
      <c r="M165" t="s">
        <v>28</v>
      </c>
      <c r="N165">
        <v>12</v>
      </c>
      <c r="O165" s="2">
        <v>45569.863761574074</v>
      </c>
      <c r="P165" s="2">
        <v>45776.166666666664</v>
      </c>
      <c r="Q165" t="s">
        <v>38</v>
      </c>
      <c r="R165" t="s">
        <v>130</v>
      </c>
      <c r="S165" t="s">
        <v>33</v>
      </c>
    </row>
    <row r="166" spans="1:19" x14ac:dyDescent="0.35">
      <c r="A166" t="s">
        <v>23</v>
      </c>
      <c r="B166" t="s">
        <v>725</v>
      </c>
      <c r="C166" t="s">
        <v>1988</v>
      </c>
      <c r="D166" t="s">
        <v>2090</v>
      </c>
      <c r="E166" s="2">
        <v>45755.709841736112</v>
      </c>
      <c r="F166" t="s">
        <v>2085</v>
      </c>
      <c r="G166" t="s">
        <v>2101</v>
      </c>
      <c r="H166" t="s">
        <v>2083</v>
      </c>
      <c r="I166" t="s">
        <v>726</v>
      </c>
      <c r="J166" t="s">
        <v>30</v>
      </c>
      <c r="K166" t="s">
        <v>31</v>
      </c>
      <c r="L166" t="s">
        <v>44</v>
      </c>
      <c r="M166" t="s">
        <v>28</v>
      </c>
      <c r="N166">
        <v>12</v>
      </c>
      <c r="O166" s="2">
        <v>45569.863761574074</v>
      </c>
      <c r="P166" s="2">
        <v>45776.166666666664</v>
      </c>
      <c r="Q166" t="s">
        <v>38</v>
      </c>
      <c r="R166" t="s">
        <v>130</v>
      </c>
      <c r="S166" t="s">
        <v>33</v>
      </c>
    </row>
    <row r="167" spans="1:19" x14ac:dyDescent="0.35">
      <c r="A167" t="s">
        <v>23</v>
      </c>
      <c r="B167" t="s">
        <v>1201</v>
      </c>
      <c r="C167" t="s">
        <v>1989</v>
      </c>
      <c r="D167" t="s">
        <v>2138</v>
      </c>
      <c r="E167" s="2">
        <v>45671.38614829861</v>
      </c>
      <c r="F167" t="s">
        <v>2078</v>
      </c>
      <c r="G167" t="s">
        <v>2108</v>
      </c>
      <c r="H167" t="s">
        <v>2077</v>
      </c>
      <c r="I167" t="s">
        <v>1202</v>
      </c>
      <c r="J167" t="s">
        <v>30</v>
      </c>
      <c r="K167" t="s">
        <v>31</v>
      </c>
      <c r="L167" t="s">
        <v>44</v>
      </c>
      <c r="M167" t="s">
        <v>28</v>
      </c>
      <c r="O167" s="2">
        <v>45568.624722222223</v>
      </c>
      <c r="P167" s="2">
        <v>45674.208333333336</v>
      </c>
      <c r="Q167" t="s">
        <v>48</v>
      </c>
      <c r="R167" t="s">
        <v>36</v>
      </c>
      <c r="S167" t="s">
        <v>33</v>
      </c>
    </row>
    <row r="168" spans="1:19" x14ac:dyDescent="0.35">
      <c r="A168" t="s">
        <v>23</v>
      </c>
      <c r="B168" t="s">
        <v>1201</v>
      </c>
      <c r="C168" t="s">
        <v>1989</v>
      </c>
      <c r="D168" t="s">
        <v>2138</v>
      </c>
      <c r="E168" s="2">
        <v>45671.388035115742</v>
      </c>
      <c r="F168" t="s">
        <v>2075</v>
      </c>
      <c r="G168" t="s">
        <v>2092</v>
      </c>
      <c r="H168" t="s">
        <v>2083</v>
      </c>
      <c r="I168" t="s">
        <v>1202</v>
      </c>
      <c r="J168" t="s">
        <v>30</v>
      </c>
      <c r="K168" t="s">
        <v>31</v>
      </c>
      <c r="L168" t="s">
        <v>44</v>
      </c>
      <c r="M168" t="s">
        <v>28</v>
      </c>
      <c r="O168" s="2">
        <v>45568.624722222223</v>
      </c>
      <c r="P168" s="2">
        <v>45674.208333333336</v>
      </c>
      <c r="Q168" t="s">
        <v>48</v>
      </c>
      <c r="R168" t="s">
        <v>36</v>
      </c>
      <c r="S168" t="s">
        <v>33</v>
      </c>
    </row>
    <row r="169" spans="1:19" x14ac:dyDescent="0.35">
      <c r="A169" t="s">
        <v>23</v>
      </c>
      <c r="B169" t="s">
        <v>1201</v>
      </c>
      <c r="C169" t="s">
        <v>1989</v>
      </c>
      <c r="D169" t="s">
        <v>2138</v>
      </c>
      <c r="E169" s="2">
        <v>45671.388960046294</v>
      </c>
      <c r="F169" t="s">
        <v>2075</v>
      </c>
      <c r="G169" t="s">
        <v>2092</v>
      </c>
      <c r="H169" t="s">
        <v>2083</v>
      </c>
      <c r="I169" t="s">
        <v>1202</v>
      </c>
      <c r="J169" t="s">
        <v>30</v>
      </c>
      <c r="K169" t="s">
        <v>31</v>
      </c>
      <c r="L169" t="s">
        <v>44</v>
      </c>
      <c r="M169" t="s">
        <v>28</v>
      </c>
      <c r="O169" s="2">
        <v>45568.624722222223</v>
      </c>
      <c r="P169" s="2">
        <v>45674.208333333336</v>
      </c>
      <c r="Q169" t="s">
        <v>48</v>
      </c>
      <c r="R169" t="s">
        <v>36</v>
      </c>
      <c r="S169" t="s">
        <v>33</v>
      </c>
    </row>
    <row r="170" spans="1:19" x14ac:dyDescent="0.35">
      <c r="A170" t="s">
        <v>23</v>
      </c>
      <c r="B170" t="s">
        <v>1201</v>
      </c>
      <c r="C170" t="s">
        <v>1989</v>
      </c>
      <c r="D170" t="s">
        <v>2138</v>
      </c>
      <c r="E170" s="2">
        <v>45671.390479120368</v>
      </c>
      <c r="F170" t="s">
        <v>2075</v>
      </c>
      <c r="G170" t="s">
        <v>2092</v>
      </c>
      <c r="H170" t="s">
        <v>2083</v>
      </c>
      <c r="I170" t="s">
        <v>1202</v>
      </c>
      <c r="J170" t="s">
        <v>30</v>
      </c>
      <c r="K170" t="s">
        <v>31</v>
      </c>
      <c r="L170" t="s">
        <v>44</v>
      </c>
      <c r="M170" t="s">
        <v>28</v>
      </c>
      <c r="O170" s="2">
        <v>45568.624722222223</v>
      </c>
      <c r="P170" s="2">
        <v>45674.208333333336</v>
      </c>
      <c r="Q170" t="s">
        <v>48</v>
      </c>
      <c r="R170" t="s">
        <v>36</v>
      </c>
      <c r="S170" t="s">
        <v>33</v>
      </c>
    </row>
    <row r="171" spans="1:19" x14ac:dyDescent="0.35">
      <c r="A171" t="s">
        <v>23</v>
      </c>
      <c r="B171" t="s">
        <v>1201</v>
      </c>
      <c r="C171" t="s">
        <v>1989</v>
      </c>
      <c r="D171" t="s">
        <v>2138</v>
      </c>
      <c r="E171" s="2">
        <v>45671.391012638887</v>
      </c>
      <c r="F171" t="s">
        <v>2080</v>
      </c>
      <c r="G171" t="s">
        <v>2081</v>
      </c>
      <c r="H171" t="s">
        <v>2077</v>
      </c>
      <c r="I171" t="s">
        <v>1202</v>
      </c>
      <c r="J171" t="s">
        <v>30</v>
      </c>
      <c r="K171" t="s">
        <v>31</v>
      </c>
      <c r="L171" t="s">
        <v>44</v>
      </c>
      <c r="M171" t="s">
        <v>28</v>
      </c>
      <c r="O171" s="2">
        <v>45568.624722222223</v>
      </c>
      <c r="P171" s="2">
        <v>45674.208333333336</v>
      </c>
      <c r="Q171" t="s">
        <v>48</v>
      </c>
      <c r="R171" t="s">
        <v>36</v>
      </c>
      <c r="S171" t="s">
        <v>33</v>
      </c>
    </row>
    <row r="172" spans="1:19" x14ac:dyDescent="0.35">
      <c r="A172" t="s">
        <v>23</v>
      </c>
      <c r="B172" t="s">
        <v>1201</v>
      </c>
      <c r="C172" t="s">
        <v>1989</v>
      </c>
      <c r="D172" t="s">
        <v>2138</v>
      </c>
      <c r="E172" s="2">
        <v>45673.402518692128</v>
      </c>
      <c r="F172" t="s">
        <v>2080</v>
      </c>
      <c r="G172" t="s">
        <v>2081</v>
      </c>
      <c r="H172" t="s">
        <v>2083</v>
      </c>
      <c r="I172" t="s">
        <v>1202</v>
      </c>
      <c r="J172" t="s">
        <v>30</v>
      </c>
      <c r="K172" t="s">
        <v>31</v>
      </c>
      <c r="L172" t="s">
        <v>44</v>
      </c>
      <c r="M172" t="s">
        <v>28</v>
      </c>
      <c r="O172" s="2">
        <v>45568.624722222223</v>
      </c>
      <c r="P172" s="2">
        <v>45674.208333333336</v>
      </c>
      <c r="Q172" t="s">
        <v>48</v>
      </c>
      <c r="R172" t="s">
        <v>36</v>
      </c>
      <c r="S172" t="s">
        <v>33</v>
      </c>
    </row>
    <row r="173" spans="1:19" x14ac:dyDescent="0.35">
      <c r="A173" t="s">
        <v>23</v>
      </c>
      <c r="B173" t="s">
        <v>1201</v>
      </c>
      <c r="C173" t="s">
        <v>1989</v>
      </c>
      <c r="D173" t="s">
        <v>2138</v>
      </c>
      <c r="E173" s="2">
        <v>45674.515589618059</v>
      </c>
      <c r="F173" t="s">
        <v>2075</v>
      </c>
      <c r="G173" t="s">
        <v>2105</v>
      </c>
      <c r="H173" t="s">
        <v>2083</v>
      </c>
      <c r="I173" t="s">
        <v>1202</v>
      </c>
      <c r="J173" t="s">
        <v>30</v>
      </c>
      <c r="K173" t="s">
        <v>31</v>
      </c>
      <c r="L173" t="s">
        <v>44</v>
      </c>
      <c r="M173" t="s">
        <v>28</v>
      </c>
      <c r="O173" s="2">
        <v>45568.624722222223</v>
      </c>
      <c r="P173" s="2">
        <v>45674.208333333336</v>
      </c>
      <c r="Q173" t="s">
        <v>48</v>
      </c>
      <c r="R173" t="s">
        <v>36</v>
      </c>
      <c r="S173" t="s">
        <v>33</v>
      </c>
    </row>
    <row r="174" spans="1:19" x14ac:dyDescent="0.35">
      <c r="A174" t="s">
        <v>23</v>
      </c>
      <c r="B174" t="s">
        <v>1283</v>
      </c>
      <c r="C174" t="s">
        <v>1982</v>
      </c>
      <c r="D174" t="s">
        <v>2074</v>
      </c>
      <c r="E174" s="2">
        <v>45688.676974374997</v>
      </c>
      <c r="F174" t="s">
        <v>2075</v>
      </c>
      <c r="G174" t="s">
        <v>2092</v>
      </c>
      <c r="H174" t="s">
        <v>2083</v>
      </c>
      <c r="I174" t="s">
        <v>1284</v>
      </c>
      <c r="J174" t="s">
        <v>30</v>
      </c>
      <c r="K174" t="s">
        <v>31</v>
      </c>
      <c r="L174" t="s">
        <v>44</v>
      </c>
      <c r="M174" t="s">
        <v>28</v>
      </c>
      <c r="O174" s="2">
        <v>45572.754363425927</v>
      </c>
      <c r="P174" s="2">
        <v>45828.166666666664</v>
      </c>
      <c r="Q174" t="s">
        <v>38</v>
      </c>
      <c r="R174" t="s">
        <v>409</v>
      </c>
      <c r="S174" t="s">
        <v>81</v>
      </c>
    </row>
    <row r="175" spans="1:19" x14ac:dyDescent="0.35">
      <c r="A175" t="s">
        <v>23</v>
      </c>
      <c r="B175" t="s">
        <v>1283</v>
      </c>
      <c r="C175" t="s">
        <v>1982</v>
      </c>
      <c r="D175" t="s">
        <v>2074</v>
      </c>
      <c r="E175" s="2">
        <v>45750.773019594904</v>
      </c>
      <c r="F175" t="s">
        <v>2075</v>
      </c>
      <c r="G175" t="s">
        <v>2092</v>
      </c>
      <c r="H175" t="s">
        <v>2083</v>
      </c>
      <c r="I175" t="s">
        <v>1284</v>
      </c>
      <c r="J175" t="s">
        <v>30</v>
      </c>
      <c r="K175" t="s">
        <v>31</v>
      </c>
      <c r="L175" t="s">
        <v>44</v>
      </c>
      <c r="M175" t="s">
        <v>28</v>
      </c>
      <c r="O175" s="2">
        <v>45572.754363425927</v>
      </c>
      <c r="P175" s="2">
        <v>45828.166666666664</v>
      </c>
      <c r="Q175" t="s">
        <v>38</v>
      </c>
      <c r="R175" t="s">
        <v>409</v>
      </c>
      <c r="S175" t="s">
        <v>81</v>
      </c>
    </row>
    <row r="176" spans="1:19" x14ac:dyDescent="0.35">
      <c r="A176" t="s">
        <v>23</v>
      </c>
      <c r="B176" t="s">
        <v>1283</v>
      </c>
      <c r="C176" t="s">
        <v>1982</v>
      </c>
      <c r="D176" t="s">
        <v>2074</v>
      </c>
      <c r="E176" s="2">
        <v>45763.667882557871</v>
      </c>
      <c r="F176" t="s">
        <v>2075</v>
      </c>
      <c r="G176" t="s">
        <v>2092</v>
      </c>
      <c r="H176" t="s">
        <v>2083</v>
      </c>
      <c r="I176" t="s">
        <v>1284</v>
      </c>
      <c r="J176" t="s">
        <v>30</v>
      </c>
      <c r="K176" t="s">
        <v>31</v>
      </c>
      <c r="L176" t="s">
        <v>44</v>
      </c>
      <c r="M176" t="s">
        <v>28</v>
      </c>
      <c r="O176" s="2">
        <v>45572.754363425927</v>
      </c>
      <c r="P176" s="2">
        <v>45828.166666666664</v>
      </c>
      <c r="Q176" t="s">
        <v>38</v>
      </c>
      <c r="R176" t="s">
        <v>409</v>
      </c>
      <c r="S176" t="s">
        <v>81</v>
      </c>
    </row>
    <row r="177" spans="1:19" x14ac:dyDescent="0.35">
      <c r="A177" t="s">
        <v>23</v>
      </c>
      <c r="B177" t="s">
        <v>1007</v>
      </c>
      <c r="C177" t="s">
        <v>1988</v>
      </c>
      <c r="D177" t="s">
        <v>2084</v>
      </c>
      <c r="E177" s="2">
        <v>45728.696476261575</v>
      </c>
      <c r="F177" t="s">
        <v>2085</v>
      </c>
      <c r="G177" t="s">
        <v>2086</v>
      </c>
      <c r="H177" t="s">
        <v>2077</v>
      </c>
      <c r="I177" t="s">
        <v>1008</v>
      </c>
      <c r="J177" t="s">
        <v>30</v>
      </c>
      <c r="K177" t="s">
        <v>31</v>
      </c>
      <c r="L177" t="s">
        <v>44</v>
      </c>
      <c r="M177" t="s">
        <v>28</v>
      </c>
      <c r="N177">
        <v>27</v>
      </c>
      <c r="O177" s="2">
        <v>45574.745300925926</v>
      </c>
      <c r="P177" s="2">
        <v>45758.166666666664</v>
      </c>
      <c r="Q177" t="s">
        <v>38</v>
      </c>
      <c r="R177" t="s">
        <v>76</v>
      </c>
      <c r="S177" t="s">
        <v>33</v>
      </c>
    </row>
    <row r="178" spans="1:19" x14ac:dyDescent="0.35">
      <c r="A178" t="s">
        <v>23</v>
      </c>
      <c r="B178" t="s">
        <v>1007</v>
      </c>
      <c r="C178" t="s">
        <v>1988</v>
      </c>
      <c r="D178" t="s">
        <v>2084</v>
      </c>
      <c r="E178" s="2">
        <v>45734.648538784721</v>
      </c>
      <c r="F178" t="s">
        <v>2085</v>
      </c>
      <c r="G178" t="s">
        <v>2086</v>
      </c>
      <c r="H178" t="s">
        <v>2077</v>
      </c>
      <c r="I178" t="s">
        <v>1008</v>
      </c>
      <c r="J178" t="s">
        <v>30</v>
      </c>
      <c r="K178" t="s">
        <v>31</v>
      </c>
      <c r="L178" t="s">
        <v>44</v>
      </c>
      <c r="M178" t="s">
        <v>28</v>
      </c>
      <c r="N178">
        <v>27</v>
      </c>
      <c r="O178" s="2">
        <v>45574.745300925926</v>
      </c>
      <c r="P178" s="2">
        <v>45758.166666666664</v>
      </c>
      <c r="Q178" t="s">
        <v>38</v>
      </c>
      <c r="R178" t="s">
        <v>76</v>
      </c>
      <c r="S178" t="s">
        <v>33</v>
      </c>
    </row>
    <row r="179" spans="1:19" x14ac:dyDescent="0.35">
      <c r="A179" t="s">
        <v>23</v>
      </c>
      <c r="B179" t="s">
        <v>669</v>
      </c>
      <c r="C179" t="s">
        <v>1982</v>
      </c>
      <c r="D179" t="s">
        <v>2074</v>
      </c>
      <c r="E179" s="2">
        <v>45699.733274108796</v>
      </c>
      <c r="F179" t="s">
        <v>2080</v>
      </c>
      <c r="G179" t="s">
        <v>2081</v>
      </c>
      <c r="H179" t="s">
        <v>2083</v>
      </c>
      <c r="I179" t="s">
        <v>670</v>
      </c>
      <c r="J179" t="s">
        <v>30</v>
      </c>
      <c r="K179" t="s">
        <v>31</v>
      </c>
      <c r="L179" t="s">
        <v>44</v>
      </c>
      <c r="M179" t="s">
        <v>28</v>
      </c>
      <c r="N179">
        <v>11</v>
      </c>
      <c r="O179" s="2">
        <v>45575.638703703706</v>
      </c>
      <c r="P179" s="2">
        <v>45772.166666666664</v>
      </c>
      <c r="Q179" t="s">
        <v>38</v>
      </c>
      <c r="R179" t="s">
        <v>130</v>
      </c>
      <c r="S179" t="s">
        <v>81</v>
      </c>
    </row>
    <row r="180" spans="1:19" x14ac:dyDescent="0.35">
      <c r="A180" t="s">
        <v>23</v>
      </c>
      <c r="B180" t="s">
        <v>1285</v>
      </c>
      <c r="C180" t="s">
        <v>1982</v>
      </c>
      <c r="D180" t="s">
        <v>2074</v>
      </c>
      <c r="E180" s="2">
        <v>45727.867925312501</v>
      </c>
      <c r="F180" t="s">
        <v>2075</v>
      </c>
      <c r="G180" t="s">
        <v>2076</v>
      </c>
      <c r="H180" t="s">
        <v>2077</v>
      </c>
      <c r="I180" t="s">
        <v>1286</v>
      </c>
      <c r="J180" t="s">
        <v>30</v>
      </c>
      <c r="K180" t="s">
        <v>31</v>
      </c>
      <c r="L180" t="s">
        <v>44</v>
      </c>
      <c r="M180" t="s">
        <v>28</v>
      </c>
      <c r="O180" s="2">
        <v>45582.740914351853</v>
      </c>
      <c r="P180" s="2">
        <v>45764.166666666664</v>
      </c>
      <c r="Q180" t="s">
        <v>38</v>
      </c>
      <c r="R180" t="s">
        <v>76</v>
      </c>
      <c r="S180" t="s">
        <v>81</v>
      </c>
    </row>
    <row r="181" spans="1:19" x14ac:dyDescent="0.35">
      <c r="A181" t="s">
        <v>23</v>
      </c>
      <c r="B181" t="s">
        <v>1016</v>
      </c>
      <c r="C181" t="s">
        <v>1989</v>
      </c>
      <c r="D181" t="s">
        <v>2087</v>
      </c>
      <c r="E181" s="2">
        <v>45824.623235127314</v>
      </c>
      <c r="F181" t="s">
        <v>2080</v>
      </c>
      <c r="G181" t="s">
        <v>2081</v>
      </c>
      <c r="H181" t="s">
        <v>2077</v>
      </c>
      <c r="I181" t="s">
        <v>1017</v>
      </c>
      <c r="J181" t="s">
        <v>30</v>
      </c>
      <c r="K181" t="s">
        <v>70</v>
      </c>
      <c r="L181" t="s">
        <v>44</v>
      </c>
      <c r="M181" t="s">
        <v>28</v>
      </c>
      <c r="N181">
        <v>28</v>
      </c>
      <c r="O181" s="2">
        <v>45586.706365740742</v>
      </c>
      <c r="P181" s="2">
        <v>45833.166666666664</v>
      </c>
      <c r="Q181" t="s">
        <v>38</v>
      </c>
      <c r="R181" t="s">
        <v>36</v>
      </c>
    </row>
    <row r="182" spans="1:19" x14ac:dyDescent="0.35">
      <c r="A182" t="s">
        <v>23</v>
      </c>
      <c r="B182" t="s">
        <v>1261</v>
      </c>
      <c r="C182" t="s">
        <v>1989</v>
      </c>
      <c r="D182" t="s">
        <v>2082</v>
      </c>
      <c r="E182" s="2">
        <v>45691.721023101854</v>
      </c>
      <c r="F182" t="s">
        <v>2080</v>
      </c>
      <c r="G182" t="s">
        <v>2081</v>
      </c>
      <c r="H182" t="s">
        <v>2083</v>
      </c>
      <c r="I182" t="s">
        <v>1262</v>
      </c>
      <c r="J182" t="s">
        <v>30</v>
      </c>
      <c r="K182" t="s">
        <v>31</v>
      </c>
      <c r="L182" t="s">
        <v>44</v>
      </c>
      <c r="M182" t="s">
        <v>28</v>
      </c>
      <c r="O182" s="2">
        <v>45587.549189814818</v>
      </c>
      <c r="P182" s="2">
        <v>45716.208333333336</v>
      </c>
      <c r="Q182" t="s">
        <v>38</v>
      </c>
      <c r="R182" t="s">
        <v>76</v>
      </c>
      <c r="S182" t="s">
        <v>33</v>
      </c>
    </row>
    <row r="183" spans="1:19" x14ac:dyDescent="0.35">
      <c r="A183" t="s">
        <v>23</v>
      </c>
      <c r="B183" t="s">
        <v>1021</v>
      </c>
      <c r="C183" t="s">
        <v>1989</v>
      </c>
      <c r="D183" t="s">
        <v>2087</v>
      </c>
      <c r="E183" s="2">
        <v>45824.626022349534</v>
      </c>
      <c r="F183" t="s">
        <v>2080</v>
      </c>
      <c r="G183" t="s">
        <v>2081</v>
      </c>
      <c r="H183" t="s">
        <v>2077</v>
      </c>
      <c r="I183" t="s">
        <v>1022</v>
      </c>
      <c r="J183" t="s">
        <v>30</v>
      </c>
      <c r="K183" t="s">
        <v>70</v>
      </c>
      <c r="L183" t="s">
        <v>44</v>
      </c>
      <c r="M183" t="s">
        <v>28</v>
      </c>
      <c r="N183">
        <v>29</v>
      </c>
      <c r="O183" s="2">
        <v>45587.743923611109</v>
      </c>
      <c r="P183" s="2">
        <v>45833.166666666664</v>
      </c>
      <c r="Q183" t="s">
        <v>38</v>
      </c>
      <c r="R183" t="s">
        <v>36</v>
      </c>
    </row>
    <row r="184" spans="1:19" x14ac:dyDescent="0.35">
      <c r="A184" t="s">
        <v>23</v>
      </c>
      <c r="B184" t="s">
        <v>767</v>
      </c>
      <c r="C184" t="s">
        <v>1982</v>
      </c>
      <c r="D184" t="s">
        <v>2090</v>
      </c>
      <c r="E184" s="2">
        <v>45720.617327395834</v>
      </c>
      <c r="F184" t="s">
        <v>2088</v>
      </c>
      <c r="G184" t="s">
        <v>2089</v>
      </c>
      <c r="H184" t="s">
        <v>2083</v>
      </c>
      <c r="I184" t="s">
        <v>768</v>
      </c>
      <c r="J184" t="s">
        <v>30</v>
      </c>
      <c r="K184" t="s">
        <v>31</v>
      </c>
      <c r="L184" t="s">
        <v>44</v>
      </c>
      <c r="M184" t="s">
        <v>28</v>
      </c>
      <c r="N184">
        <v>13</v>
      </c>
      <c r="O184" s="2">
        <v>45588.571909722225</v>
      </c>
      <c r="P184" s="2">
        <v>45777.166666666664</v>
      </c>
      <c r="Q184" t="s">
        <v>38</v>
      </c>
      <c r="R184" t="s">
        <v>409</v>
      </c>
      <c r="S184" t="s">
        <v>33</v>
      </c>
    </row>
    <row r="185" spans="1:19" x14ac:dyDescent="0.35">
      <c r="A185" t="s">
        <v>23</v>
      </c>
      <c r="B185" t="s">
        <v>767</v>
      </c>
      <c r="C185" t="s">
        <v>1982</v>
      </c>
      <c r="D185" t="s">
        <v>2090</v>
      </c>
      <c r="E185" s="2">
        <v>45722.641329571758</v>
      </c>
      <c r="F185" t="s">
        <v>2088</v>
      </c>
      <c r="G185" t="s">
        <v>2091</v>
      </c>
      <c r="H185" t="s">
        <v>2077</v>
      </c>
      <c r="I185" t="s">
        <v>768</v>
      </c>
      <c r="J185" t="s">
        <v>30</v>
      </c>
      <c r="K185" t="s">
        <v>31</v>
      </c>
      <c r="L185" t="s">
        <v>44</v>
      </c>
      <c r="M185" t="s">
        <v>28</v>
      </c>
      <c r="N185">
        <v>13</v>
      </c>
      <c r="O185" s="2">
        <v>45588.571909722225</v>
      </c>
      <c r="P185" s="2">
        <v>45777.166666666664</v>
      </c>
      <c r="Q185" t="s">
        <v>38</v>
      </c>
      <c r="R185" t="s">
        <v>409</v>
      </c>
      <c r="S185" t="s">
        <v>33</v>
      </c>
    </row>
    <row r="186" spans="1:19" x14ac:dyDescent="0.35">
      <c r="A186" t="s">
        <v>23</v>
      </c>
      <c r="B186" t="s">
        <v>889</v>
      </c>
      <c r="C186" t="s">
        <v>1973</v>
      </c>
      <c r="D186" t="s">
        <v>2139</v>
      </c>
      <c r="E186" s="2">
        <v>45791.67024190972</v>
      </c>
      <c r="F186" t="s">
        <v>2125</v>
      </c>
      <c r="G186" t="s">
        <v>2140</v>
      </c>
      <c r="H186" t="s">
        <v>2083</v>
      </c>
      <c r="I186" t="s">
        <v>890</v>
      </c>
      <c r="J186" t="s">
        <v>30</v>
      </c>
      <c r="K186" t="s">
        <v>31</v>
      </c>
      <c r="L186" t="s">
        <v>44</v>
      </c>
      <c r="M186" t="s">
        <v>28</v>
      </c>
      <c r="N186">
        <v>18</v>
      </c>
      <c r="O186" s="2">
        <v>45588.691331018519</v>
      </c>
      <c r="P186" s="2">
        <v>45821.166666666664</v>
      </c>
      <c r="Q186" t="s">
        <v>48</v>
      </c>
      <c r="R186" t="s">
        <v>130</v>
      </c>
      <c r="S186" t="s">
        <v>81</v>
      </c>
    </row>
    <row r="187" spans="1:19" x14ac:dyDescent="0.35">
      <c r="A187" t="s">
        <v>23</v>
      </c>
      <c r="B187" t="s">
        <v>889</v>
      </c>
      <c r="C187" t="s">
        <v>1973</v>
      </c>
      <c r="D187" t="s">
        <v>2139</v>
      </c>
      <c r="E187" s="2">
        <v>45796.871315023149</v>
      </c>
      <c r="F187" t="s">
        <v>2125</v>
      </c>
      <c r="G187" t="s">
        <v>2140</v>
      </c>
      <c r="H187" t="s">
        <v>2077</v>
      </c>
      <c r="I187" t="s">
        <v>890</v>
      </c>
      <c r="J187" t="s">
        <v>30</v>
      </c>
      <c r="K187" t="s">
        <v>31</v>
      </c>
      <c r="L187" t="s">
        <v>44</v>
      </c>
      <c r="M187" t="s">
        <v>28</v>
      </c>
      <c r="N187">
        <v>18</v>
      </c>
      <c r="O187" s="2">
        <v>45588.691331018519</v>
      </c>
      <c r="P187" s="2">
        <v>45821.166666666664</v>
      </c>
      <c r="Q187" t="s">
        <v>48</v>
      </c>
      <c r="R187" t="s">
        <v>130</v>
      </c>
      <c r="S187" t="s">
        <v>81</v>
      </c>
    </row>
    <row r="188" spans="1:19" x14ac:dyDescent="0.35">
      <c r="A188" t="s">
        <v>23</v>
      </c>
      <c r="B188" t="s">
        <v>1235</v>
      </c>
      <c r="C188" t="s">
        <v>1973</v>
      </c>
      <c r="D188" t="s">
        <v>2112</v>
      </c>
      <c r="E188" s="2">
        <v>45730.886063576392</v>
      </c>
      <c r="F188" t="s">
        <v>2113</v>
      </c>
      <c r="G188" t="s">
        <v>2127</v>
      </c>
      <c r="H188" t="s">
        <v>2077</v>
      </c>
      <c r="I188" t="s">
        <v>1236</v>
      </c>
      <c r="J188" t="s">
        <v>30</v>
      </c>
      <c r="K188" t="s">
        <v>31</v>
      </c>
      <c r="L188" t="s">
        <v>44</v>
      </c>
      <c r="M188" t="s">
        <v>28</v>
      </c>
      <c r="O188" s="2">
        <v>45589.584837962961</v>
      </c>
      <c r="P188" s="2">
        <v>45765.166666666664</v>
      </c>
      <c r="Q188" t="s">
        <v>32</v>
      </c>
      <c r="R188" t="s">
        <v>135</v>
      </c>
      <c r="S188" t="s">
        <v>33</v>
      </c>
    </row>
    <row r="189" spans="1:19" x14ac:dyDescent="0.35">
      <c r="A189" t="s">
        <v>23</v>
      </c>
      <c r="B189" t="s">
        <v>1235</v>
      </c>
      <c r="C189" t="s">
        <v>1973</v>
      </c>
      <c r="D189" t="s">
        <v>2112</v>
      </c>
      <c r="E189" s="2">
        <v>45730.886451712962</v>
      </c>
      <c r="F189" t="s">
        <v>2125</v>
      </c>
      <c r="G189" t="s">
        <v>2140</v>
      </c>
      <c r="H189" t="s">
        <v>2077</v>
      </c>
      <c r="I189" t="s">
        <v>1236</v>
      </c>
      <c r="J189" t="s">
        <v>30</v>
      </c>
      <c r="K189" t="s">
        <v>31</v>
      </c>
      <c r="L189" t="s">
        <v>44</v>
      </c>
      <c r="M189" t="s">
        <v>28</v>
      </c>
      <c r="O189" s="2">
        <v>45589.584837962961</v>
      </c>
      <c r="P189" s="2">
        <v>45765.166666666664</v>
      </c>
      <c r="Q189" t="s">
        <v>32</v>
      </c>
      <c r="R189" t="s">
        <v>135</v>
      </c>
      <c r="S189" t="s">
        <v>33</v>
      </c>
    </row>
    <row r="190" spans="1:19" x14ac:dyDescent="0.35">
      <c r="A190" t="s">
        <v>23</v>
      </c>
      <c r="B190" t="s">
        <v>1235</v>
      </c>
      <c r="C190" t="s">
        <v>1973</v>
      </c>
      <c r="D190" t="s">
        <v>2112</v>
      </c>
      <c r="E190" s="2">
        <v>45730.887939270833</v>
      </c>
      <c r="F190" t="s">
        <v>2113</v>
      </c>
      <c r="G190" t="s">
        <v>2141</v>
      </c>
      <c r="H190" t="s">
        <v>2083</v>
      </c>
      <c r="I190" t="s">
        <v>1236</v>
      </c>
      <c r="J190" t="s">
        <v>30</v>
      </c>
      <c r="K190" t="s">
        <v>31</v>
      </c>
      <c r="L190" t="s">
        <v>44</v>
      </c>
      <c r="M190" t="s">
        <v>28</v>
      </c>
      <c r="O190" s="2">
        <v>45589.584837962961</v>
      </c>
      <c r="P190" s="2">
        <v>45765.166666666664</v>
      </c>
      <c r="Q190" t="s">
        <v>32</v>
      </c>
      <c r="R190" t="s">
        <v>135</v>
      </c>
      <c r="S190" t="s">
        <v>33</v>
      </c>
    </row>
    <row r="191" spans="1:19" x14ac:dyDescent="0.35">
      <c r="A191" t="s">
        <v>23</v>
      </c>
      <c r="B191" t="s">
        <v>2292</v>
      </c>
      <c r="C191" t="s">
        <v>1982</v>
      </c>
      <c r="D191" t="s">
        <v>2090</v>
      </c>
      <c r="E191" s="2">
        <v>45868.607238993056</v>
      </c>
      <c r="F191" t="s">
        <v>2088</v>
      </c>
      <c r="G191" t="s">
        <v>2089</v>
      </c>
      <c r="H191" t="s">
        <v>2077</v>
      </c>
      <c r="I191" t="s">
        <v>2293</v>
      </c>
      <c r="J191" t="s">
        <v>30</v>
      </c>
      <c r="K191" t="s">
        <v>31</v>
      </c>
      <c r="L191" t="s">
        <v>26</v>
      </c>
      <c r="M191" t="s">
        <v>28</v>
      </c>
      <c r="O191" s="2">
        <v>45589.624571759261</v>
      </c>
      <c r="P191" s="2">
        <v>45968.208333333336</v>
      </c>
      <c r="Q191" t="s">
        <v>38</v>
      </c>
      <c r="R191" t="s">
        <v>76</v>
      </c>
      <c r="S191" t="s">
        <v>33</v>
      </c>
    </row>
    <row r="192" spans="1:19" x14ac:dyDescent="0.35">
      <c r="A192" t="s">
        <v>23</v>
      </c>
      <c r="B192" t="s">
        <v>1287</v>
      </c>
      <c r="C192" t="s">
        <v>1982</v>
      </c>
      <c r="D192" t="s">
        <v>2090</v>
      </c>
      <c r="E192" s="2">
        <v>45709.882861550926</v>
      </c>
      <c r="F192" t="s">
        <v>2088</v>
      </c>
      <c r="G192" t="s">
        <v>2089</v>
      </c>
      <c r="H192" t="s">
        <v>2077</v>
      </c>
      <c r="I192" t="s">
        <v>1288</v>
      </c>
      <c r="J192" t="s">
        <v>30</v>
      </c>
      <c r="K192" t="s">
        <v>31</v>
      </c>
      <c r="L192" t="s">
        <v>44</v>
      </c>
      <c r="M192" t="s">
        <v>28</v>
      </c>
      <c r="O192" s="2">
        <v>45589.649062500001</v>
      </c>
      <c r="P192" s="2">
        <v>45749.166666666664</v>
      </c>
      <c r="Q192" t="s">
        <v>38</v>
      </c>
      <c r="R192" t="s">
        <v>130</v>
      </c>
      <c r="S192" t="s">
        <v>33</v>
      </c>
    </row>
    <row r="193" spans="1:19" x14ac:dyDescent="0.35">
      <c r="A193" t="s">
        <v>23</v>
      </c>
      <c r="B193" t="s">
        <v>675</v>
      </c>
      <c r="C193" t="s">
        <v>1988</v>
      </c>
      <c r="D193" t="s">
        <v>2084</v>
      </c>
      <c r="E193" s="2">
        <v>45706.774257777775</v>
      </c>
      <c r="F193" t="s">
        <v>2085</v>
      </c>
      <c r="G193" t="s">
        <v>2086</v>
      </c>
      <c r="H193" t="s">
        <v>2077</v>
      </c>
      <c r="I193" t="s">
        <v>676</v>
      </c>
      <c r="J193" t="s">
        <v>30</v>
      </c>
      <c r="K193" t="s">
        <v>70</v>
      </c>
      <c r="L193" t="s">
        <v>44</v>
      </c>
      <c r="M193" t="s">
        <v>28</v>
      </c>
      <c r="N193">
        <v>11</v>
      </c>
      <c r="O193" s="2">
        <v>45589.703773148147</v>
      </c>
      <c r="P193" s="2">
        <v>45980.208333333336</v>
      </c>
      <c r="Q193" t="s">
        <v>174</v>
      </c>
      <c r="R193" t="s">
        <v>54</v>
      </c>
      <c r="S193" t="s">
        <v>33</v>
      </c>
    </row>
    <row r="194" spans="1:19" x14ac:dyDescent="0.35">
      <c r="A194" t="s">
        <v>23</v>
      </c>
      <c r="B194" t="s">
        <v>2142</v>
      </c>
      <c r="C194" t="s">
        <v>1980</v>
      </c>
      <c r="D194" t="s">
        <v>2143</v>
      </c>
      <c r="E194" s="2">
        <v>45799.001313310182</v>
      </c>
      <c r="F194" t="s">
        <v>2085</v>
      </c>
      <c r="G194" t="s">
        <v>2101</v>
      </c>
      <c r="H194" t="s">
        <v>2083</v>
      </c>
      <c r="I194" t="s">
        <v>2144</v>
      </c>
      <c r="J194" t="s">
        <v>30</v>
      </c>
      <c r="K194" t="s">
        <v>31</v>
      </c>
      <c r="L194" t="s">
        <v>26</v>
      </c>
      <c r="M194" t="s">
        <v>28</v>
      </c>
      <c r="O194" s="2">
        <v>45596.652118055557</v>
      </c>
      <c r="P194" s="2">
        <v>45930.166666666664</v>
      </c>
      <c r="Q194" t="s">
        <v>38</v>
      </c>
      <c r="R194" t="s">
        <v>36</v>
      </c>
      <c r="S194" t="s">
        <v>81</v>
      </c>
    </row>
    <row r="195" spans="1:19" x14ac:dyDescent="0.35">
      <c r="A195" t="s">
        <v>23</v>
      </c>
      <c r="B195" t="s">
        <v>936</v>
      </c>
      <c r="C195" t="s">
        <v>1988</v>
      </c>
      <c r="D195" t="s">
        <v>2084</v>
      </c>
      <c r="E195" s="2">
        <v>45803.03166108796</v>
      </c>
      <c r="F195" t="s">
        <v>2085</v>
      </c>
      <c r="G195" t="s">
        <v>2086</v>
      </c>
      <c r="H195" t="s">
        <v>2077</v>
      </c>
      <c r="I195" t="s">
        <v>937</v>
      </c>
      <c r="J195" t="s">
        <v>30</v>
      </c>
      <c r="K195" t="s">
        <v>31</v>
      </c>
      <c r="L195" t="s">
        <v>44</v>
      </c>
      <c r="M195" t="s">
        <v>28</v>
      </c>
      <c r="N195">
        <v>20</v>
      </c>
      <c r="O195" s="2">
        <v>45601.440243055556</v>
      </c>
      <c r="P195" s="2">
        <v>45807.166666666664</v>
      </c>
      <c r="Q195" t="s">
        <v>38</v>
      </c>
      <c r="R195" t="s">
        <v>54</v>
      </c>
      <c r="S195" t="s">
        <v>81</v>
      </c>
    </row>
    <row r="196" spans="1:19" x14ac:dyDescent="0.35">
      <c r="A196" t="s">
        <v>23</v>
      </c>
      <c r="B196" t="s">
        <v>936</v>
      </c>
      <c r="C196" t="s">
        <v>1989</v>
      </c>
      <c r="D196" t="s">
        <v>2087</v>
      </c>
      <c r="E196" s="2">
        <v>45805.765141643518</v>
      </c>
      <c r="F196" t="s">
        <v>2075</v>
      </c>
      <c r="G196" t="s">
        <v>2092</v>
      </c>
      <c r="H196" t="s">
        <v>2077</v>
      </c>
      <c r="I196" t="s">
        <v>937</v>
      </c>
      <c r="J196" t="s">
        <v>30</v>
      </c>
      <c r="K196" t="s">
        <v>31</v>
      </c>
      <c r="L196" t="s">
        <v>44</v>
      </c>
      <c r="M196" t="s">
        <v>28</v>
      </c>
      <c r="N196">
        <v>20</v>
      </c>
      <c r="O196" s="2">
        <v>45601.440243055556</v>
      </c>
      <c r="P196" s="2">
        <v>45807.166666666664</v>
      </c>
      <c r="Q196" t="s">
        <v>38</v>
      </c>
      <c r="R196" t="s">
        <v>54</v>
      </c>
      <c r="S196" t="s">
        <v>81</v>
      </c>
    </row>
    <row r="197" spans="1:19" x14ac:dyDescent="0.35">
      <c r="A197" t="s">
        <v>23</v>
      </c>
      <c r="B197" t="s">
        <v>936</v>
      </c>
      <c r="C197" t="s">
        <v>1989</v>
      </c>
      <c r="D197" t="s">
        <v>2087</v>
      </c>
      <c r="E197" s="2">
        <v>45805.767401898149</v>
      </c>
      <c r="F197" t="s">
        <v>2085</v>
      </c>
      <c r="G197" t="s">
        <v>2086</v>
      </c>
      <c r="H197" t="s">
        <v>2077</v>
      </c>
      <c r="I197" t="s">
        <v>937</v>
      </c>
      <c r="J197" t="s">
        <v>30</v>
      </c>
      <c r="K197" t="s">
        <v>31</v>
      </c>
      <c r="L197" t="s">
        <v>44</v>
      </c>
      <c r="M197" t="s">
        <v>28</v>
      </c>
      <c r="N197">
        <v>20</v>
      </c>
      <c r="O197" s="2">
        <v>45601.440243055556</v>
      </c>
      <c r="P197" s="2">
        <v>45807.166666666664</v>
      </c>
      <c r="Q197" t="s">
        <v>38</v>
      </c>
      <c r="R197" t="s">
        <v>54</v>
      </c>
      <c r="S197" t="s">
        <v>81</v>
      </c>
    </row>
    <row r="198" spans="1:19" x14ac:dyDescent="0.35">
      <c r="A198" t="s">
        <v>23</v>
      </c>
      <c r="B198" t="s">
        <v>936</v>
      </c>
      <c r="C198" t="s">
        <v>1989</v>
      </c>
      <c r="D198" t="s">
        <v>2087</v>
      </c>
      <c r="E198" s="2">
        <v>45805.770458749997</v>
      </c>
      <c r="F198" t="s">
        <v>2075</v>
      </c>
      <c r="G198" t="s">
        <v>2092</v>
      </c>
      <c r="H198" t="s">
        <v>2077</v>
      </c>
      <c r="I198" t="s">
        <v>937</v>
      </c>
      <c r="J198" t="s">
        <v>30</v>
      </c>
      <c r="K198" t="s">
        <v>31</v>
      </c>
      <c r="L198" t="s">
        <v>44</v>
      </c>
      <c r="M198" t="s">
        <v>28</v>
      </c>
      <c r="N198">
        <v>20</v>
      </c>
      <c r="O198" s="2">
        <v>45601.440243055556</v>
      </c>
      <c r="P198" s="2">
        <v>45807.166666666664</v>
      </c>
      <c r="Q198" t="s">
        <v>38</v>
      </c>
      <c r="R198" t="s">
        <v>54</v>
      </c>
      <c r="S198" t="s">
        <v>81</v>
      </c>
    </row>
    <row r="199" spans="1:19" x14ac:dyDescent="0.35">
      <c r="A199" t="s">
        <v>23</v>
      </c>
      <c r="B199" t="s">
        <v>1009</v>
      </c>
      <c r="C199" t="s">
        <v>1982</v>
      </c>
      <c r="D199" t="s">
        <v>2074</v>
      </c>
      <c r="E199" s="2">
        <v>45692.702262395833</v>
      </c>
      <c r="F199" t="s">
        <v>2075</v>
      </c>
      <c r="G199" t="s">
        <v>2092</v>
      </c>
      <c r="H199" t="s">
        <v>2083</v>
      </c>
      <c r="I199" t="s">
        <v>1010</v>
      </c>
      <c r="J199" t="s">
        <v>30</v>
      </c>
      <c r="K199" t="s">
        <v>31</v>
      </c>
      <c r="L199" t="s">
        <v>44</v>
      </c>
      <c r="M199" t="s">
        <v>28</v>
      </c>
      <c r="N199">
        <v>27</v>
      </c>
      <c r="O199" s="2">
        <v>45601.892245370371</v>
      </c>
      <c r="P199" s="2">
        <v>45777.166666666664</v>
      </c>
      <c r="Q199" t="s">
        <v>38</v>
      </c>
      <c r="R199" t="s">
        <v>409</v>
      </c>
      <c r="S199" t="s">
        <v>81</v>
      </c>
    </row>
    <row r="200" spans="1:19" x14ac:dyDescent="0.35">
      <c r="A200" t="s">
        <v>23</v>
      </c>
      <c r="B200" t="s">
        <v>757</v>
      </c>
      <c r="C200" t="s">
        <v>1980</v>
      </c>
      <c r="D200" t="s">
        <v>2112</v>
      </c>
      <c r="E200" s="2">
        <v>45670.806173819445</v>
      </c>
      <c r="F200" t="s">
        <v>2085</v>
      </c>
      <c r="G200" t="s">
        <v>2101</v>
      </c>
      <c r="H200" t="s">
        <v>2077</v>
      </c>
      <c r="I200" t="s">
        <v>758</v>
      </c>
      <c r="J200" t="s">
        <v>30</v>
      </c>
      <c r="K200" t="s">
        <v>31</v>
      </c>
      <c r="L200" t="s">
        <v>44</v>
      </c>
      <c r="M200" t="s">
        <v>28</v>
      </c>
      <c r="N200">
        <v>13</v>
      </c>
      <c r="O200" s="2">
        <v>45609.855798611112</v>
      </c>
      <c r="P200" s="2">
        <v>45702.208333333336</v>
      </c>
      <c r="Q200" t="s">
        <v>32</v>
      </c>
      <c r="R200" t="s">
        <v>135</v>
      </c>
      <c r="S200" t="s">
        <v>33</v>
      </c>
    </row>
    <row r="201" spans="1:19" x14ac:dyDescent="0.35">
      <c r="A201" t="s">
        <v>23</v>
      </c>
      <c r="B201" t="s">
        <v>1305</v>
      </c>
      <c r="C201" t="s">
        <v>1988</v>
      </c>
      <c r="D201" t="s">
        <v>2084</v>
      </c>
      <c r="E201" s="2">
        <v>45721.184269062498</v>
      </c>
      <c r="F201" t="s">
        <v>2085</v>
      </c>
      <c r="G201" t="s">
        <v>2086</v>
      </c>
      <c r="H201" t="s">
        <v>2077</v>
      </c>
      <c r="I201" t="s">
        <v>1306</v>
      </c>
      <c r="J201" t="s">
        <v>30</v>
      </c>
      <c r="K201" t="s">
        <v>31</v>
      </c>
      <c r="L201" t="s">
        <v>44</v>
      </c>
      <c r="M201" t="s">
        <v>28</v>
      </c>
      <c r="O201" s="2">
        <v>45611.38863425926</v>
      </c>
      <c r="P201" s="2">
        <v>45749.166666666664</v>
      </c>
      <c r="Q201" t="s">
        <v>32</v>
      </c>
      <c r="R201" t="s">
        <v>135</v>
      </c>
      <c r="S201" t="s">
        <v>81</v>
      </c>
    </row>
    <row r="202" spans="1:19" x14ac:dyDescent="0.35">
      <c r="A202" t="s">
        <v>23</v>
      </c>
      <c r="B202" t="s">
        <v>1305</v>
      </c>
      <c r="C202" t="s">
        <v>1988</v>
      </c>
      <c r="D202" t="s">
        <v>2084</v>
      </c>
      <c r="E202" s="2">
        <v>45722.922187256947</v>
      </c>
      <c r="F202" t="s">
        <v>2085</v>
      </c>
      <c r="G202" t="s">
        <v>2086</v>
      </c>
      <c r="H202" t="s">
        <v>2077</v>
      </c>
      <c r="I202" t="s">
        <v>1306</v>
      </c>
      <c r="J202" t="s">
        <v>30</v>
      </c>
      <c r="K202" t="s">
        <v>31</v>
      </c>
      <c r="L202" t="s">
        <v>44</v>
      </c>
      <c r="M202" t="s">
        <v>28</v>
      </c>
      <c r="O202" s="2">
        <v>45611.38863425926</v>
      </c>
      <c r="P202" s="2">
        <v>45749.166666666664</v>
      </c>
      <c r="Q202" t="s">
        <v>32</v>
      </c>
      <c r="R202" t="s">
        <v>135</v>
      </c>
      <c r="S202" t="s">
        <v>81</v>
      </c>
    </row>
    <row r="203" spans="1:19" x14ac:dyDescent="0.35">
      <c r="A203" t="s">
        <v>23</v>
      </c>
      <c r="B203" t="s">
        <v>722</v>
      </c>
      <c r="C203" t="s">
        <v>1989</v>
      </c>
      <c r="D203" t="s">
        <v>2087</v>
      </c>
      <c r="E203" s="2">
        <v>45783.75573971065</v>
      </c>
      <c r="F203" t="s">
        <v>2075</v>
      </c>
      <c r="G203" t="s">
        <v>2092</v>
      </c>
      <c r="H203" t="s">
        <v>2077</v>
      </c>
      <c r="I203" t="s">
        <v>723</v>
      </c>
      <c r="J203" t="s">
        <v>30</v>
      </c>
      <c r="K203" t="s">
        <v>31</v>
      </c>
      <c r="L203" t="s">
        <v>44</v>
      </c>
      <c r="M203" t="s">
        <v>28</v>
      </c>
      <c r="N203">
        <v>12</v>
      </c>
      <c r="O203" s="2">
        <v>45611.427789351852</v>
      </c>
      <c r="P203" s="2">
        <v>45786.166666666664</v>
      </c>
      <c r="Q203" t="s">
        <v>38</v>
      </c>
      <c r="R203" t="s">
        <v>54</v>
      </c>
      <c r="S203" t="s">
        <v>33</v>
      </c>
    </row>
    <row r="204" spans="1:19" x14ac:dyDescent="0.35">
      <c r="A204" t="s">
        <v>23</v>
      </c>
      <c r="B204" t="s">
        <v>910</v>
      </c>
      <c r="C204" t="s">
        <v>1989</v>
      </c>
      <c r="D204" t="s">
        <v>2087</v>
      </c>
      <c r="E204" s="2">
        <v>45688.780278715276</v>
      </c>
      <c r="F204" t="s">
        <v>2085</v>
      </c>
      <c r="G204" t="s">
        <v>2086</v>
      </c>
      <c r="H204" t="s">
        <v>2077</v>
      </c>
      <c r="I204" t="s">
        <v>911</v>
      </c>
      <c r="J204" t="s">
        <v>30</v>
      </c>
      <c r="K204" t="s">
        <v>31</v>
      </c>
      <c r="L204" t="s">
        <v>44</v>
      </c>
      <c r="M204" t="s">
        <v>28</v>
      </c>
      <c r="N204">
        <v>19</v>
      </c>
      <c r="O204" s="2">
        <v>45617.59851851852</v>
      </c>
      <c r="P204" s="2">
        <v>45699.208333333336</v>
      </c>
      <c r="Q204" t="s">
        <v>38</v>
      </c>
      <c r="R204" t="s">
        <v>36</v>
      </c>
    </row>
    <row r="205" spans="1:19" x14ac:dyDescent="0.35">
      <c r="A205" t="s">
        <v>23</v>
      </c>
      <c r="B205" t="s">
        <v>910</v>
      </c>
      <c r="C205" t="s">
        <v>1989</v>
      </c>
      <c r="D205" t="s">
        <v>2087</v>
      </c>
      <c r="E205" s="2">
        <v>45688.78081877315</v>
      </c>
      <c r="F205" t="s">
        <v>2078</v>
      </c>
      <c r="G205" t="s">
        <v>2104</v>
      </c>
      <c r="H205" t="s">
        <v>2077</v>
      </c>
      <c r="I205" t="s">
        <v>911</v>
      </c>
      <c r="J205" t="s">
        <v>30</v>
      </c>
      <c r="K205" t="s">
        <v>31</v>
      </c>
      <c r="L205" t="s">
        <v>44</v>
      </c>
      <c r="M205" t="s">
        <v>28</v>
      </c>
      <c r="N205">
        <v>19</v>
      </c>
      <c r="O205" s="2">
        <v>45617.59851851852</v>
      </c>
      <c r="P205" s="2">
        <v>45699.208333333336</v>
      </c>
      <c r="Q205" t="s">
        <v>38</v>
      </c>
      <c r="R205" t="s">
        <v>36</v>
      </c>
    </row>
    <row r="206" spans="1:19" x14ac:dyDescent="0.35">
      <c r="A206" t="s">
        <v>23</v>
      </c>
      <c r="B206" t="s">
        <v>1289</v>
      </c>
      <c r="C206" t="s">
        <v>1982</v>
      </c>
      <c r="D206" t="s">
        <v>2090</v>
      </c>
      <c r="E206" s="2">
        <v>45715.888700405092</v>
      </c>
      <c r="F206" t="s">
        <v>2088</v>
      </c>
      <c r="G206" t="s">
        <v>2134</v>
      </c>
      <c r="H206" t="s">
        <v>2083</v>
      </c>
      <c r="I206" t="s">
        <v>1290</v>
      </c>
      <c r="J206" t="s">
        <v>30</v>
      </c>
      <c r="K206" t="s">
        <v>31</v>
      </c>
      <c r="L206" t="s">
        <v>44</v>
      </c>
      <c r="M206" t="s">
        <v>28</v>
      </c>
      <c r="O206" s="2">
        <v>45617.866585648146</v>
      </c>
      <c r="P206" s="2">
        <v>45789.166666666664</v>
      </c>
      <c r="Q206" t="s">
        <v>38</v>
      </c>
      <c r="R206" t="s">
        <v>130</v>
      </c>
      <c r="S206" t="s">
        <v>81</v>
      </c>
    </row>
    <row r="207" spans="1:19" x14ac:dyDescent="0.35">
      <c r="A207" t="s">
        <v>23</v>
      </c>
      <c r="B207" t="s">
        <v>1289</v>
      </c>
      <c r="C207" t="s">
        <v>1988</v>
      </c>
      <c r="D207" t="s">
        <v>2090</v>
      </c>
      <c r="E207" s="2">
        <v>45761.847346377312</v>
      </c>
      <c r="F207" t="s">
        <v>2085</v>
      </c>
      <c r="G207" t="s">
        <v>2101</v>
      </c>
      <c r="H207" t="s">
        <v>2077</v>
      </c>
      <c r="I207" t="s">
        <v>1290</v>
      </c>
      <c r="J207" t="s">
        <v>30</v>
      </c>
      <c r="K207" t="s">
        <v>31</v>
      </c>
      <c r="L207" t="s">
        <v>44</v>
      </c>
      <c r="M207" t="s">
        <v>28</v>
      </c>
      <c r="O207" s="2">
        <v>45617.866585648146</v>
      </c>
      <c r="P207" s="2">
        <v>45789.166666666664</v>
      </c>
      <c r="Q207" t="s">
        <v>38</v>
      </c>
      <c r="R207" t="s">
        <v>130</v>
      </c>
      <c r="S207" t="s">
        <v>81</v>
      </c>
    </row>
    <row r="208" spans="1:19" x14ac:dyDescent="0.35">
      <c r="A208" t="s">
        <v>23</v>
      </c>
      <c r="B208" t="s">
        <v>2145</v>
      </c>
      <c r="C208" t="s">
        <v>1989</v>
      </c>
      <c r="D208" t="s">
        <v>2138</v>
      </c>
      <c r="E208" s="2">
        <v>45800.663563912036</v>
      </c>
      <c r="F208" t="s">
        <v>2075</v>
      </c>
      <c r="G208" t="s">
        <v>2105</v>
      </c>
      <c r="H208" t="s">
        <v>2083</v>
      </c>
      <c r="I208" t="s">
        <v>2146</v>
      </c>
      <c r="J208" t="s">
        <v>30</v>
      </c>
      <c r="K208" t="s">
        <v>31</v>
      </c>
      <c r="L208" t="s">
        <v>26</v>
      </c>
      <c r="M208" t="s">
        <v>28</v>
      </c>
      <c r="N208">
        <v>12</v>
      </c>
      <c r="O208" s="2">
        <v>45628.879537037035</v>
      </c>
      <c r="P208" s="2">
        <v>45896.166666666664</v>
      </c>
      <c r="Q208" t="s">
        <v>38</v>
      </c>
      <c r="R208" t="s">
        <v>409</v>
      </c>
      <c r="S208" t="s">
        <v>81</v>
      </c>
    </row>
    <row r="209" spans="1:19" x14ac:dyDescent="0.35">
      <c r="A209" t="s">
        <v>23</v>
      </c>
      <c r="B209" t="s">
        <v>2145</v>
      </c>
      <c r="C209" t="s">
        <v>1988</v>
      </c>
      <c r="D209" t="s">
        <v>2074</v>
      </c>
      <c r="E209" s="2">
        <v>45825.712572060183</v>
      </c>
      <c r="F209" t="s">
        <v>2075</v>
      </c>
      <c r="G209" t="s">
        <v>2092</v>
      </c>
      <c r="H209" t="s">
        <v>2083</v>
      </c>
      <c r="I209" t="s">
        <v>2146</v>
      </c>
      <c r="J209" t="s">
        <v>30</v>
      </c>
      <c r="K209" t="s">
        <v>31</v>
      </c>
      <c r="L209" t="s">
        <v>26</v>
      </c>
      <c r="M209" t="s">
        <v>28</v>
      </c>
      <c r="N209">
        <v>12</v>
      </c>
      <c r="O209" s="2">
        <v>45628.879537037035</v>
      </c>
      <c r="P209" s="2">
        <v>45896.166666666664</v>
      </c>
      <c r="Q209" t="s">
        <v>38</v>
      </c>
      <c r="R209" t="s">
        <v>409</v>
      </c>
      <c r="S209" t="s">
        <v>81</v>
      </c>
    </row>
    <row r="210" spans="1:19" x14ac:dyDescent="0.35">
      <c r="A210" t="s">
        <v>23</v>
      </c>
      <c r="B210" t="s">
        <v>2145</v>
      </c>
      <c r="C210" t="s">
        <v>1989</v>
      </c>
      <c r="D210" t="s">
        <v>2138</v>
      </c>
      <c r="E210" s="2">
        <v>45832.76223951389</v>
      </c>
      <c r="F210" t="s">
        <v>2075</v>
      </c>
      <c r="G210" t="s">
        <v>2092</v>
      </c>
      <c r="H210" t="s">
        <v>2083</v>
      </c>
      <c r="I210" t="s">
        <v>2146</v>
      </c>
      <c r="J210" t="s">
        <v>30</v>
      </c>
      <c r="K210" t="s">
        <v>31</v>
      </c>
      <c r="L210" t="s">
        <v>26</v>
      </c>
      <c r="M210" t="s">
        <v>28</v>
      </c>
      <c r="N210">
        <v>12</v>
      </c>
      <c r="O210" s="2">
        <v>45628.879537037035</v>
      </c>
      <c r="P210" s="2">
        <v>45896.166666666664</v>
      </c>
      <c r="Q210" t="s">
        <v>38</v>
      </c>
      <c r="R210" t="s">
        <v>409</v>
      </c>
      <c r="S210" t="s">
        <v>81</v>
      </c>
    </row>
    <row r="211" spans="1:19" x14ac:dyDescent="0.35">
      <c r="A211" t="s">
        <v>23</v>
      </c>
      <c r="B211" t="s">
        <v>2145</v>
      </c>
      <c r="C211" t="s">
        <v>1989</v>
      </c>
      <c r="D211" t="s">
        <v>2138</v>
      </c>
      <c r="E211" s="2">
        <v>45832.762940995373</v>
      </c>
      <c r="F211" t="s">
        <v>2080</v>
      </c>
      <c r="G211" t="s">
        <v>2081</v>
      </c>
      <c r="H211" t="s">
        <v>2083</v>
      </c>
      <c r="I211" t="s">
        <v>2146</v>
      </c>
      <c r="J211" t="s">
        <v>30</v>
      </c>
      <c r="K211" t="s">
        <v>31</v>
      </c>
      <c r="L211" t="s">
        <v>26</v>
      </c>
      <c r="M211" t="s">
        <v>28</v>
      </c>
      <c r="N211">
        <v>12</v>
      </c>
      <c r="O211" s="2">
        <v>45628.879537037035</v>
      </c>
      <c r="P211" s="2">
        <v>45896.166666666664</v>
      </c>
      <c r="Q211" t="s">
        <v>38</v>
      </c>
      <c r="R211" t="s">
        <v>409</v>
      </c>
      <c r="S211" t="s">
        <v>81</v>
      </c>
    </row>
    <row r="212" spans="1:19" x14ac:dyDescent="0.35">
      <c r="A212" t="s">
        <v>23</v>
      </c>
      <c r="B212" t="s">
        <v>2147</v>
      </c>
      <c r="C212" t="s">
        <v>1982</v>
      </c>
      <c r="D212" t="s">
        <v>2074</v>
      </c>
      <c r="E212" s="2">
        <v>45756.771993530092</v>
      </c>
      <c r="F212" t="s">
        <v>2075</v>
      </c>
      <c r="G212" t="s">
        <v>2092</v>
      </c>
      <c r="H212" t="s">
        <v>2083</v>
      </c>
      <c r="I212" t="s">
        <v>2148</v>
      </c>
      <c r="J212" t="s">
        <v>30</v>
      </c>
      <c r="K212" t="s">
        <v>31</v>
      </c>
      <c r="L212" t="s">
        <v>26</v>
      </c>
      <c r="M212" t="s">
        <v>28</v>
      </c>
      <c r="N212">
        <v>35</v>
      </c>
      <c r="O212" s="2">
        <v>45618.870509259257</v>
      </c>
      <c r="P212" s="2">
        <v>45918.166666666664</v>
      </c>
      <c r="Q212" t="s">
        <v>48</v>
      </c>
      <c r="R212" t="s">
        <v>409</v>
      </c>
      <c r="S212" t="s">
        <v>81</v>
      </c>
    </row>
    <row r="213" spans="1:19" x14ac:dyDescent="0.35">
      <c r="A213" t="s">
        <v>23</v>
      </c>
      <c r="B213" t="s">
        <v>671</v>
      </c>
      <c r="C213" t="s">
        <v>1989</v>
      </c>
      <c r="D213" t="s">
        <v>2138</v>
      </c>
      <c r="E213" s="2">
        <v>45671.672555740741</v>
      </c>
      <c r="F213" t="s">
        <v>2080</v>
      </c>
      <c r="G213" t="s">
        <v>2081</v>
      </c>
      <c r="H213" t="s">
        <v>2083</v>
      </c>
      <c r="I213" t="s">
        <v>672</v>
      </c>
      <c r="J213" t="s">
        <v>30</v>
      </c>
      <c r="K213" t="s">
        <v>31</v>
      </c>
      <c r="L213" t="s">
        <v>44</v>
      </c>
      <c r="M213" t="s">
        <v>28</v>
      </c>
      <c r="N213">
        <v>11</v>
      </c>
      <c r="O213" s="2">
        <v>45621.557708333334</v>
      </c>
      <c r="P213" s="2">
        <v>45687.208333333336</v>
      </c>
      <c r="Q213" t="s">
        <v>48</v>
      </c>
      <c r="R213" t="s">
        <v>36</v>
      </c>
      <c r="S213" t="s">
        <v>81</v>
      </c>
    </row>
    <row r="214" spans="1:19" x14ac:dyDescent="0.35">
      <c r="A214" t="s">
        <v>23</v>
      </c>
      <c r="B214" t="s">
        <v>671</v>
      </c>
      <c r="C214" t="s">
        <v>1989</v>
      </c>
      <c r="D214" t="s">
        <v>2138</v>
      </c>
      <c r="E214" s="2">
        <v>45680.534211886574</v>
      </c>
      <c r="F214" t="s">
        <v>2075</v>
      </c>
      <c r="G214" t="s">
        <v>2092</v>
      </c>
      <c r="H214" t="s">
        <v>2083</v>
      </c>
      <c r="I214" t="s">
        <v>672</v>
      </c>
      <c r="J214" t="s">
        <v>30</v>
      </c>
      <c r="K214" t="s">
        <v>31</v>
      </c>
      <c r="L214" t="s">
        <v>44</v>
      </c>
      <c r="M214" t="s">
        <v>28</v>
      </c>
      <c r="N214">
        <v>11</v>
      </c>
      <c r="O214" s="2">
        <v>45621.557708333334</v>
      </c>
      <c r="P214" s="2">
        <v>45687.208333333336</v>
      </c>
      <c r="Q214" t="s">
        <v>48</v>
      </c>
      <c r="R214" t="s">
        <v>36</v>
      </c>
      <c r="S214" t="s">
        <v>81</v>
      </c>
    </row>
    <row r="215" spans="1:19" x14ac:dyDescent="0.35">
      <c r="A215" t="s">
        <v>23</v>
      </c>
      <c r="B215" t="s">
        <v>759</v>
      </c>
      <c r="C215" t="s">
        <v>1989</v>
      </c>
      <c r="D215" t="s">
        <v>2138</v>
      </c>
      <c r="E215" s="2">
        <v>45688.66629105324</v>
      </c>
      <c r="F215" t="s">
        <v>2078</v>
      </c>
      <c r="G215" t="s">
        <v>2108</v>
      </c>
      <c r="H215" t="s">
        <v>2077</v>
      </c>
      <c r="I215" t="s">
        <v>760</v>
      </c>
      <c r="J215" t="s">
        <v>30</v>
      </c>
      <c r="K215" t="s">
        <v>31</v>
      </c>
      <c r="L215" t="s">
        <v>44</v>
      </c>
      <c r="M215" t="s">
        <v>28</v>
      </c>
      <c r="N215">
        <v>13</v>
      </c>
      <c r="O215" s="2">
        <v>45621.587951388887</v>
      </c>
      <c r="P215" s="2">
        <v>45688.208333333336</v>
      </c>
      <c r="Q215" t="s">
        <v>48</v>
      </c>
      <c r="R215" t="s">
        <v>36</v>
      </c>
    </row>
    <row r="216" spans="1:19" x14ac:dyDescent="0.35">
      <c r="A216" t="s">
        <v>23</v>
      </c>
      <c r="B216" t="s">
        <v>759</v>
      </c>
      <c r="C216" t="s">
        <v>1989</v>
      </c>
      <c r="D216" t="s">
        <v>2138</v>
      </c>
      <c r="E216" s="2">
        <v>45688.666643750003</v>
      </c>
      <c r="F216" t="s">
        <v>2075</v>
      </c>
      <c r="G216" t="s">
        <v>2076</v>
      </c>
      <c r="H216" t="s">
        <v>2077</v>
      </c>
      <c r="I216" t="s">
        <v>760</v>
      </c>
      <c r="J216" t="s">
        <v>30</v>
      </c>
      <c r="K216" t="s">
        <v>31</v>
      </c>
      <c r="L216" t="s">
        <v>44</v>
      </c>
      <c r="M216" t="s">
        <v>28</v>
      </c>
      <c r="N216">
        <v>13</v>
      </c>
      <c r="O216" s="2">
        <v>45621.587951388887</v>
      </c>
      <c r="P216" s="2">
        <v>45688.208333333336</v>
      </c>
      <c r="Q216" t="s">
        <v>48</v>
      </c>
      <c r="R216" t="s">
        <v>36</v>
      </c>
    </row>
    <row r="217" spans="1:19" x14ac:dyDescent="0.35">
      <c r="A217" t="s">
        <v>23</v>
      </c>
      <c r="B217" t="s">
        <v>2149</v>
      </c>
      <c r="C217" t="s">
        <v>1988</v>
      </c>
      <c r="D217" t="s">
        <v>2084</v>
      </c>
      <c r="E217" s="2">
        <v>45853.750950254631</v>
      </c>
      <c r="F217" t="s">
        <v>2085</v>
      </c>
      <c r="G217" t="s">
        <v>2086</v>
      </c>
      <c r="H217" t="s">
        <v>2077</v>
      </c>
      <c r="I217" t="s">
        <v>2150</v>
      </c>
      <c r="J217" t="s">
        <v>30</v>
      </c>
      <c r="K217" t="s">
        <v>31</v>
      </c>
      <c r="L217" t="s">
        <v>26</v>
      </c>
      <c r="M217" t="s">
        <v>28</v>
      </c>
      <c r="N217">
        <v>17</v>
      </c>
      <c r="O217" s="2">
        <v>45621.208333333336</v>
      </c>
      <c r="P217" s="2">
        <v>45877.166666666664</v>
      </c>
      <c r="Q217" t="s">
        <v>38</v>
      </c>
      <c r="R217" t="s">
        <v>54</v>
      </c>
      <c r="S217" t="s">
        <v>81</v>
      </c>
    </row>
    <row r="218" spans="1:19" x14ac:dyDescent="0.35">
      <c r="A218" t="s">
        <v>23</v>
      </c>
      <c r="B218" t="s">
        <v>2149</v>
      </c>
      <c r="C218" t="s">
        <v>1989</v>
      </c>
      <c r="D218" t="s">
        <v>2082</v>
      </c>
      <c r="E218" s="2">
        <v>45860.586071388891</v>
      </c>
      <c r="F218" t="s">
        <v>2080</v>
      </c>
      <c r="G218" t="s">
        <v>2081</v>
      </c>
      <c r="H218" t="s">
        <v>2077</v>
      </c>
      <c r="I218" t="s">
        <v>2150</v>
      </c>
      <c r="J218" t="s">
        <v>30</v>
      </c>
      <c r="K218" t="s">
        <v>31</v>
      </c>
      <c r="L218" t="s">
        <v>26</v>
      </c>
      <c r="M218" t="s">
        <v>28</v>
      </c>
      <c r="N218">
        <v>17</v>
      </c>
      <c r="O218" s="2">
        <v>45621.208333333336</v>
      </c>
      <c r="P218" s="2">
        <v>45877.166666666664</v>
      </c>
      <c r="Q218" t="s">
        <v>38</v>
      </c>
      <c r="R218" t="s">
        <v>54</v>
      </c>
      <c r="S218" t="s">
        <v>81</v>
      </c>
    </row>
    <row r="219" spans="1:19" x14ac:dyDescent="0.35">
      <c r="A219" t="s">
        <v>23</v>
      </c>
      <c r="B219" t="s">
        <v>933</v>
      </c>
      <c r="C219" t="s">
        <v>1989</v>
      </c>
      <c r="D219" t="s">
        <v>2087</v>
      </c>
      <c r="E219" s="2">
        <v>45723.79846953704</v>
      </c>
      <c r="F219" t="s">
        <v>2085</v>
      </c>
      <c r="G219" t="s">
        <v>2086</v>
      </c>
      <c r="H219" t="s">
        <v>2077</v>
      </c>
      <c r="I219" t="s">
        <v>934</v>
      </c>
      <c r="J219" t="s">
        <v>30</v>
      </c>
      <c r="K219" t="s">
        <v>70</v>
      </c>
      <c r="L219" t="s">
        <v>44</v>
      </c>
      <c r="M219" t="s">
        <v>28</v>
      </c>
      <c r="N219">
        <v>20</v>
      </c>
      <c r="O219" s="2">
        <v>45621.837453703702</v>
      </c>
      <c r="P219" s="2">
        <v>45723.208333333336</v>
      </c>
      <c r="Q219" t="s">
        <v>38</v>
      </c>
      <c r="R219" t="s">
        <v>36</v>
      </c>
      <c r="S219" t="s">
        <v>81</v>
      </c>
    </row>
    <row r="220" spans="1:19" x14ac:dyDescent="0.35">
      <c r="A220" t="s">
        <v>23</v>
      </c>
      <c r="B220" t="s">
        <v>933</v>
      </c>
      <c r="C220" t="s">
        <v>1989</v>
      </c>
      <c r="D220" t="s">
        <v>2087</v>
      </c>
      <c r="E220" s="2">
        <v>45723.799699444447</v>
      </c>
      <c r="F220" t="s">
        <v>2075</v>
      </c>
      <c r="G220" t="s">
        <v>2076</v>
      </c>
      <c r="H220" t="s">
        <v>2083</v>
      </c>
      <c r="I220" t="s">
        <v>934</v>
      </c>
      <c r="J220" t="s">
        <v>30</v>
      </c>
      <c r="K220" t="s">
        <v>70</v>
      </c>
      <c r="L220" t="s">
        <v>44</v>
      </c>
      <c r="M220" t="s">
        <v>28</v>
      </c>
      <c r="N220">
        <v>20</v>
      </c>
      <c r="O220" s="2">
        <v>45621.837453703702</v>
      </c>
      <c r="P220" s="2">
        <v>45723.208333333336</v>
      </c>
      <c r="Q220" t="s">
        <v>38</v>
      </c>
      <c r="R220" t="s">
        <v>36</v>
      </c>
      <c r="S220" t="s">
        <v>81</v>
      </c>
    </row>
    <row r="221" spans="1:19" x14ac:dyDescent="0.35">
      <c r="A221" t="s">
        <v>23</v>
      </c>
      <c r="B221" t="s">
        <v>2151</v>
      </c>
      <c r="C221" t="s">
        <v>1982</v>
      </c>
      <c r="D221" t="s">
        <v>2090</v>
      </c>
      <c r="E221" s="2">
        <v>45764.577132256942</v>
      </c>
      <c r="F221" t="s">
        <v>2085</v>
      </c>
      <c r="G221" t="s">
        <v>2101</v>
      </c>
      <c r="H221" t="s">
        <v>2077</v>
      </c>
      <c r="I221" t="s">
        <v>2152</v>
      </c>
      <c r="J221" t="s">
        <v>30</v>
      </c>
      <c r="K221" t="s">
        <v>31</v>
      </c>
      <c r="L221" t="s">
        <v>26</v>
      </c>
      <c r="M221" t="s">
        <v>28</v>
      </c>
      <c r="N221">
        <v>28</v>
      </c>
      <c r="O221" s="2">
        <v>45622.783877314818</v>
      </c>
      <c r="P221" s="2">
        <v>45905.166666666664</v>
      </c>
      <c r="Q221" t="s">
        <v>48</v>
      </c>
      <c r="R221" t="s">
        <v>409</v>
      </c>
      <c r="S221" t="s">
        <v>33</v>
      </c>
    </row>
    <row r="222" spans="1:19" x14ac:dyDescent="0.35">
      <c r="A222" t="s">
        <v>23</v>
      </c>
      <c r="B222" t="s">
        <v>795</v>
      </c>
      <c r="C222" t="s">
        <v>1980</v>
      </c>
      <c r="D222" t="s">
        <v>2153</v>
      </c>
      <c r="E222" s="2">
        <v>45712.567007361111</v>
      </c>
      <c r="F222" t="s">
        <v>2088</v>
      </c>
      <c r="G222" t="s">
        <v>2134</v>
      </c>
      <c r="H222" t="s">
        <v>2083</v>
      </c>
      <c r="I222" t="s">
        <v>796</v>
      </c>
      <c r="J222" t="s">
        <v>30</v>
      </c>
      <c r="K222" t="s">
        <v>31</v>
      </c>
      <c r="L222" t="s">
        <v>44</v>
      </c>
      <c r="M222" t="s">
        <v>28</v>
      </c>
      <c r="N222">
        <v>14</v>
      </c>
      <c r="O222" s="2">
        <v>45629.612627314818</v>
      </c>
      <c r="P222" s="2">
        <v>45821.166666666664</v>
      </c>
      <c r="Q222" t="s">
        <v>32</v>
      </c>
      <c r="R222" t="s">
        <v>135</v>
      </c>
      <c r="S222" t="s">
        <v>33</v>
      </c>
    </row>
    <row r="223" spans="1:19" x14ac:dyDescent="0.35">
      <c r="A223" t="s">
        <v>23</v>
      </c>
      <c r="B223" t="s">
        <v>1307</v>
      </c>
      <c r="C223" t="s">
        <v>1982</v>
      </c>
      <c r="D223" t="s">
        <v>2074</v>
      </c>
      <c r="E223" s="2">
        <v>45705.650470810186</v>
      </c>
      <c r="F223" t="s">
        <v>2075</v>
      </c>
      <c r="G223" t="s">
        <v>2099</v>
      </c>
      <c r="H223" t="s">
        <v>2083</v>
      </c>
      <c r="I223" t="s">
        <v>1308</v>
      </c>
      <c r="J223" t="s">
        <v>30</v>
      </c>
      <c r="K223" t="s">
        <v>70</v>
      </c>
      <c r="L223" t="s">
        <v>44</v>
      </c>
      <c r="M223" t="s">
        <v>28</v>
      </c>
      <c r="O223" s="2">
        <v>45629.690925925926</v>
      </c>
      <c r="P223" s="2">
        <v>45741.166666666664</v>
      </c>
      <c r="Q223" t="s">
        <v>174</v>
      </c>
      <c r="R223" t="s">
        <v>54</v>
      </c>
      <c r="S223" t="s">
        <v>33</v>
      </c>
    </row>
    <row r="224" spans="1:19" x14ac:dyDescent="0.35">
      <c r="A224" t="s">
        <v>23</v>
      </c>
      <c r="B224" t="s">
        <v>1023</v>
      </c>
      <c r="C224" t="s">
        <v>1989</v>
      </c>
      <c r="D224" t="s">
        <v>2087</v>
      </c>
      <c r="E224" s="2">
        <v>45694.634378483795</v>
      </c>
      <c r="F224" t="s">
        <v>2075</v>
      </c>
      <c r="G224" t="s">
        <v>2076</v>
      </c>
      <c r="H224" t="s">
        <v>2077</v>
      </c>
      <c r="I224" t="s">
        <v>1024</v>
      </c>
      <c r="J224" t="s">
        <v>30</v>
      </c>
      <c r="K224" t="s">
        <v>70</v>
      </c>
      <c r="L224" t="s">
        <v>44</v>
      </c>
      <c r="M224" t="s">
        <v>28</v>
      </c>
      <c r="N224">
        <v>29</v>
      </c>
      <c r="O224" s="2">
        <v>45629.715879629628</v>
      </c>
      <c r="P224" s="2">
        <v>45698.208333333336</v>
      </c>
      <c r="Q224" t="s">
        <v>48</v>
      </c>
      <c r="R224" t="s">
        <v>36</v>
      </c>
      <c r="S224" t="s">
        <v>33</v>
      </c>
    </row>
    <row r="225" spans="1:19" x14ac:dyDescent="0.35">
      <c r="A225" t="s">
        <v>23</v>
      </c>
      <c r="B225" t="s">
        <v>1023</v>
      </c>
      <c r="C225" t="s">
        <v>1989</v>
      </c>
      <c r="D225" t="s">
        <v>2087</v>
      </c>
      <c r="E225" s="2">
        <v>45694.634771412035</v>
      </c>
      <c r="F225" t="s">
        <v>2078</v>
      </c>
      <c r="G225" t="s">
        <v>2108</v>
      </c>
      <c r="H225" t="s">
        <v>2077</v>
      </c>
      <c r="I225" t="s">
        <v>1024</v>
      </c>
      <c r="J225" t="s">
        <v>30</v>
      </c>
      <c r="K225" t="s">
        <v>70</v>
      </c>
      <c r="L225" t="s">
        <v>44</v>
      </c>
      <c r="M225" t="s">
        <v>28</v>
      </c>
      <c r="N225">
        <v>29</v>
      </c>
      <c r="O225" s="2">
        <v>45629.715879629628</v>
      </c>
      <c r="P225" s="2">
        <v>45698.208333333336</v>
      </c>
      <c r="Q225" t="s">
        <v>48</v>
      </c>
      <c r="R225" t="s">
        <v>36</v>
      </c>
      <c r="S225" t="s">
        <v>33</v>
      </c>
    </row>
    <row r="226" spans="1:19" x14ac:dyDescent="0.35">
      <c r="A226" t="s">
        <v>23</v>
      </c>
      <c r="B226" t="s">
        <v>1023</v>
      </c>
      <c r="C226" t="s">
        <v>1989</v>
      </c>
      <c r="D226" t="s">
        <v>2087</v>
      </c>
      <c r="E226" s="2">
        <v>45694.636154687498</v>
      </c>
      <c r="F226" t="s">
        <v>2075</v>
      </c>
      <c r="G226" t="s">
        <v>2099</v>
      </c>
      <c r="H226" t="s">
        <v>2077</v>
      </c>
      <c r="I226" t="s">
        <v>1024</v>
      </c>
      <c r="J226" t="s">
        <v>30</v>
      </c>
      <c r="K226" t="s">
        <v>70</v>
      </c>
      <c r="L226" t="s">
        <v>44</v>
      </c>
      <c r="M226" t="s">
        <v>28</v>
      </c>
      <c r="N226">
        <v>29</v>
      </c>
      <c r="O226" s="2">
        <v>45629.715879629628</v>
      </c>
      <c r="P226" s="2">
        <v>45698.208333333336</v>
      </c>
      <c r="Q226" t="s">
        <v>48</v>
      </c>
      <c r="R226" t="s">
        <v>36</v>
      </c>
      <c r="S226" t="s">
        <v>33</v>
      </c>
    </row>
    <row r="227" spans="1:19" x14ac:dyDescent="0.35">
      <c r="A227" t="s">
        <v>23</v>
      </c>
      <c r="B227" t="s">
        <v>1023</v>
      </c>
      <c r="C227" t="s">
        <v>1989</v>
      </c>
      <c r="D227" t="s">
        <v>2087</v>
      </c>
      <c r="E227" s="2">
        <v>45694.636431481478</v>
      </c>
      <c r="F227" t="s">
        <v>2080</v>
      </c>
      <c r="G227" t="s">
        <v>2081</v>
      </c>
      <c r="H227" t="s">
        <v>2077</v>
      </c>
      <c r="I227" t="s">
        <v>1024</v>
      </c>
      <c r="J227" t="s">
        <v>30</v>
      </c>
      <c r="K227" t="s">
        <v>70</v>
      </c>
      <c r="L227" t="s">
        <v>44</v>
      </c>
      <c r="M227" t="s">
        <v>28</v>
      </c>
      <c r="N227">
        <v>29</v>
      </c>
      <c r="O227" s="2">
        <v>45629.715879629628</v>
      </c>
      <c r="P227" s="2">
        <v>45698.208333333336</v>
      </c>
      <c r="Q227" t="s">
        <v>48</v>
      </c>
      <c r="R227" t="s">
        <v>36</v>
      </c>
      <c r="S227" t="s">
        <v>33</v>
      </c>
    </row>
    <row r="228" spans="1:19" x14ac:dyDescent="0.35">
      <c r="A228" t="s">
        <v>23</v>
      </c>
      <c r="B228" t="s">
        <v>1291</v>
      </c>
      <c r="C228" t="s">
        <v>1982</v>
      </c>
      <c r="D228" t="s">
        <v>2090</v>
      </c>
      <c r="E228" s="2">
        <v>45715.857481481478</v>
      </c>
      <c r="F228" t="s">
        <v>2088</v>
      </c>
      <c r="G228" t="s">
        <v>2089</v>
      </c>
      <c r="H228" t="s">
        <v>2083</v>
      </c>
      <c r="I228" t="s">
        <v>1292</v>
      </c>
      <c r="J228" t="s">
        <v>30</v>
      </c>
      <c r="K228" t="s">
        <v>31</v>
      </c>
      <c r="L228" t="s">
        <v>44</v>
      </c>
      <c r="M228" t="s">
        <v>28</v>
      </c>
      <c r="O228" s="2">
        <v>45630.841550925928</v>
      </c>
      <c r="P228" s="2">
        <v>45835.166666666664</v>
      </c>
      <c r="Q228" t="s">
        <v>38</v>
      </c>
      <c r="R228" t="s">
        <v>409</v>
      </c>
      <c r="S228" t="s">
        <v>33</v>
      </c>
    </row>
    <row r="229" spans="1:19" x14ac:dyDescent="0.35">
      <c r="A229" t="s">
        <v>23</v>
      </c>
      <c r="B229" t="s">
        <v>1291</v>
      </c>
      <c r="C229" t="s">
        <v>1982</v>
      </c>
      <c r="D229" t="s">
        <v>2090</v>
      </c>
      <c r="E229" s="2">
        <v>45741.772880497687</v>
      </c>
      <c r="F229" t="s">
        <v>2088</v>
      </c>
      <c r="G229" t="s">
        <v>2134</v>
      </c>
      <c r="H229" t="s">
        <v>2077</v>
      </c>
      <c r="I229" t="s">
        <v>1292</v>
      </c>
      <c r="J229" t="s">
        <v>30</v>
      </c>
      <c r="K229" t="s">
        <v>31</v>
      </c>
      <c r="L229" t="s">
        <v>44</v>
      </c>
      <c r="M229" t="s">
        <v>28</v>
      </c>
      <c r="O229" s="2">
        <v>45630.841550925928</v>
      </c>
      <c r="P229" s="2">
        <v>45835.166666666664</v>
      </c>
      <c r="Q229" t="s">
        <v>38</v>
      </c>
      <c r="R229" t="s">
        <v>409</v>
      </c>
      <c r="S229" t="s">
        <v>33</v>
      </c>
    </row>
    <row r="230" spans="1:19" x14ac:dyDescent="0.35">
      <c r="A230" t="s">
        <v>23</v>
      </c>
      <c r="B230" t="s">
        <v>1291</v>
      </c>
      <c r="C230" t="s">
        <v>1988</v>
      </c>
      <c r="D230" t="s">
        <v>2090</v>
      </c>
      <c r="E230" s="2">
        <v>45804.543400798611</v>
      </c>
      <c r="F230" t="s">
        <v>2080</v>
      </c>
      <c r="G230" t="s">
        <v>2081</v>
      </c>
      <c r="H230" t="s">
        <v>2077</v>
      </c>
      <c r="I230" t="s">
        <v>1292</v>
      </c>
      <c r="J230" t="s">
        <v>30</v>
      </c>
      <c r="K230" t="s">
        <v>31</v>
      </c>
      <c r="L230" t="s">
        <v>44</v>
      </c>
      <c r="M230" t="s">
        <v>28</v>
      </c>
      <c r="O230" s="2">
        <v>45630.841550925928</v>
      </c>
      <c r="P230" s="2">
        <v>45835.166666666664</v>
      </c>
      <c r="Q230" t="s">
        <v>38</v>
      </c>
      <c r="R230" t="s">
        <v>409</v>
      </c>
      <c r="S230" t="s">
        <v>33</v>
      </c>
    </row>
    <row r="231" spans="1:19" x14ac:dyDescent="0.35">
      <c r="A231" t="s">
        <v>23</v>
      </c>
      <c r="B231" t="s">
        <v>963</v>
      </c>
      <c r="C231" t="s">
        <v>1982</v>
      </c>
      <c r="D231" t="s">
        <v>2154</v>
      </c>
      <c r="E231" s="2">
        <v>45712.799022951389</v>
      </c>
      <c r="F231" t="s">
        <v>2088</v>
      </c>
      <c r="G231" t="s">
        <v>2091</v>
      </c>
      <c r="H231" t="s">
        <v>2077</v>
      </c>
      <c r="I231" t="s">
        <v>964</v>
      </c>
      <c r="J231" t="s">
        <v>30</v>
      </c>
      <c r="K231" t="s">
        <v>31</v>
      </c>
      <c r="L231" t="s">
        <v>44</v>
      </c>
      <c r="M231" t="s">
        <v>28</v>
      </c>
      <c r="N231">
        <v>22</v>
      </c>
      <c r="O231" s="2">
        <v>45636.803935185184</v>
      </c>
      <c r="P231" s="2">
        <v>45777.166666666664</v>
      </c>
      <c r="Q231" t="s">
        <v>38</v>
      </c>
      <c r="R231" t="s">
        <v>409</v>
      </c>
      <c r="S231" t="s">
        <v>33</v>
      </c>
    </row>
    <row r="232" spans="1:19" x14ac:dyDescent="0.35">
      <c r="A232" t="s">
        <v>23</v>
      </c>
      <c r="B232" t="s">
        <v>963</v>
      </c>
      <c r="C232" t="s">
        <v>1989</v>
      </c>
      <c r="D232" t="s">
        <v>2119</v>
      </c>
      <c r="E232" s="2">
        <v>45754.587641423612</v>
      </c>
      <c r="F232" t="s">
        <v>2080</v>
      </c>
      <c r="G232" t="s">
        <v>2094</v>
      </c>
      <c r="H232" t="s">
        <v>2077</v>
      </c>
      <c r="I232" t="s">
        <v>964</v>
      </c>
      <c r="J232" t="s">
        <v>30</v>
      </c>
      <c r="K232" t="s">
        <v>31</v>
      </c>
      <c r="L232" t="s">
        <v>44</v>
      </c>
      <c r="M232" t="s">
        <v>28</v>
      </c>
      <c r="N232">
        <v>22</v>
      </c>
      <c r="O232" s="2">
        <v>45636.803935185184</v>
      </c>
      <c r="P232" s="2">
        <v>45777.166666666664</v>
      </c>
      <c r="Q232" t="s">
        <v>38</v>
      </c>
      <c r="R232" t="s">
        <v>409</v>
      </c>
      <c r="S232" t="s">
        <v>33</v>
      </c>
    </row>
    <row r="233" spans="1:19" x14ac:dyDescent="0.35">
      <c r="A233" t="s">
        <v>23</v>
      </c>
      <c r="B233" t="s">
        <v>1278</v>
      </c>
      <c r="C233" t="s">
        <v>1989</v>
      </c>
      <c r="D233" t="s">
        <v>2138</v>
      </c>
      <c r="E233" s="2">
        <v>45671.386343692131</v>
      </c>
      <c r="F233" t="s">
        <v>2078</v>
      </c>
      <c r="G233" t="s">
        <v>2108</v>
      </c>
      <c r="H233" t="s">
        <v>2077</v>
      </c>
      <c r="I233" t="s">
        <v>1279</v>
      </c>
      <c r="J233" t="s">
        <v>30</v>
      </c>
      <c r="K233" t="s">
        <v>31</v>
      </c>
      <c r="L233" t="s">
        <v>44</v>
      </c>
      <c r="M233" t="s">
        <v>28</v>
      </c>
      <c r="O233" s="2">
        <v>45637.667824074073</v>
      </c>
      <c r="P233" s="2">
        <v>45674.208333333336</v>
      </c>
      <c r="Q233" t="s">
        <v>48</v>
      </c>
      <c r="R233" t="s">
        <v>36</v>
      </c>
      <c r="S233" t="s">
        <v>33</v>
      </c>
    </row>
    <row r="234" spans="1:19" x14ac:dyDescent="0.35">
      <c r="A234" t="s">
        <v>23</v>
      </c>
      <c r="B234" t="s">
        <v>1278</v>
      </c>
      <c r="C234" t="s">
        <v>1989</v>
      </c>
      <c r="D234" t="s">
        <v>2138</v>
      </c>
      <c r="E234" s="2">
        <v>45671.392547615738</v>
      </c>
      <c r="F234" t="s">
        <v>2075</v>
      </c>
      <c r="G234" t="s">
        <v>2092</v>
      </c>
      <c r="H234" t="s">
        <v>2083</v>
      </c>
      <c r="I234" t="s">
        <v>1279</v>
      </c>
      <c r="J234" t="s">
        <v>30</v>
      </c>
      <c r="K234" t="s">
        <v>31</v>
      </c>
      <c r="L234" t="s">
        <v>44</v>
      </c>
      <c r="M234" t="s">
        <v>28</v>
      </c>
      <c r="O234" s="2">
        <v>45637.667824074073</v>
      </c>
      <c r="P234" s="2">
        <v>45674.208333333336</v>
      </c>
      <c r="Q234" t="s">
        <v>48</v>
      </c>
      <c r="R234" t="s">
        <v>36</v>
      </c>
      <c r="S234" t="s">
        <v>33</v>
      </c>
    </row>
    <row r="235" spans="1:19" x14ac:dyDescent="0.35">
      <c r="A235" t="s">
        <v>23</v>
      </c>
      <c r="B235" t="s">
        <v>1278</v>
      </c>
      <c r="C235" t="s">
        <v>1989</v>
      </c>
      <c r="D235" t="s">
        <v>2138</v>
      </c>
      <c r="E235" s="2">
        <v>45671.393007939812</v>
      </c>
      <c r="F235" t="s">
        <v>2075</v>
      </c>
      <c r="G235" t="s">
        <v>2099</v>
      </c>
      <c r="H235" t="s">
        <v>2083</v>
      </c>
      <c r="I235" t="s">
        <v>1279</v>
      </c>
      <c r="J235" t="s">
        <v>30</v>
      </c>
      <c r="K235" t="s">
        <v>31</v>
      </c>
      <c r="L235" t="s">
        <v>44</v>
      </c>
      <c r="M235" t="s">
        <v>28</v>
      </c>
      <c r="O235" s="2">
        <v>45637.667824074073</v>
      </c>
      <c r="P235" s="2">
        <v>45674.208333333336</v>
      </c>
      <c r="Q235" t="s">
        <v>48</v>
      </c>
      <c r="R235" t="s">
        <v>36</v>
      </c>
      <c r="S235" t="s">
        <v>33</v>
      </c>
    </row>
    <row r="236" spans="1:19" x14ac:dyDescent="0.35">
      <c r="A236" t="s">
        <v>23</v>
      </c>
      <c r="B236" t="s">
        <v>1278</v>
      </c>
      <c r="C236" t="s">
        <v>1989</v>
      </c>
      <c r="D236" t="s">
        <v>2138</v>
      </c>
      <c r="E236" s="2">
        <v>45671.393340324074</v>
      </c>
      <c r="F236" t="s">
        <v>2080</v>
      </c>
      <c r="G236" t="s">
        <v>2081</v>
      </c>
      <c r="H236" t="s">
        <v>2077</v>
      </c>
      <c r="I236" t="s">
        <v>1279</v>
      </c>
      <c r="J236" t="s">
        <v>30</v>
      </c>
      <c r="K236" t="s">
        <v>31</v>
      </c>
      <c r="L236" t="s">
        <v>44</v>
      </c>
      <c r="M236" t="s">
        <v>28</v>
      </c>
      <c r="O236" s="2">
        <v>45637.667824074073</v>
      </c>
      <c r="P236" s="2">
        <v>45674.208333333336</v>
      </c>
      <c r="Q236" t="s">
        <v>48</v>
      </c>
      <c r="R236" t="s">
        <v>36</v>
      </c>
      <c r="S236" t="s">
        <v>33</v>
      </c>
    </row>
    <row r="237" spans="1:19" x14ac:dyDescent="0.35">
      <c r="A237" t="s">
        <v>23</v>
      </c>
      <c r="B237" t="s">
        <v>1278</v>
      </c>
      <c r="C237" t="s">
        <v>1989</v>
      </c>
      <c r="D237" t="s">
        <v>2138</v>
      </c>
      <c r="E237" s="2">
        <v>45671.393741898151</v>
      </c>
      <c r="F237" t="s">
        <v>2080</v>
      </c>
      <c r="G237" t="s">
        <v>2081</v>
      </c>
      <c r="H237" t="s">
        <v>2083</v>
      </c>
      <c r="I237" t="s">
        <v>1279</v>
      </c>
      <c r="J237" t="s">
        <v>30</v>
      </c>
      <c r="K237" t="s">
        <v>31</v>
      </c>
      <c r="L237" t="s">
        <v>44</v>
      </c>
      <c r="M237" t="s">
        <v>28</v>
      </c>
      <c r="O237" s="2">
        <v>45637.667824074073</v>
      </c>
      <c r="P237" s="2">
        <v>45674.208333333336</v>
      </c>
      <c r="Q237" t="s">
        <v>48</v>
      </c>
      <c r="R237" t="s">
        <v>36</v>
      </c>
      <c r="S237" t="s">
        <v>33</v>
      </c>
    </row>
    <row r="238" spans="1:19" x14ac:dyDescent="0.35">
      <c r="A238" t="s">
        <v>23</v>
      </c>
      <c r="B238" t="s">
        <v>940</v>
      </c>
      <c r="C238" t="s">
        <v>1982</v>
      </c>
      <c r="D238" t="s">
        <v>2074</v>
      </c>
      <c r="E238" s="2">
        <v>45699.728464861109</v>
      </c>
      <c r="F238" t="s">
        <v>2080</v>
      </c>
      <c r="G238" t="s">
        <v>2081</v>
      </c>
      <c r="H238" t="s">
        <v>2083</v>
      </c>
      <c r="I238" t="s">
        <v>941</v>
      </c>
      <c r="J238" t="s">
        <v>30</v>
      </c>
      <c r="K238" t="s">
        <v>31</v>
      </c>
      <c r="L238" t="s">
        <v>44</v>
      </c>
      <c r="M238" t="s">
        <v>28</v>
      </c>
      <c r="N238">
        <v>20</v>
      </c>
      <c r="O238" s="2">
        <v>45638.585428240738</v>
      </c>
      <c r="P238" s="2">
        <v>45789.166666666664</v>
      </c>
      <c r="Q238" t="s">
        <v>38</v>
      </c>
      <c r="R238" t="s">
        <v>130</v>
      </c>
      <c r="S238" t="s">
        <v>81</v>
      </c>
    </row>
    <row r="239" spans="1:19" x14ac:dyDescent="0.35">
      <c r="A239" t="s">
        <v>23</v>
      </c>
      <c r="B239" t="s">
        <v>940</v>
      </c>
      <c r="C239" t="s">
        <v>1982</v>
      </c>
      <c r="D239" t="s">
        <v>2074</v>
      </c>
      <c r="E239" s="2">
        <v>45705.742229120369</v>
      </c>
      <c r="F239" t="s">
        <v>2080</v>
      </c>
      <c r="G239" t="s">
        <v>2081</v>
      </c>
      <c r="H239" t="s">
        <v>2083</v>
      </c>
      <c r="I239" t="s">
        <v>941</v>
      </c>
      <c r="J239" t="s">
        <v>30</v>
      </c>
      <c r="K239" t="s">
        <v>31</v>
      </c>
      <c r="L239" t="s">
        <v>44</v>
      </c>
      <c r="M239" t="s">
        <v>28</v>
      </c>
      <c r="N239">
        <v>20</v>
      </c>
      <c r="O239" s="2">
        <v>45638.585428240738</v>
      </c>
      <c r="P239" s="2">
        <v>45789.166666666664</v>
      </c>
      <c r="Q239" t="s">
        <v>38</v>
      </c>
      <c r="R239" t="s">
        <v>130</v>
      </c>
      <c r="S239" t="s">
        <v>81</v>
      </c>
    </row>
    <row r="240" spans="1:19" x14ac:dyDescent="0.35">
      <c r="A240" t="s">
        <v>23</v>
      </c>
      <c r="B240" t="s">
        <v>944</v>
      </c>
      <c r="C240" t="s">
        <v>1989</v>
      </c>
      <c r="D240" t="s">
        <v>2119</v>
      </c>
      <c r="E240" s="2">
        <v>45789.678636076387</v>
      </c>
      <c r="F240" t="s">
        <v>2080</v>
      </c>
      <c r="G240" t="s">
        <v>2081</v>
      </c>
      <c r="H240" t="s">
        <v>2077</v>
      </c>
      <c r="I240" t="s">
        <v>945</v>
      </c>
      <c r="J240" t="s">
        <v>30</v>
      </c>
      <c r="K240" t="s">
        <v>31</v>
      </c>
      <c r="L240" t="s">
        <v>44</v>
      </c>
      <c r="M240" t="s">
        <v>28</v>
      </c>
      <c r="N240">
        <v>20</v>
      </c>
      <c r="O240" s="2">
        <v>45638.626793981479</v>
      </c>
      <c r="P240" s="2">
        <v>45821.166666666664</v>
      </c>
      <c r="Q240" t="s">
        <v>38</v>
      </c>
      <c r="R240" t="s">
        <v>409</v>
      </c>
      <c r="S240" t="s">
        <v>33</v>
      </c>
    </row>
    <row r="241" spans="1:19" x14ac:dyDescent="0.35">
      <c r="A241" t="s">
        <v>23</v>
      </c>
      <c r="B241" t="s">
        <v>944</v>
      </c>
      <c r="C241" t="s">
        <v>1989</v>
      </c>
      <c r="D241" t="s">
        <v>2119</v>
      </c>
      <c r="E241" s="2">
        <v>45789.679631342595</v>
      </c>
      <c r="F241" t="s">
        <v>2075</v>
      </c>
      <c r="G241" t="s">
        <v>2076</v>
      </c>
      <c r="H241" t="s">
        <v>2083</v>
      </c>
      <c r="I241" t="s">
        <v>945</v>
      </c>
      <c r="J241" t="s">
        <v>30</v>
      </c>
      <c r="K241" t="s">
        <v>31</v>
      </c>
      <c r="L241" t="s">
        <v>44</v>
      </c>
      <c r="M241" t="s">
        <v>28</v>
      </c>
      <c r="N241">
        <v>20</v>
      </c>
      <c r="O241" s="2">
        <v>45638.626793981479</v>
      </c>
      <c r="P241" s="2">
        <v>45821.166666666664</v>
      </c>
      <c r="Q241" t="s">
        <v>38</v>
      </c>
      <c r="R241" t="s">
        <v>409</v>
      </c>
      <c r="S241" t="s">
        <v>33</v>
      </c>
    </row>
    <row r="242" spans="1:19" x14ac:dyDescent="0.35">
      <c r="A242" t="s">
        <v>23</v>
      </c>
      <c r="B242" t="s">
        <v>944</v>
      </c>
      <c r="C242" t="s">
        <v>1989</v>
      </c>
      <c r="D242" t="s">
        <v>2119</v>
      </c>
      <c r="E242" s="2">
        <v>45789.679860011573</v>
      </c>
      <c r="F242" t="s">
        <v>2075</v>
      </c>
      <c r="G242" t="s">
        <v>2092</v>
      </c>
      <c r="H242" t="s">
        <v>2083</v>
      </c>
      <c r="I242" t="s">
        <v>945</v>
      </c>
      <c r="J242" t="s">
        <v>30</v>
      </c>
      <c r="K242" t="s">
        <v>31</v>
      </c>
      <c r="L242" t="s">
        <v>44</v>
      </c>
      <c r="M242" t="s">
        <v>28</v>
      </c>
      <c r="N242">
        <v>20</v>
      </c>
      <c r="O242" s="2">
        <v>45638.626793981479</v>
      </c>
      <c r="P242" s="2">
        <v>45821.166666666664</v>
      </c>
      <c r="Q242" t="s">
        <v>38</v>
      </c>
      <c r="R242" t="s">
        <v>409</v>
      </c>
      <c r="S242" t="s">
        <v>33</v>
      </c>
    </row>
    <row r="243" spans="1:19" x14ac:dyDescent="0.35">
      <c r="A243" t="s">
        <v>23</v>
      </c>
      <c r="B243" t="s">
        <v>2155</v>
      </c>
      <c r="C243" t="s">
        <v>1988</v>
      </c>
      <c r="D243" t="s">
        <v>2084</v>
      </c>
      <c r="E243" s="2">
        <v>45849.858518958332</v>
      </c>
      <c r="F243" t="s">
        <v>2085</v>
      </c>
      <c r="G243" t="s">
        <v>2086</v>
      </c>
      <c r="H243" t="s">
        <v>2077</v>
      </c>
      <c r="I243" t="s">
        <v>2156</v>
      </c>
      <c r="J243" t="s">
        <v>30</v>
      </c>
      <c r="K243" t="s">
        <v>31</v>
      </c>
      <c r="L243" t="s">
        <v>26</v>
      </c>
      <c r="M243" t="s">
        <v>28</v>
      </c>
      <c r="O243" s="2">
        <v>45644.314849537041</v>
      </c>
      <c r="P243" s="2">
        <v>45873.166666666664</v>
      </c>
      <c r="Q243" t="s">
        <v>38</v>
      </c>
      <c r="R243" t="s">
        <v>54</v>
      </c>
      <c r="S243" t="s">
        <v>33</v>
      </c>
    </row>
    <row r="244" spans="1:19" x14ac:dyDescent="0.35">
      <c r="A244" t="s">
        <v>23</v>
      </c>
      <c r="B244" t="s">
        <v>2155</v>
      </c>
      <c r="C244" t="s">
        <v>1988</v>
      </c>
      <c r="D244" t="s">
        <v>2084</v>
      </c>
      <c r="E244" s="2">
        <v>45852.631828831021</v>
      </c>
      <c r="F244" t="s">
        <v>2085</v>
      </c>
      <c r="G244" t="s">
        <v>2086</v>
      </c>
      <c r="H244" t="s">
        <v>2077</v>
      </c>
      <c r="I244" t="s">
        <v>2156</v>
      </c>
      <c r="J244" t="s">
        <v>30</v>
      </c>
      <c r="K244" t="s">
        <v>31</v>
      </c>
      <c r="L244" t="s">
        <v>26</v>
      </c>
      <c r="M244" t="s">
        <v>28</v>
      </c>
      <c r="O244" s="2">
        <v>45644.314849537041</v>
      </c>
      <c r="P244" s="2">
        <v>45873.166666666664</v>
      </c>
      <c r="Q244" t="s">
        <v>38</v>
      </c>
      <c r="R244" t="s">
        <v>54</v>
      </c>
      <c r="S244" t="s">
        <v>33</v>
      </c>
    </row>
    <row r="245" spans="1:19" x14ac:dyDescent="0.35">
      <c r="A245" t="s">
        <v>23</v>
      </c>
      <c r="B245" t="s">
        <v>1390</v>
      </c>
      <c r="C245" t="s">
        <v>1982</v>
      </c>
      <c r="D245" t="s">
        <v>2154</v>
      </c>
      <c r="E245" s="2">
        <v>45754.868218460651</v>
      </c>
      <c r="F245" t="s">
        <v>2088</v>
      </c>
      <c r="G245" t="s">
        <v>2091</v>
      </c>
      <c r="H245" t="s">
        <v>2083</v>
      </c>
      <c r="I245" t="s">
        <v>1391</v>
      </c>
      <c r="J245" t="s">
        <v>30</v>
      </c>
      <c r="K245" t="s">
        <v>31</v>
      </c>
      <c r="L245" t="s">
        <v>44</v>
      </c>
      <c r="M245" t="s">
        <v>28</v>
      </c>
      <c r="O245" s="2">
        <v>45646.652928240743</v>
      </c>
      <c r="P245" s="2">
        <v>45828.166666666664</v>
      </c>
      <c r="Q245" t="s">
        <v>38</v>
      </c>
      <c r="R245" t="s">
        <v>409</v>
      </c>
      <c r="S245" t="s">
        <v>33</v>
      </c>
    </row>
    <row r="246" spans="1:19" x14ac:dyDescent="0.35">
      <c r="A246" t="s">
        <v>23</v>
      </c>
      <c r="B246" t="s">
        <v>1293</v>
      </c>
      <c r="C246" t="s">
        <v>1989</v>
      </c>
      <c r="D246" t="s">
        <v>2138</v>
      </c>
      <c r="E246" s="2">
        <v>45670.802458229169</v>
      </c>
      <c r="F246" t="s">
        <v>2080</v>
      </c>
      <c r="G246" t="s">
        <v>2081</v>
      </c>
      <c r="H246" t="s">
        <v>2077</v>
      </c>
      <c r="I246" t="s">
        <v>1294</v>
      </c>
      <c r="J246" t="s">
        <v>30</v>
      </c>
      <c r="K246" t="s">
        <v>31</v>
      </c>
      <c r="L246" t="s">
        <v>44</v>
      </c>
      <c r="M246" t="s">
        <v>28</v>
      </c>
      <c r="O246" s="2">
        <v>45646.69840277778</v>
      </c>
      <c r="P246" s="2">
        <v>45674.208333333336</v>
      </c>
      <c r="Q246" t="s">
        <v>48</v>
      </c>
      <c r="R246" t="s">
        <v>36</v>
      </c>
    </row>
    <row r="247" spans="1:19" x14ac:dyDescent="0.35">
      <c r="A247" t="s">
        <v>23</v>
      </c>
      <c r="B247" t="s">
        <v>1293</v>
      </c>
      <c r="C247" t="s">
        <v>1989</v>
      </c>
      <c r="D247" t="s">
        <v>2138</v>
      </c>
      <c r="E247" s="2">
        <v>45671.386556793979</v>
      </c>
      <c r="F247" t="s">
        <v>2078</v>
      </c>
      <c r="G247" t="s">
        <v>2108</v>
      </c>
      <c r="H247" t="s">
        <v>2077</v>
      </c>
      <c r="I247" t="s">
        <v>1294</v>
      </c>
      <c r="J247" t="s">
        <v>30</v>
      </c>
      <c r="K247" t="s">
        <v>31</v>
      </c>
      <c r="L247" t="s">
        <v>44</v>
      </c>
      <c r="M247" t="s">
        <v>28</v>
      </c>
      <c r="O247" s="2">
        <v>45646.69840277778</v>
      </c>
      <c r="P247" s="2">
        <v>45674.208333333336</v>
      </c>
      <c r="Q247" t="s">
        <v>48</v>
      </c>
      <c r="R247" t="s">
        <v>36</v>
      </c>
    </row>
    <row r="248" spans="1:19" x14ac:dyDescent="0.35">
      <c r="A248" t="s">
        <v>23</v>
      </c>
      <c r="B248" t="s">
        <v>1293</v>
      </c>
      <c r="C248" t="s">
        <v>1989</v>
      </c>
      <c r="D248" t="s">
        <v>2138</v>
      </c>
      <c r="E248" s="2">
        <v>45671.395427418982</v>
      </c>
      <c r="F248" t="s">
        <v>2080</v>
      </c>
      <c r="G248" t="s">
        <v>2081</v>
      </c>
      <c r="H248" t="s">
        <v>2083</v>
      </c>
      <c r="I248" t="s">
        <v>1294</v>
      </c>
      <c r="J248" t="s">
        <v>30</v>
      </c>
      <c r="K248" t="s">
        <v>31</v>
      </c>
      <c r="L248" t="s">
        <v>44</v>
      </c>
      <c r="M248" t="s">
        <v>28</v>
      </c>
      <c r="O248" s="2">
        <v>45646.69840277778</v>
      </c>
      <c r="P248" s="2">
        <v>45674.208333333336</v>
      </c>
      <c r="Q248" t="s">
        <v>48</v>
      </c>
      <c r="R248" t="s">
        <v>36</v>
      </c>
    </row>
    <row r="249" spans="1:19" x14ac:dyDescent="0.35">
      <c r="A249" t="s">
        <v>23</v>
      </c>
      <c r="B249" t="s">
        <v>1293</v>
      </c>
      <c r="C249" t="s">
        <v>1989</v>
      </c>
      <c r="D249" t="s">
        <v>2138</v>
      </c>
      <c r="E249" s="2">
        <v>45671.396874178237</v>
      </c>
      <c r="F249" t="s">
        <v>2080</v>
      </c>
      <c r="G249" t="s">
        <v>2081</v>
      </c>
      <c r="H249" t="s">
        <v>2077</v>
      </c>
      <c r="I249" t="s">
        <v>1294</v>
      </c>
      <c r="J249" t="s">
        <v>30</v>
      </c>
      <c r="K249" t="s">
        <v>31</v>
      </c>
      <c r="L249" t="s">
        <v>44</v>
      </c>
      <c r="M249" t="s">
        <v>28</v>
      </c>
      <c r="O249" s="2">
        <v>45646.69840277778</v>
      </c>
      <c r="P249" s="2">
        <v>45674.208333333336</v>
      </c>
      <c r="Q249" t="s">
        <v>48</v>
      </c>
      <c r="R249" t="s">
        <v>36</v>
      </c>
    </row>
    <row r="250" spans="1:19" x14ac:dyDescent="0.35">
      <c r="A250" t="s">
        <v>23</v>
      </c>
      <c r="B250" t="s">
        <v>1954</v>
      </c>
      <c r="C250" t="s">
        <v>1989</v>
      </c>
      <c r="D250" t="s">
        <v>2087</v>
      </c>
      <c r="E250" s="2">
        <v>45685.659008495371</v>
      </c>
      <c r="F250" t="s">
        <v>2085</v>
      </c>
      <c r="G250" t="s">
        <v>2086</v>
      </c>
      <c r="H250" t="s">
        <v>2077</v>
      </c>
      <c r="I250" t="s">
        <v>1955</v>
      </c>
      <c r="J250" t="s">
        <v>30</v>
      </c>
      <c r="K250" t="s">
        <v>208</v>
      </c>
      <c r="L250" t="s">
        <v>44</v>
      </c>
      <c r="M250" t="s">
        <v>1719</v>
      </c>
      <c r="O250" s="2">
        <v>45649.582094907404</v>
      </c>
      <c r="P250" s="2"/>
      <c r="Q250" t="s">
        <v>48</v>
      </c>
      <c r="R250" t="s">
        <v>36</v>
      </c>
      <c r="S250" t="s">
        <v>33</v>
      </c>
    </row>
    <row r="251" spans="1:19" x14ac:dyDescent="0.35">
      <c r="A251" t="s">
        <v>23</v>
      </c>
      <c r="B251" t="s">
        <v>1954</v>
      </c>
      <c r="C251" t="s">
        <v>1989</v>
      </c>
      <c r="D251" t="s">
        <v>2087</v>
      </c>
      <c r="E251" s="2">
        <v>45685.660839016207</v>
      </c>
      <c r="F251" t="s">
        <v>2075</v>
      </c>
      <c r="G251" t="s">
        <v>2121</v>
      </c>
      <c r="H251" t="s">
        <v>2077</v>
      </c>
      <c r="I251" t="s">
        <v>1955</v>
      </c>
      <c r="J251" t="s">
        <v>30</v>
      </c>
      <c r="K251" t="s">
        <v>208</v>
      </c>
      <c r="L251" t="s">
        <v>44</v>
      </c>
      <c r="M251" t="s">
        <v>1719</v>
      </c>
      <c r="O251" s="2">
        <v>45649.582094907404</v>
      </c>
      <c r="P251" s="2"/>
      <c r="Q251" t="s">
        <v>48</v>
      </c>
      <c r="R251" t="s">
        <v>36</v>
      </c>
      <c r="S251" t="s">
        <v>33</v>
      </c>
    </row>
    <row r="252" spans="1:19" x14ac:dyDescent="0.35">
      <c r="A252" t="s">
        <v>23</v>
      </c>
      <c r="B252" t="s">
        <v>1954</v>
      </c>
      <c r="C252" t="s">
        <v>1989</v>
      </c>
      <c r="D252" t="s">
        <v>2087</v>
      </c>
      <c r="E252" s="2">
        <v>45685.661583773152</v>
      </c>
      <c r="F252" t="s">
        <v>2085</v>
      </c>
      <c r="G252" t="s">
        <v>2086</v>
      </c>
      <c r="H252" t="s">
        <v>2077</v>
      </c>
      <c r="I252" t="s">
        <v>1955</v>
      </c>
      <c r="J252" t="s">
        <v>30</v>
      </c>
      <c r="K252" t="s">
        <v>208</v>
      </c>
      <c r="L252" t="s">
        <v>44</v>
      </c>
      <c r="M252" t="s">
        <v>1719</v>
      </c>
      <c r="O252" s="2">
        <v>45649.582094907404</v>
      </c>
      <c r="P252" s="2"/>
      <c r="Q252" t="s">
        <v>48</v>
      </c>
      <c r="R252" t="s">
        <v>36</v>
      </c>
      <c r="S252" t="s">
        <v>33</v>
      </c>
    </row>
    <row r="253" spans="1:19" x14ac:dyDescent="0.35">
      <c r="A253" t="s">
        <v>23</v>
      </c>
      <c r="B253" t="s">
        <v>1954</v>
      </c>
      <c r="C253" t="s">
        <v>1989</v>
      </c>
      <c r="D253" t="s">
        <v>2087</v>
      </c>
      <c r="E253" s="2">
        <v>45685.663115717594</v>
      </c>
      <c r="F253" t="s">
        <v>2075</v>
      </c>
      <c r="G253" t="s">
        <v>2157</v>
      </c>
      <c r="H253" t="s">
        <v>2077</v>
      </c>
      <c r="I253" t="s">
        <v>1955</v>
      </c>
      <c r="J253" t="s">
        <v>30</v>
      </c>
      <c r="K253" t="s">
        <v>208</v>
      </c>
      <c r="L253" t="s">
        <v>44</v>
      </c>
      <c r="M253" t="s">
        <v>1719</v>
      </c>
      <c r="O253" s="2">
        <v>45649.582094907404</v>
      </c>
      <c r="P253" s="2"/>
      <c r="Q253" t="s">
        <v>48</v>
      </c>
      <c r="R253" t="s">
        <v>36</v>
      </c>
      <c r="S253" t="s">
        <v>33</v>
      </c>
    </row>
    <row r="254" spans="1:19" x14ac:dyDescent="0.35">
      <c r="A254" t="s">
        <v>23</v>
      </c>
      <c r="B254" t="s">
        <v>1299</v>
      </c>
      <c r="C254" t="s">
        <v>1989</v>
      </c>
      <c r="D254" t="s">
        <v>2087</v>
      </c>
      <c r="E254" s="2">
        <v>45687.795152685183</v>
      </c>
      <c r="F254" t="s">
        <v>2080</v>
      </c>
      <c r="G254" t="s">
        <v>2094</v>
      </c>
      <c r="H254" t="s">
        <v>2077</v>
      </c>
      <c r="I254" t="s">
        <v>1300</v>
      </c>
      <c r="J254" t="s">
        <v>30</v>
      </c>
      <c r="K254" t="s">
        <v>300</v>
      </c>
      <c r="L254" t="s">
        <v>44</v>
      </c>
      <c r="M254" t="s">
        <v>28</v>
      </c>
      <c r="O254" s="2">
        <v>45660.689293981479</v>
      </c>
      <c r="P254" s="2">
        <v>45692.208333333336</v>
      </c>
      <c r="Q254" t="s">
        <v>38</v>
      </c>
      <c r="R254" t="s">
        <v>36</v>
      </c>
      <c r="S254" t="s">
        <v>33</v>
      </c>
    </row>
    <row r="255" spans="1:19" x14ac:dyDescent="0.35">
      <c r="A255" t="s">
        <v>23</v>
      </c>
      <c r="B255" t="s">
        <v>1299</v>
      </c>
      <c r="C255" t="s">
        <v>1989</v>
      </c>
      <c r="D255" t="s">
        <v>2087</v>
      </c>
      <c r="E255" s="2">
        <v>45687.795544050925</v>
      </c>
      <c r="F255" t="s">
        <v>2080</v>
      </c>
      <c r="G255" t="s">
        <v>2100</v>
      </c>
      <c r="H255" t="s">
        <v>2077</v>
      </c>
      <c r="I255" t="s">
        <v>1300</v>
      </c>
      <c r="J255" t="s">
        <v>30</v>
      </c>
      <c r="K255" t="s">
        <v>300</v>
      </c>
      <c r="L255" t="s">
        <v>44</v>
      </c>
      <c r="M255" t="s">
        <v>28</v>
      </c>
      <c r="O255" s="2">
        <v>45660.689293981479</v>
      </c>
      <c r="P255" s="2">
        <v>45692.208333333336</v>
      </c>
      <c r="Q255" t="s">
        <v>38</v>
      </c>
      <c r="R255" t="s">
        <v>36</v>
      </c>
      <c r="S255" t="s">
        <v>33</v>
      </c>
    </row>
    <row r="256" spans="1:19" x14ac:dyDescent="0.35">
      <c r="A256" t="s">
        <v>23</v>
      </c>
      <c r="B256" t="s">
        <v>2158</v>
      </c>
      <c r="C256" t="s">
        <v>1982</v>
      </c>
      <c r="D256" t="s">
        <v>2090</v>
      </c>
      <c r="E256" s="2">
        <v>45764.844781967593</v>
      </c>
      <c r="F256" t="s">
        <v>2088</v>
      </c>
      <c r="G256" t="s">
        <v>2089</v>
      </c>
      <c r="H256" t="s">
        <v>2083</v>
      </c>
      <c r="I256" t="s">
        <v>2159</v>
      </c>
      <c r="J256" t="s">
        <v>30</v>
      </c>
      <c r="K256" t="s">
        <v>31</v>
      </c>
      <c r="L256" t="s">
        <v>26</v>
      </c>
      <c r="M256" t="s">
        <v>28</v>
      </c>
      <c r="N256">
        <v>21</v>
      </c>
      <c r="O256" s="2">
        <v>45663.910752314812</v>
      </c>
      <c r="P256" s="2">
        <v>45896.166666666664</v>
      </c>
      <c r="Q256" t="s">
        <v>38</v>
      </c>
      <c r="R256" t="s">
        <v>76</v>
      </c>
      <c r="S256" t="s">
        <v>33</v>
      </c>
    </row>
    <row r="257" spans="1:19" x14ac:dyDescent="0.35">
      <c r="A257" t="s">
        <v>23</v>
      </c>
      <c r="B257" t="s">
        <v>2160</v>
      </c>
      <c r="C257" t="s">
        <v>1988</v>
      </c>
      <c r="D257" t="s">
        <v>2084</v>
      </c>
      <c r="E257" s="2">
        <v>45861.872626574077</v>
      </c>
      <c r="F257" t="s">
        <v>2085</v>
      </c>
      <c r="G257" t="s">
        <v>2086</v>
      </c>
      <c r="H257" t="s">
        <v>2077</v>
      </c>
      <c r="I257" t="s">
        <v>2161</v>
      </c>
      <c r="J257" t="s">
        <v>30</v>
      </c>
      <c r="K257" t="s">
        <v>31</v>
      </c>
      <c r="L257" t="s">
        <v>44</v>
      </c>
      <c r="M257" t="s">
        <v>28</v>
      </c>
      <c r="O257" s="2">
        <v>45664.600370370368</v>
      </c>
      <c r="P257" s="2">
        <v>45877.166666666664</v>
      </c>
      <c r="Q257" t="s">
        <v>38</v>
      </c>
      <c r="R257" t="s">
        <v>54</v>
      </c>
    </row>
    <row r="258" spans="1:19" x14ac:dyDescent="0.35">
      <c r="A258" t="s">
        <v>23</v>
      </c>
      <c r="B258" t="s">
        <v>1952</v>
      </c>
      <c r="C258" t="s">
        <v>1989</v>
      </c>
      <c r="D258" t="s">
        <v>2087</v>
      </c>
      <c r="E258" s="2">
        <v>45678.615528472219</v>
      </c>
      <c r="F258" t="s">
        <v>2078</v>
      </c>
      <c r="G258" t="s">
        <v>2079</v>
      </c>
      <c r="H258" t="s">
        <v>2077</v>
      </c>
      <c r="I258" t="s">
        <v>1953</v>
      </c>
      <c r="J258" t="s">
        <v>30</v>
      </c>
      <c r="K258" t="s">
        <v>31</v>
      </c>
      <c r="L258" t="s">
        <v>44</v>
      </c>
      <c r="M258" t="s">
        <v>1719</v>
      </c>
      <c r="O258" s="2">
        <v>45665.822245370371</v>
      </c>
      <c r="P258" s="2"/>
      <c r="Q258" t="s">
        <v>48</v>
      </c>
      <c r="R258" t="s">
        <v>36</v>
      </c>
      <c r="S258" t="s">
        <v>33</v>
      </c>
    </row>
    <row r="259" spans="1:19" x14ac:dyDescent="0.35">
      <c r="A259" t="s">
        <v>23</v>
      </c>
      <c r="B259" t="s">
        <v>1952</v>
      </c>
      <c r="C259" t="s">
        <v>1989</v>
      </c>
      <c r="D259" t="s">
        <v>2087</v>
      </c>
      <c r="E259" s="2">
        <v>45678.617051273148</v>
      </c>
      <c r="F259" t="s">
        <v>2080</v>
      </c>
      <c r="G259" t="s">
        <v>2100</v>
      </c>
      <c r="H259" t="s">
        <v>2077</v>
      </c>
      <c r="I259" t="s">
        <v>1953</v>
      </c>
      <c r="J259" t="s">
        <v>30</v>
      </c>
      <c r="K259" t="s">
        <v>31</v>
      </c>
      <c r="L259" t="s">
        <v>44</v>
      </c>
      <c r="M259" t="s">
        <v>1719</v>
      </c>
      <c r="O259" s="2">
        <v>45665.822245370371</v>
      </c>
      <c r="P259" s="2"/>
      <c r="Q259" t="s">
        <v>48</v>
      </c>
      <c r="R259" t="s">
        <v>36</v>
      </c>
      <c r="S259" t="s">
        <v>33</v>
      </c>
    </row>
    <row r="260" spans="1:19" x14ac:dyDescent="0.35">
      <c r="A260" t="s">
        <v>23</v>
      </c>
      <c r="B260" t="s">
        <v>1011</v>
      </c>
      <c r="C260" t="s">
        <v>1989</v>
      </c>
      <c r="D260" t="s">
        <v>2087</v>
      </c>
      <c r="E260" s="2">
        <v>45677.782620694445</v>
      </c>
      <c r="F260" t="s">
        <v>2078</v>
      </c>
      <c r="G260" t="s">
        <v>2104</v>
      </c>
      <c r="H260" t="s">
        <v>2077</v>
      </c>
      <c r="I260" t="s">
        <v>1012</v>
      </c>
      <c r="J260" t="s">
        <v>30</v>
      </c>
      <c r="K260" t="s">
        <v>31</v>
      </c>
      <c r="L260" t="s">
        <v>44</v>
      </c>
      <c r="M260" t="s">
        <v>28</v>
      </c>
      <c r="N260">
        <v>27</v>
      </c>
      <c r="O260" s="2">
        <v>45665.846620370372</v>
      </c>
      <c r="P260" s="2">
        <v>45679.208333333336</v>
      </c>
      <c r="Q260" t="s">
        <v>38</v>
      </c>
      <c r="R260" t="s">
        <v>36</v>
      </c>
      <c r="S260" t="s">
        <v>33</v>
      </c>
    </row>
    <row r="261" spans="1:19" x14ac:dyDescent="0.35">
      <c r="A261" t="s">
        <v>23</v>
      </c>
      <c r="B261" t="s">
        <v>2162</v>
      </c>
      <c r="C261" t="s">
        <v>1988</v>
      </c>
      <c r="D261" t="s">
        <v>461</v>
      </c>
      <c r="E261" s="2">
        <v>45825.874190659721</v>
      </c>
      <c r="F261" t="s">
        <v>2078</v>
      </c>
      <c r="G261" t="s">
        <v>2104</v>
      </c>
      <c r="H261" t="s">
        <v>2083</v>
      </c>
      <c r="I261" t="s">
        <v>2163</v>
      </c>
      <c r="J261" t="s">
        <v>30</v>
      </c>
      <c r="K261" t="s">
        <v>70</v>
      </c>
      <c r="L261" t="s">
        <v>26</v>
      </c>
      <c r="M261" t="s">
        <v>28</v>
      </c>
      <c r="N261">
        <v>15</v>
      </c>
      <c r="O261" s="2">
        <v>45667.622048611112</v>
      </c>
      <c r="P261" s="2">
        <v>45877.166666666664</v>
      </c>
      <c r="Q261" t="s">
        <v>48</v>
      </c>
      <c r="R261" t="s">
        <v>36</v>
      </c>
    </row>
    <row r="262" spans="1:19" x14ac:dyDescent="0.35">
      <c r="A262" t="s">
        <v>23</v>
      </c>
      <c r="B262" t="s">
        <v>2162</v>
      </c>
      <c r="C262" t="s">
        <v>1988</v>
      </c>
      <c r="D262" t="s">
        <v>461</v>
      </c>
      <c r="E262" s="2">
        <v>45838.89270689815</v>
      </c>
      <c r="F262" t="s">
        <v>2075</v>
      </c>
      <c r="G262" t="s">
        <v>2157</v>
      </c>
      <c r="H262" t="s">
        <v>2083</v>
      </c>
      <c r="I262" t="s">
        <v>2163</v>
      </c>
      <c r="J262" t="s">
        <v>30</v>
      </c>
      <c r="K262" t="s">
        <v>70</v>
      </c>
      <c r="L262" t="s">
        <v>26</v>
      </c>
      <c r="M262" t="s">
        <v>28</v>
      </c>
      <c r="N262">
        <v>15</v>
      </c>
      <c r="O262" s="2">
        <v>45667.622048611112</v>
      </c>
      <c r="P262" s="2">
        <v>45877.166666666664</v>
      </c>
      <c r="Q262" t="s">
        <v>48</v>
      </c>
      <c r="R262" t="s">
        <v>36</v>
      </c>
    </row>
    <row r="263" spans="1:19" x14ac:dyDescent="0.35">
      <c r="A263" t="s">
        <v>23</v>
      </c>
      <c r="B263" t="s">
        <v>2162</v>
      </c>
      <c r="C263" t="s">
        <v>1989</v>
      </c>
      <c r="D263" t="s">
        <v>2087</v>
      </c>
      <c r="E263" s="2">
        <v>45859.768432048608</v>
      </c>
      <c r="F263" t="s">
        <v>2075</v>
      </c>
      <c r="G263" t="s">
        <v>2076</v>
      </c>
      <c r="H263" t="s">
        <v>2077</v>
      </c>
      <c r="I263" t="s">
        <v>2163</v>
      </c>
      <c r="J263" t="s">
        <v>30</v>
      </c>
      <c r="K263" t="s">
        <v>70</v>
      </c>
      <c r="L263" t="s">
        <v>26</v>
      </c>
      <c r="M263" t="s">
        <v>28</v>
      </c>
      <c r="N263">
        <v>15</v>
      </c>
      <c r="O263" s="2">
        <v>45667.622048611112</v>
      </c>
      <c r="P263" s="2">
        <v>45877.166666666664</v>
      </c>
      <c r="Q263" t="s">
        <v>48</v>
      </c>
      <c r="R263" t="s">
        <v>36</v>
      </c>
    </row>
    <row r="264" spans="1:19" x14ac:dyDescent="0.35">
      <c r="A264" t="s">
        <v>23</v>
      </c>
      <c r="B264" t="s">
        <v>2162</v>
      </c>
      <c r="C264" t="s">
        <v>1989</v>
      </c>
      <c r="D264" t="s">
        <v>2087</v>
      </c>
      <c r="E264" s="2">
        <v>45859.770048101855</v>
      </c>
      <c r="F264" t="s">
        <v>2085</v>
      </c>
      <c r="G264" t="s">
        <v>2086</v>
      </c>
      <c r="H264" t="s">
        <v>2077</v>
      </c>
      <c r="I264" t="s">
        <v>2163</v>
      </c>
      <c r="J264" t="s">
        <v>30</v>
      </c>
      <c r="K264" t="s">
        <v>70</v>
      </c>
      <c r="L264" t="s">
        <v>26</v>
      </c>
      <c r="M264" t="s">
        <v>28</v>
      </c>
      <c r="N264">
        <v>15</v>
      </c>
      <c r="O264" s="2">
        <v>45667.622048611112</v>
      </c>
      <c r="P264" s="2">
        <v>45877.166666666664</v>
      </c>
      <c r="Q264" t="s">
        <v>48</v>
      </c>
      <c r="R264" t="s">
        <v>36</v>
      </c>
    </row>
    <row r="265" spans="1:19" x14ac:dyDescent="0.35">
      <c r="A265" t="s">
        <v>23</v>
      </c>
      <c r="B265" t="s">
        <v>2162</v>
      </c>
      <c r="C265" t="s">
        <v>1989</v>
      </c>
      <c r="D265" t="s">
        <v>2087</v>
      </c>
      <c r="E265" s="2">
        <v>45859.770715798608</v>
      </c>
      <c r="F265" t="s">
        <v>2085</v>
      </c>
      <c r="G265" t="s">
        <v>2086</v>
      </c>
      <c r="H265" t="s">
        <v>2077</v>
      </c>
      <c r="I265" t="s">
        <v>2163</v>
      </c>
      <c r="J265" t="s">
        <v>30</v>
      </c>
      <c r="K265" t="s">
        <v>70</v>
      </c>
      <c r="L265" t="s">
        <v>26</v>
      </c>
      <c r="M265" t="s">
        <v>28</v>
      </c>
      <c r="N265">
        <v>15</v>
      </c>
      <c r="O265" s="2">
        <v>45667.622048611112</v>
      </c>
      <c r="P265" s="2">
        <v>45877.166666666664</v>
      </c>
      <c r="Q265" t="s">
        <v>48</v>
      </c>
      <c r="R265" t="s">
        <v>36</v>
      </c>
    </row>
    <row r="266" spans="1:19" x14ac:dyDescent="0.35">
      <c r="A266" t="s">
        <v>23</v>
      </c>
      <c r="B266" t="s">
        <v>2162</v>
      </c>
      <c r="C266" t="s">
        <v>1989</v>
      </c>
      <c r="D266" t="s">
        <v>2087</v>
      </c>
      <c r="E266" s="2">
        <v>45859.771455532406</v>
      </c>
      <c r="F266" t="s">
        <v>2080</v>
      </c>
      <c r="G266" t="s">
        <v>2081</v>
      </c>
      <c r="H266" t="s">
        <v>2077</v>
      </c>
      <c r="I266" t="s">
        <v>2163</v>
      </c>
      <c r="J266" t="s">
        <v>30</v>
      </c>
      <c r="K266" t="s">
        <v>70</v>
      </c>
      <c r="L266" t="s">
        <v>26</v>
      </c>
      <c r="M266" t="s">
        <v>28</v>
      </c>
      <c r="N266">
        <v>15</v>
      </c>
      <c r="O266" s="2">
        <v>45667.622048611112</v>
      </c>
      <c r="P266" s="2">
        <v>45877.166666666664</v>
      </c>
      <c r="Q266" t="s">
        <v>48</v>
      </c>
      <c r="R266" t="s">
        <v>36</v>
      </c>
    </row>
    <row r="267" spans="1:19" x14ac:dyDescent="0.35">
      <c r="A267" t="s">
        <v>23</v>
      </c>
      <c r="B267" t="s">
        <v>2162</v>
      </c>
      <c r="C267" t="s">
        <v>1989</v>
      </c>
      <c r="D267" t="s">
        <v>2087</v>
      </c>
      <c r="E267" s="2">
        <v>45859.772392013889</v>
      </c>
      <c r="F267" t="s">
        <v>2075</v>
      </c>
      <c r="G267" t="s">
        <v>2105</v>
      </c>
      <c r="H267" t="s">
        <v>2077</v>
      </c>
      <c r="I267" t="s">
        <v>2163</v>
      </c>
      <c r="J267" t="s">
        <v>30</v>
      </c>
      <c r="K267" t="s">
        <v>70</v>
      </c>
      <c r="L267" t="s">
        <v>26</v>
      </c>
      <c r="M267" t="s">
        <v>28</v>
      </c>
      <c r="N267">
        <v>15</v>
      </c>
      <c r="O267" s="2">
        <v>45667.622048611112</v>
      </c>
      <c r="P267" s="2">
        <v>45877.166666666664</v>
      </c>
      <c r="Q267" t="s">
        <v>48</v>
      </c>
      <c r="R267" t="s">
        <v>36</v>
      </c>
    </row>
    <row r="268" spans="1:19" x14ac:dyDescent="0.35">
      <c r="A268" t="s">
        <v>23</v>
      </c>
      <c r="B268" t="s">
        <v>2162</v>
      </c>
      <c r="C268" t="s">
        <v>1989</v>
      </c>
      <c r="D268" t="s">
        <v>2087</v>
      </c>
      <c r="E268" s="2">
        <v>45859.773899560183</v>
      </c>
      <c r="F268" t="s">
        <v>2080</v>
      </c>
      <c r="G268" t="s">
        <v>2081</v>
      </c>
      <c r="H268" t="s">
        <v>2077</v>
      </c>
      <c r="I268" t="s">
        <v>2163</v>
      </c>
      <c r="J268" t="s">
        <v>30</v>
      </c>
      <c r="K268" t="s">
        <v>70</v>
      </c>
      <c r="L268" t="s">
        <v>26</v>
      </c>
      <c r="M268" t="s">
        <v>28</v>
      </c>
      <c r="N268">
        <v>15</v>
      </c>
      <c r="O268" s="2">
        <v>45667.622048611112</v>
      </c>
      <c r="P268" s="2">
        <v>45877.166666666664</v>
      </c>
      <c r="Q268" t="s">
        <v>48</v>
      </c>
      <c r="R268" t="s">
        <v>36</v>
      </c>
    </row>
    <row r="269" spans="1:19" x14ac:dyDescent="0.35">
      <c r="A269" t="s">
        <v>23</v>
      </c>
      <c r="B269" t="s">
        <v>2162</v>
      </c>
      <c r="C269" t="s">
        <v>1989</v>
      </c>
      <c r="D269" t="s">
        <v>2087</v>
      </c>
      <c r="E269" s="2">
        <v>45859.774604050923</v>
      </c>
      <c r="F269" t="s">
        <v>2075</v>
      </c>
      <c r="G269" t="s">
        <v>2092</v>
      </c>
      <c r="H269" t="s">
        <v>2077</v>
      </c>
      <c r="I269" t="s">
        <v>2163</v>
      </c>
      <c r="J269" t="s">
        <v>30</v>
      </c>
      <c r="K269" t="s">
        <v>70</v>
      </c>
      <c r="L269" t="s">
        <v>26</v>
      </c>
      <c r="M269" t="s">
        <v>28</v>
      </c>
      <c r="N269">
        <v>15</v>
      </c>
      <c r="O269" s="2">
        <v>45667.622048611112</v>
      </c>
      <c r="P269" s="2">
        <v>45877.166666666664</v>
      </c>
      <c r="Q269" t="s">
        <v>48</v>
      </c>
      <c r="R269" t="s">
        <v>36</v>
      </c>
    </row>
    <row r="270" spans="1:19" x14ac:dyDescent="0.35">
      <c r="A270" t="s">
        <v>23</v>
      </c>
      <c r="B270" t="s">
        <v>2162</v>
      </c>
      <c r="C270" t="s">
        <v>1989</v>
      </c>
      <c r="D270" t="s">
        <v>2087</v>
      </c>
      <c r="E270" s="2">
        <v>45859.775415798613</v>
      </c>
      <c r="F270" t="s">
        <v>2075</v>
      </c>
      <c r="G270" t="s">
        <v>2092</v>
      </c>
      <c r="H270" t="s">
        <v>2077</v>
      </c>
      <c r="I270" t="s">
        <v>2163</v>
      </c>
      <c r="J270" t="s">
        <v>30</v>
      </c>
      <c r="K270" t="s">
        <v>70</v>
      </c>
      <c r="L270" t="s">
        <v>26</v>
      </c>
      <c r="M270" t="s">
        <v>28</v>
      </c>
      <c r="N270">
        <v>15</v>
      </c>
      <c r="O270" s="2">
        <v>45667.622048611112</v>
      </c>
      <c r="P270" s="2">
        <v>45877.166666666664</v>
      </c>
      <c r="Q270" t="s">
        <v>48</v>
      </c>
      <c r="R270" t="s">
        <v>36</v>
      </c>
    </row>
    <row r="271" spans="1:19" x14ac:dyDescent="0.35">
      <c r="A271" t="s">
        <v>23</v>
      </c>
      <c r="B271" t="s">
        <v>2162</v>
      </c>
      <c r="C271" t="s">
        <v>1989</v>
      </c>
      <c r="D271" t="s">
        <v>2087</v>
      </c>
      <c r="E271" s="2">
        <v>45859.77586587963</v>
      </c>
      <c r="F271" t="s">
        <v>2085</v>
      </c>
      <c r="G271" t="s">
        <v>2086</v>
      </c>
      <c r="H271" t="s">
        <v>2077</v>
      </c>
      <c r="I271" t="s">
        <v>2163</v>
      </c>
      <c r="J271" t="s">
        <v>30</v>
      </c>
      <c r="K271" t="s">
        <v>70</v>
      </c>
      <c r="L271" t="s">
        <v>26</v>
      </c>
      <c r="M271" t="s">
        <v>28</v>
      </c>
      <c r="N271">
        <v>15</v>
      </c>
      <c r="O271" s="2">
        <v>45667.622048611112</v>
      </c>
      <c r="P271" s="2">
        <v>45877.166666666664</v>
      </c>
      <c r="Q271" t="s">
        <v>48</v>
      </c>
      <c r="R271" t="s">
        <v>36</v>
      </c>
    </row>
    <row r="272" spans="1:19" x14ac:dyDescent="0.35">
      <c r="A272" t="s">
        <v>23</v>
      </c>
      <c r="B272" t="s">
        <v>2164</v>
      </c>
      <c r="C272" t="s">
        <v>1988</v>
      </c>
      <c r="D272" t="s">
        <v>1930</v>
      </c>
      <c r="E272" s="2">
        <v>45831.633324016206</v>
      </c>
      <c r="F272" t="s">
        <v>2075</v>
      </c>
      <c r="G272" t="s">
        <v>2093</v>
      </c>
      <c r="H272" t="s">
        <v>2077</v>
      </c>
      <c r="I272" t="s">
        <v>2165</v>
      </c>
      <c r="J272" t="s">
        <v>30</v>
      </c>
      <c r="K272" t="s">
        <v>70</v>
      </c>
      <c r="L272" t="s">
        <v>26</v>
      </c>
      <c r="M272" t="s">
        <v>28</v>
      </c>
      <c r="O272" s="2">
        <v>45667.637627314813</v>
      </c>
      <c r="P272" s="2">
        <v>45833.166666666664</v>
      </c>
      <c r="Q272" t="s">
        <v>38</v>
      </c>
      <c r="R272" t="s">
        <v>36</v>
      </c>
      <c r="S272" t="s">
        <v>33</v>
      </c>
    </row>
    <row r="273" spans="1:19" x14ac:dyDescent="0.35">
      <c r="A273" t="s">
        <v>23</v>
      </c>
      <c r="B273" t="s">
        <v>2164</v>
      </c>
      <c r="C273" t="s">
        <v>1988</v>
      </c>
      <c r="D273" t="s">
        <v>1930</v>
      </c>
      <c r="E273" s="2">
        <v>45831.634707002311</v>
      </c>
      <c r="F273" t="s">
        <v>2075</v>
      </c>
      <c r="G273" t="s">
        <v>2106</v>
      </c>
      <c r="H273" t="s">
        <v>2077</v>
      </c>
      <c r="I273" t="s">
        <v>2165</v>
      </c>
      <c r="J273" t="s">
        <v>30</v>
      </c>
      <c r="K273" t="s">
        <v>70</v>
      </c>
      <c r="L273" t="s">
        <v>26</v>
      </c>
      <c r="M273" t="s">
        <v>28</v>
      </c>
      <c r="O273" s="2">
        <v>45667.637627314813</v>
      </c>
      <c r="P273" s="2">
        <v>45833.166666666664</v>
      </c>
      <c r="Q273" t="s">
        <v>38</v>
      </c>
      <c r="R273" t="s">
        <v>36</v>
      </c>
      <c r="S273" t="s">
        <v>33</v>
      </c>
    </row>
    <row r="274" spans="1:19" x14ac:dyDescent="0.35">
      <c r="A274" t="s">
        <v>23</v>
      </c>
      <c r="B274" t="s">
        <v>2164</v>
      </c>
      <c r="C274" t="s">
        <v>1988</v>
      </c>
      <c r="D274" t="s">
        <v>1930</v>
      </c>
      <c r="E274" s="2">
        <v>45831.635262743053</v>
      </c>
      <c r="F274" t="s">
        <v>2080</v>
      </c>
      <c r="G274" t="s">
        <v>2081</v>
      </c>
      <c r="H274" t="s">
        <v>2077</v>
      </c>
      <c r="I274" t="s">
        <v>2165</v>
      </c>
      <c r="J274" t="s">
        <v>30</v>
      </c>
      <c r="K274" t="s">
        <v>70</v>
      </c>
      <c r="L274" t="s">
        <v>26</v>
      </c>
      <c r="M274" t="s">
        <v>28</v>
      </c>
      <c r="O274" s="2">
        <v>45667.637627314813</v>
      </c>
      <c r="P274" s="2">
        <v>45833.166666666664</v>
      </c>
      <c r="Q274" t="s">
        <v>38</v>
      </c>
      <c r="R274" t="s">
        <v>36</v>
      </c>
      <c r="S274" t="s">
        <v>33</v>
      </c>
    </row>
    <row r="275" spans="1:19" x14ac:dyDescent="0.35">
      <c r="A275" t="s">
        <v>23</v>
      </c>
      <c r="B275" t="s">
        <v>1327</v>
      </c>
      <c r="C275" t="s">
        <v>1989</v>
      </c>
      <c r="D275" t="s">
        <v>2087</v>
      </c>
      <c r="E275" s="2">
        <v>45741.616770590277</v>
      </c>
      <c r="F275" t="s">
        <v>2085</v>
      </c>
      <c r="G275" t="s">
        <v>2086</v>
      </c>
      <c r="H275" t="s">
        <v>2077</v>
      </c>
      <c r="I275" t="s">
        <v>1328</v>
      </c>
      <c r="J275" t="s">
        <v>30</v>
      </c>
      <c r="K275" t="s">
        <v>31</v>
      </c>
      <c r="L275" t="s">
        <v>44</v>
      </c>
      <c r="M275" t="s">
        <v>28</v>
      </c>
      <c r="O275" s="2">
        <v>45672.616863425923</v>
      </c>
      <c r="P275" s="2">
        <v>45747.166666666664</v>
      </c>
      <c r="Q275" t="s">
        <v>48</v>
      </c>
      <c r="R275" t="s">
        <v>36</v>
      </c>
      <c r="S275" t="s">
        <v>33</v>
      </c>
    </row>
    <row r="276" spans="1:19" x14ac:dyDescent="0.35">
      <c r="A276" t="s">
        <v>23</v>
      </c>
      <c r="B276" t="s">
        <v>680</v>
      </c>
      <c r="C276" t="s">
        <v>1989</v>
      </c>
      <c r="D276" t="s">
        <v>2087</v>
      </c>
      <c r="E276" s="2">
        <v>45769.810350405096</v>
      </c>
      <c r="F276" t="s">
        <v>2080</v>
      </c>
      <c r="G276" t="s">
        <v>2095</v>
      </c>
      <c r="H276" t="s">
        <v>2077</v>
      </c>
      <c r="I276" t="s">
        <v>681</v>
      </c>
      <c r="J276" t="s">
        <v>30</v>
      </c>
      <c r="K276" t="s">
        <v>31</v>
      </c>
      <c r="L276" t="s">
        <v>44</v>
      </c>
      <c r="M276" t="s">
        <v>28</v>
      </c>
      <c r="N276">
        <v>11</v>
      </c>
      <c r="O276" s="2">
        <v>45672.767824074072</v>
      </c>
      <c r="P276" s="2">
        <v>45779.166666666664</v>
      </c>
      <c r="Q276" t="s">
        <v>174</v>
      </c>
      <c r="R276" t="s">
        <v>36</v>
      </c>
      <c r="S276" t="s">
        <v>81</v>
      </c>
    </row>
    <row r="277" spans="1:19" x14ac:dyDescent="0.35">
      <c r="A277" t="s">
        <v>23</v>
      </c>
      <c r="B277" t="s">
        <v>680</v>
      </c>
      <c r="C277" t="s">
        <v>1989</v>
      </c>
      <c r="D277" t="s">
        <v>2087</v>
      </c>
      <c r="E277" s="2">
        <v>45769.811302060189</v>
      </c>
      <c r="F277" t="s">
        <v>2078</v>
      </c>
      <c r="G277" t="s">
        <v>2108</v>
      </c>
      <c r="H277" t="s">
        <v>2077</v>
      </c>
      <c r="I277" t="s">
        <v>681</v>
      </c>
      <c r="J277" t="s">
        <v>30</v>
      </c>
      <c r="K277" t="s">
        <v>31</v>
      </c>
      <c r="L277" t="s">
        <v>44</v>
      </c>
      <c r="M277" t="s">
        <v>28</v>
      </c>
      <c r="N277">
        <v>11</v>
      </c>
      <c r="O277" s="2">
        <v>45672.767824074072</v>
      </c>
      <c r="P277" s="2">
        <v>45779.166666666664</v>
      </c>
      <c r="Q277" t="s">
        <v>174</v>
      </c>
      <c r="R277" t="s">
        <v>36</v>
      </c>
      <c r="S277" t="s">
        <v>81</v>
      </c>
    </row>
    <row r="278" spans="1:19" x14ac:dyDescent="0.35">
      <c r="A278" t="s">
        <v>23</v>
      </c>
      <c r="B278" t="s">
        <v>680</v>
      </c>
      <c r="C278" t="s">
        <v>1989</v>
      </c>
      <c r="D278" t="s">
        <v>2087</v>
      </c>
      <c r="E278" s="2">
        <v>45769.812513553239</v>
      </c>
      <c r="F278" t="s">
        <v>2085</v>
      </c>
      <c r="G278" t="s">
        <v>2086</v>
      </c>
      <c r="H278" t="s">
        <v>2077</v>
      </c>
      <c r="I278" t="s">
        <v>681</v>
      </c>
      <c r="J278" t="s">
        <v>30</v>
      </c>
      <c r="K278" t="s">
        <v>31</v>
      </c>
      <c r="L278" t="s">
        <v>44</v>
      </c>
      <c r="M278" t="s">
        <v>28</v>
      </c>
      <c r="N278">
        <v>11</v>
      </c>
      <c r="O278" s="2">
        <v>45672.767824074072</v>
      </c>
      <c r="P278" s="2">
        <v>45779.166666666664</v>
      </c>
      <c r="Q278" t="s">
        <v>174</v>
      </c>
      <c r="R278" t="s">
        <v>36</v>
      </c>
      <c r="S278" t="s">
        <v>81</v>
      </c>
    </row>
    <row r="279" spans="1:19" x14ac:dyDescent="0.35">
      <c r="A279" t="s">
        <v>23</v>
      </c>
      <c r="B279" t="s">
        <v>680</v>
      </c>
      <c r="C279" t="s">
        <v>1989</v>
      </c>
      <c r="D279" t="s">
        <v>2087</v>
      </c>
      <c r="E279" s="2">
        <v>45769.812920474535</v>
      </c>
      <c r="F279" t="s">
        <v>2085</v>
      </c>
      <c r="G279" t="s">
        <v>2086</v>
      </c>
      <c r="H279" t="s">
        <v>2077</v>
      </c>
      <c r="I279" t="s">
        <v>681</v>
      </c>
      <c r="J279" t="s">
        <v>30</v>
      </c>
      <c r="K279" t="s">
        <v>31</v>
      </c>
      <c r="L279" t="s">
        <v>44</v>
      </c>
      <c r="M279" t="s">
        <v>28</v>
      </c>
      <c r="N279">
        <v>11</v>
      </c>
      <c r="O279" s="2">
        <v>45672.767824074072</v>
      </c>
      <c r="P279" s="2">
        <v>45779.166666666664</v>
      </c>
      <c r="Q279" t="s">
        <v>174</v>
      </c>
      <c r="R279" t="s">
        <v>36</v>
      </c>
      <c r="S279" t="s">
        <v>81</v>
      </c>
    </row>
    <row r="280" spans="1:19" x14ac:dyDescent="0.35">
      <c r="A280" t="s">
        <v>23</v>
      </c>
      <c r="B280" t="s">
        <v>680</v>
      </c>
      <c r="C280" t="s">
        <v>1989</v>
      </c>
      <c r="D280" t="s">
        <v>2087</v>
      </c>
      <c r="E280" s="2">
        <v>45769.813791678243</v>
      </c>
      <c r="F280" t="s">
        <v>2075</v>
      </c>
      <c r="G280" t="s">
        <v>2105</v>
      </c>
      <c r="H280" t="s">
        <v>2077</v>
      </c>
      <c r="I280" t="s">
        <v>681</v>
      </c>
      <c r="J280" t="s">
        <v>30</v>
      </c>
      <c r="K280" t="s">
        <v>31</v>
      </c>
      <c r="L280" t="s">
        <v>44</v>
      </c>
      <c r="M280" t="s">
        <v>28</v>
      </c>
      <c r="N280">
        <v>11</v>
      </c>
      <c r="O280" s="2">
        <v>45672.767824074072</v>
      </c>
      <c r="P280" s="2">
        <v>45779.166666666664</v>
      </c>
      <c r="Q280" t="s">
        <v>174</v>
      </c>
      <c r="R280" t="s">
        <v>36</v>
      </c>
      <c r="S280" t="s">
        <v>81</v>
      </c>
    </row>
    <row r="281" spans="1:19" x14ac:dyDescent="0.35">
      <c r="A281" t="s">
        <v>23</v>
      </c>
      <c r="B281" t="s">
        <v>1335</v>
      </c>
      <c r="C281" t="s">
        <v>1988</v>
      </c>
      <c r="D281" t="s">
        <v>2154</v>
      </c>
      <c r="E281" s="2">
        <v>45775.779836331021</v>
      </c>
      <c r="F281" t="s">
        <v>2080</v>
      </c>
      <c r="G281" t="s">
        <v>2081</v>
      </c>
      <c r="H281" t="s">
        <v>2077</v>
      </c>
      <c r="I281" t="s">
        <v>1336</v>
      </c>
      <c r="J281" t="s">
        <v>30</v>
      </c>
      <c r="K281" t="s">
        <v>31</v>
      </c>
      <c r="L281" t="s">
        <v>44</v>
      </c>
      <c r="M281" t="s">
        <v>28</v>
      </c>
      <c r="O281" s="2">
        <v>45673.856817129628</v>
      </c>
      <c r="P281" s="2">
        <v>45807.166666666664</v>
      </c>
      <c r="Q281" t="s">
        <v>38</v>
      </c>
      <c r="R281" t="s">
        <v>409</v>
      </c>
      <c r="S281" t="s">
        <v>33</v>
      </c>
    </row>
    <row r="282" spans="1:19" x14ac:dyDescent="0.35">
      <c r="A282" t="s">
        <v>23</v>
      </c>
      <c r="B282" t="s">
        <v>1312</v>
      </c>
      <c r="C282" t="s">
        <v>1989</v>
      </c>
      <c r="D282" t="s">
        <v>2087</v>
      </c>
      <c r="E282" s="2">
        <v>45695.862981307873</v>
      </c>
      <c r="F282" t="s">
        <v>2078</v>
      </c>
      <c r="G282" t="s">
        <v>2079</v>
      </c>
      <c r="H282" t="s">
        <v>2077</v>
      </c>
      <c r="I282" t="s">
        <v>1313</v>
      </c>
      <c r="J282" t="s">
        <v>30</v>
      </c>
      <c r="K282" t="s">
        <v>300</v>
      </c>
      <c r="L282" t="s">
        <v>44</v>
      </c>
      <c r="M282" t="s">
        <v>28</v>
      </c>
      <c r="O282" s="2">
        <v>45674.068310185183</v>
      </c>
      <c r="P282" s="2">
        <v>45702.208333333336</v>
      </c>
      <c r="Q282" t="s">
        <v>38</v>
      </c>
      <c r="R282" t="s">
        <v>36</v>
      </c>
      <c r="S282" t="s">
        <v>33</v>
      </c>
    </row>
    <row r="283" spans="1:19" x14ac:dyDescent="0.35">
      <c r="A283" t="s">
        <v>23</v>
      </c>
      <c r="B283" t="s">
        <v>2166</v>
      </c>
      <c r="C283" t="s">
        <v>1988</v>
      </c>
      <c r="D283" t="s">
        <v>461</v>
      </c>
      <c r="E283" s="2">
        <v>45754.942088090276</v>
      </c>
      <c r="F283" t="s">
        <v>2075</v>
      </c>
      <c r="G283" t="s">
        <v>2105</v>
      </c>
      <c r="H283" t="s">
        <v>2083</v>
      </c>
      <c r="I283" t="s">
        <v>2167</v>
      </c>
      <c r="J283" t="s">
        <v>30</v>
      </c>
      <c r="K283" t="s">
        <v>31</v>
      </c>
      <c r="L283" t="s">
        <v>26</v>
      </c>
      <c r="M283" t="s">
        <v>28</v>
      </c>
      <c r="O283" s="2">
        <v>45679.823622685188</v>
      </c>
      <c r="P283" s="2">
        <v>45869.166666666664</v>
      </c>
      <c r="Q283" t="s">
        <v>38</v>
      </c>
      <c r="R283" t="s">
        <v>36</v>
      </c>
      <c r="S283" t="s">
        <v>81</v>
      </c>
    </row>
    <row r="284" spans="1:19" x14ac:dyDescent="0.35">
      <c r="A284" t="s">
        <v>23</v>
      </c>
      <c r="B284" t="s">
        <v>2166</v>
      </c>
      <c r="C284" t="s">
        <v>1988</v>
      </c>
      <c r="D284" t="s">
        <v>461</v>
      </c>
      <c r="E284" s="2">
        <v>45777.845035486112</v>
      </c>
      <c r="F284" t="s">
        <v>2085</v>
      </c>
      <c r="G284" t="s">
        <v>2086</v>
      </c>
      <c r="H284" t="s">
        <v>2077</v>
      </c>
      <c r="I284" t="s">
        <v>2167</v>
      </c>
      <c r="J284" t="s">
        <v>30</v>
      </c>
      <c r="K284" t="s">
        <v>31</v>
      </c>
      <c r="L284" t="s">
        <v>26</v>
      </c>
      <c r="M284" t="s">
        <v>28</v>
      </c>
      <c r="O284" s="2">
        <v>45679.823622685188</v>
      </c>
      <c r="P284" s="2">
        <v>45869.166666666664</v>
      </c>
      <c r="Q284" t="s">
        <v>38</v>
      </c>
      <c r="R284" t="s">
        <v>36</v>
      </c>
      <c r="S284" t="s">
        <v>81</v>
      </c>
    </row>
    <row r="285" spans="1:19" x14ac:dyDescent="0.35">
      <c r="A285" t="s">
        <v>23</v>
      </c>
      <c r="B285" t="s">
        <v>2166</v>
      </c>
      <c r="C285" t="s">
        <v>1988</v>
      </c>
      <c r="D285" t="s">
        <v>461</v>
      </c>
      <c r="E285" s="2">
        <v>45856.780545451387</v>
      </c>
      <c r="F285" t="s">
        <v>2075</v>
      </c>
      <c r="G285" t="s">
        <v>2099</v>
      </c>
      <c r="H285" t="s">
        <v>2083</v>
      </c>
      <c r="I285" t="s">
        <v>2167</v>
      </c>
      <c r="J285" t="s">
        <v>30</v>
      </c>
      <c r="K285" t="s">
        <v>31</v>
      </c>
      <c r="L285" t="s">
        <v>26</v>
      </c>
      <c r="M285" t="s">
        <v>28</v>
      </c>
      <c r="O285" s="2">
        <v>45679.823622685188</v>
      </c>
      <c r="P285" s="2">
        <v>45869.166666666664</v>
      </c>
      <c r="Q285" t="s">
        <v>38</v>
      </c>
      <c r="R285" t="s">
        <v>36</v>
      </c>
      <c r="S285" t="s">
        <v>81</v>
      </c>
    </row>
    <row r="286" spans="1:19" x14ac:dyDescent="0.35">
      <c r="A286" t="s">
        <v>23</v>
      </c>
      <c r="B286" t="s">
        <v>2168</v>
      </c>
      <c r="C286" t="s">
        <v>1980</v>
      </c>
      <c r="D286" t="s">
        <v>2112</v>
      </c>
      <c r="E286" s="2">
        <v>45838.799685925929</v>
      </c>
      <c r="F286" t="s">
        <v>2075</v>
      </c>
      <c r="G286" t="s">
        <v>2105</v>
      </c>
      <c r="H286" t="s">
        <v>2077</v>
      </c>
      <c r="I286" t="s">
        <v>2169</v>
      </c>
      <c r="J286" t="s">
        <v>30</v>
      </c>
      <c r="K286" t="s">
        <v>31</v>
      </c>
      <c r="L286" t="s">
        <v>26</v>
      </c>
      <c r="M286" t="s">
        <v>1716</v>
      </c>
      <c r="O286" s="2">
        <v>45686.316527777781</v>
      </c>
      <c r="P286" s="2"/>
      <c r="Q286" t="s">
        <v>32</v>
      </c>
      <c r="R286" t="s">
        <v>135</v>
      </c>
      <c r="S286" t="s">
        <v>81</v>
      </c>
    </row>
    <row r="287" spans="1:19" x14ac:dyDescent="0.35">
      <c r="A287" t="s">
        <v>23</v>
      </c>
      <c r="B287" t="s">
        <v>464</v>
      </c>
      <c r="C287" t="s">
        <v>1989</v>
      </c>
      <c r="D287" t="s">
        <v>2082</v>
      </c>
      <c r="E287" s="2">
        <v>45735.813647812502</v>
      </c>
      <c r="F287" t="s">
        <v>2078</v>
      </c>
      <c r="G287" t="s">
        <v>2108</v>
      </c>
      <c r="H287" t="s">
        <v>2077</v>
      </c>
      <c r="I287" t="s">
        <v>465</v>
      </c>
      <c r="J287" t="s">
        <v>30</v>
      </c>
      <c r="K287" t="s">
        <v>31</v>
      </c>
      <c r="L287" t="s">
        <v>44</v>
      </c>
      <c r="M287" t="s">
        <v>28</v>
      </c>
      <c r="N287">
        <v>5</v>
      </c>
      <c r="O287" s="2">
        <v>45686.624571759261</v>
      </c>
      <c r="P287" s="2">
        <v>45733.166666666664</v>
      </c>
      <c r="Q287" t="s">
        <v>38</v>
      </c>
      <c r="R287" t="s">
        <v>244</v>
      </c>
      <c r="S287" t="s">
        <v>33</v>
      </c>
    </row>
    <row r="288" spans="1:19" x14ac:dyDescent="0.35">
      <c r="A288" t="s">
        <v>23</v>
      </c>
      <c r="B288" t="s">
        <v>1333</v>
      </c>
      <c r="C288" t="s">
        <v>1989</v>
      </c>
      <c r="D288" t="s">
        <v>2087</v>
      </c>
      <c r="E288" s="2">
        <v>45820.817372175923</v>
      </c>
      <c r="F288" t="s">
        <v>2075</v>
      </c>
      <c r="G288" t="s">
        <v>2076</v>
      </c>
      <c r="H288" t="s">
        <v>2077</v>
      </c>
      <c r="I288" t="s">
        <v>1334</v>
      </c>
      <c r="J288" t="s">
        <v>30</v>
      </c>
      <c r="K288" t="s">
        <v>70</v>
      </c>
      <c r="L288" t="s">
        <v>44</v>
      </c>
      <c r="M288" t="s">
        <v>28</v>
      </c>
      <c r="O288" s="2">
        <v>45687.41946759259</v>
      </c>
      <c r="P288" s="2">
        <v>45821.166666666664</v>
      </c>
      <c r="Q288" t="s">
        <v>48</v>
      </c>
      <c r="R288" t="s">
        <v>36</v>
      </c>
      <c r="S288" t="s">
        <v>33</v>
      </c>
    </row>
    <row r="289" spans="1:19" x14ac:dyDescent="0.35">
      <c r="A289" t="s">
        <v>23</v>
      </c>
      <c r="B289" t="s">
        <v>1333</v>
      </c>
      <c r="C289" t="s">
        <v>1989</v>
      </c>
      <c r="D289" t="s">
        <v>2087</v>
      </c>
      <c r="E289" s="2">
        <v>45820.817535011571</v>
      </c>
      <c r="F289" t="s">
        <v>2085</v>
      </c>
      <c r="G289" t="s">
        <v>2086</v>
      </c>
      <c r="H289" t="s">
        <v>2077</v>
      </c>
      <c r="I289" t="s">
        <v>1334</v>
      </c>
      <c r="J289" t="s">
        <v>30</v>
      </c>
      <c r="K289" t="s">
        <v>70</v>
      </c>
      <c r="L289" t="s">
        <v>44</v>
      </c>
      <c r="M289" t="s">
        <v>28</v>
      </c>
      <c r="O289" s="2">
        <v>45687.41946759259</v>
      </c>
      <c r="P289" s="2">
        <v>45821.166666666664</v>
      </c>
      <c r="Q289" t="s">
        <v>48</v>
      </c>
      <c r="R289" t="s">
        <v>36</v>
      </c>
      <c r="S289" t="s">
        <v>33</v>
      </c>
    </row>
    <row r="290" spans="1:19" x14ac:dyDescent="0.35">
      <c r="A290" t="s">
        <v>23</v>
      </c>
      <c r="B290" t="s">
        <v>1337</v>
      </c>
      <c r="C290" t="s">
        <v>1982</v>
      </c>
      <c r="D290" t="s">
        <v>2154</v>
      </c>
      <c r="E290" s="2">
        <v>45721.672947939813</v>
      </c>
      <c r="F290" t="s">
        <v>2088</v>
      </c>
      <c r="G290" t="s">
        <v>2089</v>
      </c>
      <c r="H290" t="s">
        <v>2077</v>
      </c>
      <c r="I290" t="s">
        <v>1338</v>
      </c>
      <c r="J290" t="s">
        <v>30</v>
      </c>
      <c r="K290" t="s">
        <v>31</v>
      </c>
      <c r="L290" t="s">
        <v>44</v>
      </c>
      <c r="M290" t="s">
        <v>28</v>
      </c>
      <c r="O290" s="2">
        <v>45687.916273148148</v>
      </c>
      <c r="P290" s="2">
        <v>45764.166666666664</v>
      </c>
      <c r="Q290" t="s">
        <v>38</v>
      </c>
      <c r="R290" t="s">
        <v>76</v>
      </c>
      <c r="S290" t="s">
        <v>33</v>
      </c>
    </row>
    <row r="291" spans="1:19" x14ac:dyDescent="0.35">
      <c r="A291" t="s">
        <v>23</v>
      </c>
      <c r="B291" t="s">
        <v>966</v>
      </c>
      <c r="C291" t="s">
        <v>1982</v>
      </c>
      <c r="D291" t="s">
        <v>2090</v>
      </c>
      <c r="E291" s="2">
        <v>45763.850660335651</v>
      </c>
      <c r="F291" t="s">
        <v>2088</v>
      </c>
      <c r="G291" t="s">
        <v>2134</v>
      </c>
      <c r="H291" t="s">
        <v>2083</v>
      </c>
      <c r="I291" t="s">
        <v>967</v>
      </c>
      <c r="J291" t="s">
        <v>30</v>
      </c>
      <c r="K291" t="s">
        <v>31</v>
      </c>
      <c r="L291" t="s">
        <v>44</v>
      </c>
      <c r="M291" t="s">
        <v>28</v>
      </c>
      <c r="N291">
        <v>22</v>
      </c>
      <c r="O291" s="2">
        <v>45688.834050925929</v>
      </c>
      <c r="P291" s="2">
        <v>45828.166666666664</v>
      </c>
      <c r="Q291" t="s">
        <v>38</v>
      </c>
      <c r="R291" t="s">
        <v>409</v>
      </c>
      <c r="S291" t="s">
        <v>81</v>
      </c>
    </row>
    <row r="292" spans="1:19" x14ac:dyDescent="0.35">
      <c r="A292" t="s">
        <v>23</v>
      </c>
      <c r="B292" t="s">
        <v>966</v>
      </c>
      <c r="C292" t="s">
        <v>1982</v>
      </c>
      <c r="D292" t="s">
        <v>2090</v>
      </c>
      <c r="E292" s="2">
        <v>45771.580776168979</v>
      </c>
      <c r="F292" t="s">
        <v>2088</v>
      </c>
      <c r="G292" t="s">
        <v>2089</v>
      </c>
      <c r="H292" t="s">
        <v>2077</v>
      </c>
      <c r="I292" t="s">
        <v>967</v>
      </c>
      <c r="J292" t="s">
        <v>30</v>
      </c>
      <c r="K292" t="s">
        <v>31</v>
      </c>
      <c r="L292" t="s">
        <v>44</v>
      </c>
      <c r="M292" t="s">
        <v>28</v>
      </c>
      <c r="N292">
        <v>22</v>
      </c>
      <c r="O292" s="2">
        <v>45688.834050925929</v>
      </c>
      <c r="P292" s="2">
        <v>45828.166666666664</v>
      </c>
      <c r="Q292" t="s">
        <v>38</v>
      </c>
      <c r="R292" t="s">
        <v>409</v>
      </c>
      <c r="S292" t="s">
        <v>81</v>
      </c>
    </row>
    <row r="293" spans="1:19" x14ac:dyDescent="0.35">
      <c r="A293" t="s">
        <v>23</v>
      </c>
      <c r="B293" t="s">
        <v>966</v>
      </c>
      <c r="C293" t="s">
        <v>1988</v>
      </c>
      <c r="D293" t="s">
        <v>2090</v>
      </c>
      <c r="E293" s="2">
        <v>45800.49249611111</v>
      </c>
      <c r="F293" t="s">
        <v>2085</v>
      </c>
      <c r="G293" t="s">
        <v>2101</v>
      </c>
      <c r="H293" t="s">
        <v>2077</v>
      </c>
      <c r="I293" t="s">
        <v>967</v>
      </c>
      <c r="J293" t="s">
        <v>30</v>
      </c>
      <c r="K293" t="s">
        <v>31</v>
      </c>
      <c r="L293" t="s">
        <v>44</v>
      </c>
      <c r="M293" t="s">
        <v>28</v>
      </c>
      <c r="N293">
        <v>22</v>
      </c>
      <c r="O293" s="2">
        <v>45688.834050925929</v>
      </c>
      <c r="P293" s="2">
        <v>45828.166666666664</v>
      </c>
      <c r="Q293" t="s">
        <v>38</v>
      </c>
      <c r="R293" t="s">
        <v>409</v>
      </c>
      <c r="S293" t="s">
        <v>81</v>
      </c>
    </row>
    <row r="294" spans="1:19" x14ac:dyDescent="0.35">
      <c r="A294" t="s">
        <v>23</v>
      </c>
      <c r="B294" t="s">
        <v>966</v>
      </c>
      <c r="C294" t="s">
        <v>1988</v>
      </c>
      <c r="D294" t="s">
        <v>2090</v>
      </c>
      <c r="E294" s="2">
        <v>45805.777711539355</v>
      </c>
      <c r="F294" t="s">
        <v>2080</v>
      </c>
      <c r="G294" t="s">
        <v>2081</v>
      </c>
      <c r="H294" t="s">
        <v>2077</v>
      </c>
      <c r="I294" t="s">
        <v>967</v>
      </c>
      <c r="J294" t="s">
        <v>30</v>
      </c>
      <c r="K294" t="s">
        <v>31</v>
      </c>
      <c r="L294" t="s">
        <v>44</v>
      </c>
      <c r="M294" t="s">
        <v>28</v>
      </c>
      <c r="N294">
        <v>22</v>
      </c>
      <c r="O294" s="2">
        <v>45688.834050925929</v>
      </c>
      <c r="P294" s="2">
        <v>45828.166666666664</v>
      </c>
      <c r="Q294" t="s">
        <v>38</v>
      </c>
      <c r="R294" t="s">
        <v>409</v>
      </c>
      <c r="S294" t="s">
        <v>81</v>
      </c>
    </row>
    <row r="295" spans="1:19" x14ac:dyDescent="0.35">
      <c r="A295" t="s">
        <v>23</v>
      </c>
      <c r="B295" t="s">
        <v>966</v>
      </c>
      <c r="C295" t="s">
        <v>1989</v>
      </c>
      <c r="D295" t="s">
        <v>2119</v>
      </c>
      <c r="E295" s="2">
        <v>45817.577519942133</v>
      </c>
      <c r="F295" t="s">
        <v>2080</v>
      </c>
      <c r="G295" t="s">
        <v>2094</v>
      </c>
      <c r="H295" t="s">
        <v>2077</v>
      </c>
      <c r="I295" t="s">
        <v>967</v>
      </c>
      <c r="J295" t="s">
        <v>30</v>
      </c>
      <c r="K295" t="s">
        <v>31</v>
      </c>
      <c r="L295" t="s">
        <v>44</v>
      </c>
      <c r="M295" t="s">
        <v>28</v>
      </c>
      <c r="N295">
        <v>22</v>
      </c>
      <c r="O295" s="2">
        <v>45688.834050925929</v>
      </c>
      <c r="P295" s="2">
        <v>45828.166666666664</v>
      </c>
      <c r="Q295" t="s">
        <v>38</v>
      </c>
      <c r="R295" t="s">
        <v>409</v>
      </c>
      <c r="S295" t="s">
        <v>81</v>
      </c>
    </row>
    <row r="296" spans="1:19" x14ac:dyDescent="0.35">
      <c r="A296" t="s">
        <v>23</v>
      </c>
      <c r="B296" t="s">
        <v>953</v>
      </c>
      <c r="C296" t="s">
        <v>1982</v>
      </c>
      <c r="D296" t="s">
        <v>2154</v>
      </c>
      <c r="E296" s="2">
        <v>45714.649285335647</v>
      </c>
      <c r="F296" t="s">
        <v>2088</v>
      </c>
      <c r="G296" t="s">
        <v>2091</v>
      </c>
      <c r="H296" t="s">
        <v>2083</v>
      </c>
      <c r="I296" t="s">
        <v>954</v>
      </c>
      <c r="J296" t="s">
        <v>30</v>
      </c>
      <c r="K296" t="s">
        <v>208</v>
      </c>
      <c r="L296" t="s">
        <v>44</v>
      </c>
      <c r="M296" t="s">
        <v>28</v>
      </c>
      <c r="N296">
        <v>21</v>
      </c>
      <c r="O296" s="2">
        <v>45691.568298611113</v>
      </c>
      <c r="P296" s="2">
        <v>45811.166666666664</v>
      </c>
      <c r="Q296" t="s">
        <v>48</v>
      </c>
      <c r="R296" t="s">
        <v>130</v>
      </c>
      <c r="S296" t="s">
        <v>33</v>
      </c>
    </row>
    <row r="297" spans="1:19" x14ac:dyDescent="0.35">
      <c r="A297" t="s">
        <v>23</v>
      </c>
      <c r="B297" t="s">
        <v>953</v>
      </c>
      <c r="C297" t="s">
        <v>1988</v>
      </c>
      <c r="D297" t="s">
        <v>2154</v>
      </c>
      <c r="E297" s="2">
        <v>45730.676548391202</v>
      </c>
      <c r="F297" t="s">
        <v>2078</v>
      </c>
      <c r="G297" t="s">
        <v>2108</v>
      </c>
      <c r="H297" t="s">
        <v>2077</v>
      </c>
      <c r="I297" t="s">
        <v>954</v>
      </c>
      <c r="J297" t="s">
        <v>30</v>
      </c>
      <c r="K297" t="s">
        <v>208</v>
      </c>
      <c r="L297" t="s">
        <v>44</v>
      </c>
      <c r="M297" t="s">
        <v>28</v>
      </c>
      <c r="N297">
        <v>21</v>
      </c>
      <c r="O297" s="2">
        <v>45691.568298611113</v>
      </c>
      <c r="P297" s="2">
        <v>45811.166666666664</v>
      </c>
      <c r="Q297" t="s">
        <v>48</v>
      </c>
      <c r="R297" t="s">
        <v>130</v>
      </c>
      <c r="S297" t="s">
        <v>33</v>
      </c>
    </row>
    <row r="298" spans="1:19" x14ac:dyDescent="0.35">
      <c r="A298" t="s">
        <v>23</v>
      </c>
      <c r="B298" t="s">
        <v>953</v>
      </c>
      <c r="C298" t="s">
        <v>1989</v>
      </c>
      <c r="D298" t="s">
        <v>2138</v>
      </c>
      <c r="E298" s="2">
        <v>45737.73142236111</v>
      </c>
      <c r="F298" t="s">
        <v>2075</v>
      </c>
      <c r="G298" t="s">
        <v>2105</v>
      </c>
      <c r="H298" t="s">
        <v>2083</v>
      </c>
      <c r="I298" t="s">
        <v>954</v>
      </c>
      <c r="J298" t="s">
        <v>30</v>
      </c>
      <c r="K298" t="s">
        <v>208</v>
      </c>
      <c r="L298" t="s">
        <v>44</v>
      </c>
      <c r="M298" t="s">
        <v>28</v>
      </c>
      <c r="N298">
        <v>21</v>
      </c>
      <c r="O298" s="2">
        <v>45691.568298611113</v>
      </c>
      <c r="P298" s="2">
        <v>45811.166666666664</v>
      </c>
      <c r="Q298" t="s">
        <v>48</v>
      </c>
      <c r="R298" t="s">
        <v>130</v>
      </c>
      <c r="S298" t="s">
        <v>33</v>
      </c>
    </row>
    <row r="299" spans="1:19" x14ac:dyDescent="0.35">
      <c r="A299" t="s">
        <v>23</v>
      </c>
      <c r="B299" t="s">
        <v>953</v>
      </c>
      <c r="C299" t="s">
        <v>1989</v>
      </c>
      <c r="D299" t="s">
        <v>2138</v>
      </c>
      <c r="E299" s="2">
        <v>45737.73182158565</v>
      </c>
      <c r="F299" t="s">
        <v>2075</v>
      </c>
      <c r="G299" t="s">
        <v>2092</v>
      </c>
      <c r="H299" t="s">
        <v>2077</v>
      </c>
      <c r="I299" t="s">
        <v>954</v>
      </c>
      <c r="J299" t="s">
        <v>30</v>
      </c>
      <c r="K299" t="s">
        <v>208</v>
      </c>
      <c r="L299" t="s">
        <v>44</v>
      </c>
      <c r="M299" t="s">
        <v>28</v>
      </c>
      <c r="N299">
        <v>21</v>
      </c>
      <c r="O299" s="2">
        <v>45691.568298611113</v>
      </c>
      <c r="P299" s="2">
        <v>45811.166666666664</v>
      </c>
      <c r="Q299" t="s">
        <v>48</v>
      </c>
      <c r="R299" t="s">
        <v>130</v>
      </c>
      <c r="S299" t="s">
        <v>33</v>
      </c>
    </row>
    <row r="300" spans="1:19" x14ac:dyDescent="0.35">
      <c r="A300" t="s">
        <v>23</v>
      </c>
      <c r="B300" t="s">
        <v>953</v>
      </c>
      <c r="C300" t="s">
        <v>1989</v>
      </c>
      <c r="D300" t="s">
        <v>2138</v>
      </c>
      <c r="E300" s="2">
        <v>45757.553934027776</v>
      </c>
      <c r="F300" t="s">
        <v>2080</v>
      </c>
      <c r="G300" t="s">
        <v>2081</v>
      </c>
      <c r="H300" t="s">
        <v>2083</v>
      </c>
      <c r="I300" t="s">
        <v>954</v>
      </c>
      <c r="J300" t="s">
        <v>30</v>
      </c>
      <c r="K300" t="s">
        <v>208</v>
      </c>
      <c r="L300" t="s">
        <v>44</v>
      </c>
      <c r="M300" t="s">
        <v>28</v>
      </c>
      <c r="N300">
        <v>21</v>
      </c>
      <c r="O300" s="2">
        <v>45691.568298611113</v>
      </c>
      <c r="P300" s="2">
        <v>45811.166666666664</v>
      </c>
      <c r="Q300" t="s">
        <v>48</v>
      </c>
      <c r="R300" t="s">
        <v>130</v>
      </c>
      <c r="S300" t="s">
        <v>33</v>
      </c>
    </row>
    <row r="301" spans="1:19" x14ac:dyDescent="0.35">
      <c r="A301" t="s">
        <v>23</v>
      </c>
      <c r="B301" t="s">
        <v>2170</v>
      </c>
      <c r="C301" t="s">
        <v>1989</v>
      </c>
      <c r="D301" t="s">
        <v>2171</v>
      </c>
      <c r="E301" s="2">
        <v>45856.885081053239</v>
      </c>
      <c r="F301" t="s">
        <v>2085</v>
      </c>
      <c r="G301" t="s">
        <v>2086</v>
      </c>
      <c r="H301" t="s">
        <v>2077</v>
      </c>
      <c r="I301" t="s">
        <v>2172</v>
      </c>
      <c r="J301" t="s">
        <v>30</v>
      </c>
      <c r="K301" t="s">
        <v>70</v>
      </c>
      <c r="L301" t="s">
        <v>26</v>
      </c>
      <c r="M301" t="s">
        <v>28</v>
      </c>
      <c r="N301">
        <v>22</v>
      </c>
      <c r="O301" s="2">
        <v>45692.70380787037</v>
      </c>
      <c r="P301" s="2">
        <v>45884.166666666664</v>
      </c>
      <c r="Q301" t="s">
        <v>38</v>
      </c>
      <c r="R301" t="s">
        <v>36</v>
      </c>
      <c r="S301" t="s">
        <v>33</v>
      </c>
    </row>
    <row r="302" spans="1:19" x14ac:dyDescent="0.35">
      <c r="A302" t="s">
        <v>23</v>
      </c>
      <c r="B302" t="s">
        <v>2170</v>
      </c>
      <c r="C302" t="s">
        <v>1989</v>
      </c>
      <c r="D302" t="s">
        <v>2171</v>
      </c>
      <c r="E302" s="2">
        <v>45856.889752893519</v>
      </c>
      <c r="F302" t="s">
        <v>2085</v>
      </c>
      <c r="G302" t="s">
        <v>2086</v>
      </c>
      <c r="H302" t="s">
        <v>2077</v>
      </c>
      <c r="I302" t="s">
        <v>2172</v>
      </c>
      <c r="J302" t="s">
        <v>30</v>
      </c>
      <c r="K302" t="s">
        <v>70</v>
      </c>
      <c r="L302" t="s">
        <v>26</v>
      </c>
      <c r="M302" t="s">
        <v>28</v>
      </c>
      <c r="N302">
        <v>22</v>
      </c>
      <c r="O302" s="2">
        <v>45692.70380787037</v>
      </c>
      <c r="P302" s="2">
        <v>45884.166666666664</v>
      </c>
      <c r="Q302" t="s">
        <v>38</v>
      </c>
      <c r="R302" t="s">
        <v>36</v>
      </c>
      <c r="S302" t="s">
        <v>33</v>
      </c>
    </row>
    <row r="303" spans="1:19" x14ac:dyDescent="0.35">
      <c r="A303" t="s">
        <v>23</v>
      </c>
      <c r="B303" t="s">
        <v>683</v>
      </c>
      <c r="C303" t="s">
        <v>1989</v>
      </c>
      <c r="D303" t="s">
        <v>2087</v>
      </c>
      <c r="E303" s="2">
        <v>45712.760655451391</v>
      </c>
      <c r="F303" t="s">
        <v>2085</v>
      </c>
      <c r="G303" t="s">
        <v>2086</v>
      </c>
      <c r="H303" t="s">
        <v>2077</v>
      </c>
      <c r="I303" t="s">
        <v>684</v>
      </c>
      <c r="J303" t="s">
        <v>30</v>
      </c>
      <c r="K303" t="s">
        <v>31</v>
      </c>
      <c r="L303" t="s">
        <v>44</v>
      </c>
      <c r="M303" t="s">
        <v>28</v>
      </c>
      <c r="N303">
        <v>11</v>
      </c>
      <c r="O303" s="2">
        <v>45692.947870370372</v>
      </c>
      <c r="P303" s="2">
        <v>45716.208333333336</v>
      </c>
      <c r="Q303" t="s">
        <v>38</v>
      </c>
      <c r="R303" t="s">
        <v>36</v>
      </c>
      <c r="S303" t="s">
        <v>33</v>
      </c>
    </row>
    <row r="304" spans="1:19" x14ac:dyDescent="0.35">
      <c r="A304" t="s">
        <v>23</v>
      </c>
      <c r="B304" t="s">
        <v>683</v>
      </c>
      <c r="C304" t="s">
        <v>1989</v>
      </c>
      <c r="D304" t="s">
        <v>2087</v>
      </c>
      <c r="E304" s="2">
        <v>45712.7626815162</v>
      </c>
      <c r="F304" t="s">
        <v>2075</v>
      </c>
      <c r="G304" t="s">
        <v>2105</v>
      </c>
      <c r="H304" t="s">
        <v>2077</v>
      </c>
      <c r="I304" t="s">
        <v>684</v>
      </c>
      <c r="J304" t="s">
        <v>30</v>
      </c>
      <c r="K304" t="s">
        <v>31</v>
      </c>
      <c r="L304" t="s">
        <v>44</v>
      </c>
      <c r="M304" t="s">
        <v>28</v>
      </c>
      <c r="N304">
        <v>11</v>
      </c>
      <c r="O304" s="2">
        <v>45692.947870370372</v>
      </c>
      <c r="P304" s="2">
        <v>45716.208333333336</v>
      </c>
      <c r="Q304" t="s">
        <v>38</v>
      </c>
      <c r="R304" t="s">
        <v>36</v>
      </c>
      <c r="S304" t="s">
        <v>33</v>
      </c>
    </row>
    <row r="305" spans="1:19" x14ac:dyDescent="0.35">
      <c r="A305" t="s">
        <v>23</v>
      </c>
      <c r="B305" t="s">
        <v>683</v>
      </c>
      <c r="C305" t="s">
        <v>1989</v>
      </c>
      <c r="D305" t="s">
        <v>2087</v>
      </c>
      <c r="E305" s="2">
        <v>45713.635339837965</v>
      </c>
      <c r="F305" t="s">
        <v>2075</v>
      </c>
      <c r="G305" t="s">
        <v>2105</v>
      </c>
      <c r="H305" t="s">
        <v>2077</v>
      </c>
      <c r="I305" t="s">
        <v>684</v>
      </c>
      <c r="J305" t="s">
        <v>30</v>
      </c>
      <c r="K305" t="s">
        <v>31</v>
      </c>
      <c r="L305" t="s">
        <v>44</v>
      </c>
      <c r="M305" t="s">
        <v>28</v>
      </c>
      <c r="N305">
        <v>11</v>
      </c>
      <c r="O305" s="2">
        <v>45692.947870370372</v>
      </c>
      <c r="P305" s="2">
        <v>45716.208333333336</v>
      </c>
      <c r="Q305" t="s">
        <v>38</v>
      </c>
      <c r="R305" t="s">
        <v>36</v>
      </c>
      <c r="S305" t="s">
        <v>33</v>
      </c>
    </row>
    <row r="306" spans="1:19" x14ac:dyDescent="0.35">
      <c r="A306" t="s">
        <v>23</v>
      </c>
      <c r="B306" t="s">
        <v>1000</v>
      </c>
      <c r="C306" t="s">
        <v>1982</v>
      </c>
      <c r="D306" t="s">
        <v>2084</v>
      </c>
      <c r="E306" s="2">
        <v>45747.619877164354</v>
      </c>
      <c r="F306" t="s">
        <v>2085</v>
      </c>
      <c r="G306" t="s">
        <v>2086</v>
      </c>
      <c r="H306" t="s">
        <v>2077</v>
      </c>
      <c r="I306" t="s">
        <v>1001</v>
      </c>
      <c r="J306" t="s">
        <v>30</v>
      </c>
      <c r="K306" t="s">
        <v>31</v>
      </c>
      <c r="L306" t="s">
        <v>44</v>
      </c>
      <c r="M306" t="s">
        <v>28</v>
      </c>
      <c r="N306">
        <v>26</v>
      </c>
      <c r="O306" s="2">
        <v>45692.868402777778</v>
      </c>
      <c r="P306" s="2">
        <v>45821.166666666664</v>
      </c>
      <c r="Q306" t="s">
        <v>38</v>
      </c>
      <c r="R306" t="s">
        <v>130</v>
      </c>
      <c r="S306" t="s">
        <v>33</v>
      </c>
    </row>
    <row r="307" spans="1:19" x14ac:dyDescent="0.35">
      <c r="A307" t="s">
        <v>23</v>
      </c>
      <c r="B307" t="s">
        <v>847</v>
      </c>
      <c r="C307" t="s">
        <v>1982</v>
      </c>
      <c r="D307" t="s">
        <v>2154</v>
      </c>
      <c r="E307" s="2">
        <v>45751.827466493058</v>
      </c>
      <c r="F307" t="s">
        <v>2088</v>
      </c>
      <c r="G307" t="s">
        <v>2089</v>
      </c>
      <c r="H307" t="s">
        <v>2077</v>
      </c>
      <c r="I307" t="s">
        <v>848</v>
      </c>
      <c r="J307" t="s">
        <v>30</v>
      </c>
      <c r="K307" t="s">
        <v>31</v>
      </c>
      <c r="L307" t="s">
        <v>44</v>
      </c>
      <c r="M307" t="s">
        <v>28</v>
      </c>
      <c r="N307">
        <v>16</v>
      </c>
      <c r="O307" s="2">
        <v>45706.845254629632</v>
      </c>
      <c r="P307" s="2">
        <v>45805.166666666664</v>
      </c>
      <c r="Q307" t="s">
        <v>38</v>
      </c>
      <c r="R307" t="s">
        <v>130</v>
      </c>
      <c r="S307" t="s">
        <v>33</v>
      </c>
    </row>
    <row r="308" spans="1:19" x14ac:dyDescent="0.35">
      <c r="A308" t="s">
        <v>23</v>
      </c>
      <c r="B308" t="s">
        <v>847</v>
      </c>
      <c r="C308" t="s">
        <v>1988</v>
      </c>
      <c r="D308" t="s">
        <v>2154</v>
      </c>
      <c r="E308" s="2">
        <v>45778.680150474538</v>
      </c>
      <c r="F308" t="s">
        <v>2080</v>
      </c>
      <c r="G308" t="s">
        <v>2081</v>
      </c>
      <c r="H308" t="s">
        <v>2077</v>
      </c>
      <c r="I308" t="s">
        <v>848</v>
      </c>
      <c r="J308" t="s">
        <v>30</v>
      </c>
      <c r="K308" t="s">
        <v>31</v>
      </c>
      <c r="L308" t="s">
        <v>44</v>
      </c>
      <c r="M308" t="s">
        <v>28</v>
      </c>
      <c r="N308">
        <v>16</v>
      </c>
      <c r="O308" s="2">
        <v>45706.845254629632</v>
      </c>
      <c r="P308" s="2">
        <v>45805.166666666664</v>
      </c>
      <c r="Q308" t="s">
        <v>38</v>
      </c>
      <c r="R308" t="s">
        <v>130</v>
      </c>
      <c r="S308" t="s">
        <v>33</v>
      </c>
    </row>
    <row r="309" spans="1:19" x14ac:dyDescent="0.35">
      <c r="A309" t="s">
        <v>23</v>
      </c>
      <c r="B309" t="s">
        <v>951</v>
      </c>
      <c r="C309" t="s">
        <v>1988</v>
      </c>
      <c r="D309" t="s">
        <v>1930</v>
      </c>
      <c r="E309" s="2">
        <v>45789.735288240743</v>
      </c>
      <c r="F309" t="s">
        <v>2078</v>
      </c>
      <c r="G309" t="s">
        <v>2079</v>
      </c>
      <c r="H309" t="s">
        <v>2083</v>
      </c>
      <c r="I309" t="s">
        <v>952</v>
      </c>
      <c r="J309" t="s">
        <v>30</v>
      </c>
      <c r="K309" t="s">
        <v>70</v>
      </c>
      <c r="L309" t="s">
        <v>44</v>
      </c>
      <c r="M309" t="s">
        <v>28</v>
      </c>
      <c r="N309">
        <v>21</v>
      </c>
      <c r="O309" s="2">
        <v>45693.499097222222</v>
      </c>
      <c r="P309" s="2">
        <v>45828.166666666664</v>
      </c>
      <c r="Q309" t="s">
        <v>38</v>
      </c>
      <c r="R309" t="s">
        <v>36</v>
      </c>
      <c r="S309" t="s">
        <v>81</v>
      </c>
    </row>
    <row r="310" spans="1:19" x14ac:dyDescent="0.35">
      <c r="A310" t="s">
        <v>23</v>
      </c>
      <c r="B310" t="s">
        <v>951</v>
      </c>
      <c r="C310" t="s">
        <v>1988</v>
      </c>
      <c r="D310" t="s">
        <v>1930</v>
      </c>
      <c r="E310" s="2">
        <v>45789.735475624999</v>
      </c>
      <c r="F310" t="s">
        <v>2078</v>
      </c>
      <c r="G310" t="s">
        <v>2173</v>
      </c>
      <c r="H310" t="s">
        <v>2077</v>
      </c>
      <c r="I310" t="s">
        <v>952</v>
      </c>
      <c r="J310" t="s">
        <v>30</v>
      </c>
      <c r="K310" t="s">
        <v>70</v>
      </c>
      <c r="L310" t="s">
        <v>44</v>
      </c>
      <c r="M310" t="s">
        <v>28</v>
      </c>
      <c r="N310">
        <v>21</v>
      </c>
      <c r="O310" s="2">
        <v>45693.499097222222</v>
      </c>
      <c r="P310" s="2">
        <v>45828.166666666664</v>
      </c>
      <c r="Q310" t="s">
        <v>38</v>
      </c>
      <c r="R310" t="s">
        <v>36</v>
      </c>
      <c r="S310" t="s">
        <v>81</v>
      </c>
    </row>
    <row r="311" spans="1:19" x14ac:dyDescent="0.35">
      <c r="A311" t="s">
        <v>23</v>
      </c>
      <c r="B311" t="s">
        <v>951</v>
      </c>
      <c r="C311" t="s">
        <v>1988</v>
      </c>
      <c r="D311" t="s">
        <v>1930</v>
      </c>
      <c r="E311" s="2">
        <v>45789.736296678238</v>
      </c>
      <c r="F311" t="s">
        <v>2080</v>
      </c>
      <c r="G311" t="s">
        <v>2094</v>
      </c>
      <c r="H311" t="s">
        <v>2077</v>
      </c>
      <c r="I311" t="s">
        <v>952</v>
      </c>
      <c r="J311" t="s">
        <v>30</v>
      </c>
      <c r="K311" t="s">
        <v>70</v>
      </c>
      <c r="L311" t="s">
        <v>44</v>
      </c>
      <c r="M311" t="s">
        <v>28</v>
      </c>
      <c r="N311">
        <v>21</v>
      </c>
      <c r="O311" s="2">
        <v>45693.499097222222</v>
      </c>
      <c r="P311" s="2">
        <v>45828.166666666664</v>
      </c>
      <c r="Q311" t="s">
        <v>38</v>
      </c>
      <c r="R311" t="s">
        <v>36</v>
      </c>
      <c r="S311" t="s">
        <v>81</v>
      </c>
    </row>
    <row r="312" spans="1:19" x14ac:dyDescent="0.35">
      <c r="A312" t="s">
        <v>23</v>
      </c>
      <c r="B312" t="s">
        <v>951</v>
      </c>
      <c r="C312" t="s">
        <v>1988</v>
      </c>
      <c r="D312" t="s">
        <v>1930</v>
      </c>
      <c r="E312" s="2">
        <v>45789.73753604167</v>
      </c>
      <c r="F312" t="s">
        <v>2080</v>
      </c>
      <c r="G312" t="s">
        <v>2100</v>
      </c>
      <c r="H312" t="s">
        <v>2077</v>
      </c>
      <c r="I312" t="s">
        <v>952</v>
      </c>
      <c r="J312" t="s">
        <v>30</v>
      </c>
      <c r="K312" t="s">
        <v>70</v>
      </c>
      <c r="L312" t="s">
        <v>44</v>
      </c>
      <c r="M312" t="s">
        <v>28</v>
      </c>
      <c r="N312">
        <v>21</v>
      </c>
      <c r="O312" s="2">
        <v>45693.499097222222</v>
      </c>
      <c r="P312" s="2">
        <v>45828.166666666664</v>
      </c>
      <c r="Q312" t="s">
        <v>38</v>
      </c>
      <c r="R312" t="s">
        <v>36</v>
      </c>
      <c r="S312" t="s">
        <v>81</v>
      </c>
    </row>
    <row r="313" spans="1:19" x14ac:dyDescent="0.35">
      <c r="A313" t="s">
        <v>23</v>
      </c>
      <c r="B313" t="s">
        <v>951</v>
      </c>
      <c r="C313" t="s">
        <v>1988</v>
      </c>
      <c r="D313" t="s">
        <v>1930</v>
      </c>
      <c r="E313" s="2">
        <v>45789.742942118057</v>
      </c>
      <c r="F313" t="s">
        <v>2080</v>
      </c>
      <c r="G313" t="s">
        <v>2100</v>
      </c>
      <c r="H313" t="s">
        <v>2077</v>
      </c>
      <c r="I313" t="s">
        <v>952</v>
      </c>
      <c r="J313" t="s">
        <v>30</v>
      </c>
      <c r="K313" t="s">
        <v>70</v>
      </c>
      <c r="L313" t="s">
        <v>44</v>
      </c>
      <c r="M313" t="s">
        <v>28</v>
      </c>
      <c r="N313">
        <v>21</v>
      </c>
      <c r="O313" s="2">
        <v>45693.499097222222</v>
      </c>
      <c r="P313" s="2">
        <v>45828.166666666664</v>
      </c>
      <c r="Q313" t="s">
        <v>38</v>
      </c>
      <c r="R313" t="s">
        <v>36</v>
      </c>
      <c r="S313" t="s">
        <v>81</v>
      </c>
    </row>
    <row r="314" spans="1:19" x14ac:dyDescent="0.35">
      <c r="A314" t="s">
        <v>23</v>
      </c>
      <c r="B314" t="s">
        <v>951</v>
      </c>
      <c r="C314" t="s">
        <v>1989</v>
      </c>
      <c r="D314" t="s">
        <v>2087</v>
      </c>
      <c r="E314" s="2">
        <v>45814.763249293981</v>
      </c>
      <c r="F314" t="s">
        <v>2078</v>
      </c>
      <c r="G314" t="s">
        <v>2116</v>
      </c>
      <c r="H314" t="s">
        <v>2077</v>
      </c>
      <c r="I314" t="s">
        <v>952</v>
      </c>
      <c r="J314" t="s">
        <v>30</v>
      </c>
      <c r="K314" t="s">
        <v>70</v>
      </c>
      <c r="L314" t="s">
        <v>44</v>
      </c>
      <c r="M314" t="s">
        <v>28</v>
      </c>
      <c r="N314">
        <v>21</v>
      </c>
      <c r="O314" s="2">
        <v>45693.499097222222</v>
      </c>
      <c r="P314" s="2">
        <v>45828.166666666664</v>
      </c>
      <c r="Q314" t="s">
        <v>38</v>
      </c>
      <c r="R314" t="s">
        <v>36</v>
      </c>
      <c r="S314" t="s">
        <v>81</v>
      </c>
    </row>
    <row r="315" spans="1:19" x14ac:dyDescent="0.35">
      <c r="A315" t="s">
        <v>23</v>
      </c>
      <c r="B315" t="s">
        <v>951</v>
      </c>
      <c r="C315" t="s">
        <v>1989</v>
      </c>
      <c r="D315" t="s">
        <v>2087</v>
      </c>
      <c r="E315" s="2">
        <v>45814.765314317126</v>
      </c>
      <c r="F315" t="s">
        <v>2085</v>
      </c>
      <c r="G315" t="s">
        <v>2086</v>
      </c>
      <c r="H315" t="s">
        <v>2077</v>
      </c>
      <c r="I315" t="s">
        <v>952</v>
      </c>
      <c r="J315" t="s">
        <v>30</v>
      </c>
      <c r="K315" t="s">
        <v>70</v>
      </c>
      <c r="L315" t="s">
        <v>44</v>
      </c>
      <c r="M315" t="s">
        <v>28</v>
      </c>
      <c r="N315">
        <v>21</v>
      </c>
      <c r="O315" s="2">
        <v>45693.499097222222</v>
      </c>
      <c r="P315" s="2">
        <v>45828.166666666664</v>
      </c>
      <c r="Q315" t="s">
        <v>38</v>
      </c>
      <c r="R315" t="s">
        <v>36</v>
      </c>
      <c r="S315" t="s">
        <v>81</v>
      </c>
    </row>
    <row r="316" spans="1:19" x14ac:dyDescent="0.35">
      <c r="A316" t="s">
        <v>23</v>
      </c>
      <c r="B316" t="s">
        <v>2174</v>
      </c>
      <c r="C316" t="s">
        <v>1989</v>
      </c>
      <c r="D316" t="s">
        <v>2175</v>
      </c>
      <c r="E316" s="2">
        <v>45799.769866354167</v>
      </c>
      <c r="F316" t="s">
        <v>2085</v>
      </c>
      <c r="G316" t="s">
        <v>2101</v>
      </c>
      <c r="H316" t="s">
        <v>2077</v>
      </c>
      <c r="I316" t="s">
        <v>2176</v>
      </c>
      <c r="J316" t="s">
        <v>30</v>
      </c>
      <c r="K316" t="s">
        <v>31</v>
      </c>
      <c r="L316" t="s">
        <v>26</v>
      </c>
      <c r="M316" t="s">
        <v>28</v>
      </c>
      <c r="O316" s="2">
        <v>45693.762800925928</v>
      </c>
      <c r="P316" s="2">
        <v>45835.166666666664</v>
      </c>
      <c r="Q316" t="s">
        <v>38</v>
      </c>
      <c r="R316" t="s">
        <v>36</v>
      </c>
      <c r="S316" t="s">
        <v>33</v>
      </c>
    </row>
    <row r="317" spans="1:19" x14ac:dyDescent="0.35">
      <c r="A317" t="s">
        <v>23</v>
      </c>
      <c r="B317" t="s">
        <v>685</v>
      </c>
      <c r="C317" t="s">
        <v>1988</v>
      </c>
      <c r="D317" t="s">
        <v>2084</v>
      </c>
      <c r="E317" s="2">
        <v>45782.859699733795</v>
      </c>
      <c r="F317" t="s">
        <v>2085</v>
      </c>
      <c r="G317" t="s">
        <v>2086</v>
      </c>
      <c r="H317" t="s">
        <v>2077</v>
      </c>
      <c r="I317" t="s">
        <v>686</v>
      </c>
      <c r="J317" t="s">
        <v>30</v>
      </c>
      <c r="K317" t="s">
        <v>31</v>
      </c>
      <c r="L317" t="s">
        <v>44</v>
      </c>
      <c r="M317" t="s">
        <v>28</v>
      </c>
      <c r="N317">
        <v>11</v>
      </c>
      <c r="O317" s="2">
        <v>45694.398506944446</v>
      </c>
      <c r="P317" s="2">
        <v>45796.166666666664</v>
      </c>
      <c r="Q317" t="s">
        <v>38</v>
      </c>
      <c r="R317" t="s">
        <v>244</v>
      </c>
      <c r="S317" t="s">
        <v>33</v>
      </c>
    </row>
    <row r="318" spans="1:19" x14ac:dyDescent="0.35">
      <c r="A318" t="s">
        <v>23</v>
      </c>
      <c r="B318" t="s">
        <v>919</v>
      </c>
      <c r="C318" t="s">
        <v>1988</v>
      </c>
      <c r="D318" t="s">
        <v>2084</v>
      </c>
      <c r="E318" s="2">
        <v>45849.082647395837</v>
      </c>
      <c r="F318" t="s">
        <v>2085</v>
      </c>
      <c r="G318" t="s">
        <v>2086</v>
      </c>
      <c r="H318" t="s">
        <v>2077</v>
      </c>
      <c r="I318" t="s">
        <v>920</v>
      </c>
      <c r="J318" t="s">
        <v>30</v>
      </c>
      <c r="K318" t="s">
        <v>31</v>
      </c>
      <c r="L318" t="s">
        <v>44</v>
      </c>
      <c r="M318" t="s">
        <v>28</v>
      </c>
      <c r="N318">
        <v>19</v>
      </c>
      <c r="O318" s="2">
        <v>45698.56585648148</v>
      </c>
      <c r="P318" s="2">
        <v>45869.166666666664</v>
      </c>
      <c r="Q318" t="s">
        <v>38</v>
      </c>
      <c r="R318" t="s">
        <v>54</v>
      </c>
      <c r="S318" t="s">
        <v>33</v>
      </c>
    </row>
    <row r="319" spans="1:19" x14ac:dyDescent="0.35">
      <c r="A319" t="s">
        <v>23</v>
      </c>
      <c r="B319" t="s">
        <v>919</v>
      </c>
      <c r="C319" t="s">
        <v>1989</v>
      </c>
      <c r="D319" t="s">
        <v>2082</v>
      </c>
      <c r="E319" s="2">
        <v>45855.654084004629</v>
      </c>
      <c r="F319" t="s">
        <v>2078</v>
      </c>
      <c r="G319" t="s">
        <v>2108</v>
      </c>
      <c r="H319" t="s">
        <v>2077</v>
      </c>
      <c r="I319" t="s">
        <v>920</v>
      </c>
      <c r="J319" t="s">
        <v>30</v>
      </c>
      <c r="K319" t="s">
        <v>31</v>
      </c>
      <c r="L319" t="s">
        <v>44</v>
      </c>
      <c r="M319" t="s">
        <v>28</v>
      </c>
      <c r="N319">
        <v>19</v>
      </c>
      <c r="O319" s="2">
        <v>45698.56585648148</v>
      </c>
      <c r="P319" s="2">
        <v>45869.166666666664</v>
      </c>
      <c r="Q319" t="s">
        <v>38</v>
      </c>
      <c r="R319" t="s">
        <v>54</v>
      </c>
      <c r="S319" t="s">
        <v>33</v>
      </c>
    </row>
    <row r="320" spans="1:19" x14ac:dyDescent="0.35">
      <c r="A320" t="s">
        <v>23</v>
      </c>
      <c r="B320" t="s">
        <v>919</v>
      </c>
      <c r="C320" t="s">
        <v>1989</v>
      </c>
      <c r="D320" t="s">
        <v>2082</v>
      </c>
      <c r="E320" s="2">
        <v>45856.512281435185</v>
      </c>
      <c r="F320" t="s">
        <v>2080</v>
      </c>
      <c r="G320" t="s">
        <v>2081</v>
      </c>
      <c r="H320" t="s">
        <v>2077</v>
      </c>
      <c r="I320" t="s">
        <v>920</v>
      </c>
      <c r="J320" t="s">
        <v>30</v>
      </c>
      <c r="K320" t="s">
        <v>31</v>
      </c>
      <c r="L320" t="s">
        <v>44</v>
      </c>
      <c r="M320" t="s">
        <v>28</v>
      </c>
      <c r="N320">
        <v>19</v>
      </c>
      <c r="O320" s="2">
        <v>45698.56585648148</v>
      </c>
      <c r="P320" s="2">
        <v>45869.166666666664</v>
      </c>
      <c r="Q320" t="s">
        <v>38</v>
      </c>
      <c r="R320" t="s">
        <v>54</v>
      </c>
      <c r="S320" t="s">
        <v>33</v>
      </c>
    </row>
    <row r="321" spans="1:19" x14ac:dyDescent="0.35">
      <c r="A321" t="s">
        <v>23</v>
      </c>
      <c r="B321" t="s">
        <v>916</v>
      </c>
      <c r="C321" t="s">
        <v>1989</v>
      </c>
      <c r="D321" t="s">
        <v>2138</v>
      </c>
      <c r="E321" s="2">
        <v>45722.867705706019</v>
      </c>
      <c r="F321" t="s">
        <v>2075</v>
      </c>
      <c r="G321" t="s">
        <v>2105</v>
      </c>
      <c r="H321" t="s">
        <v>2083</v>
      </c>
      <c r="I321" t="s">
        <v>917</v>
      </c>
      <c r="J321" t="s">
        <v>30</v>
      </c>
      <c r="K321" t="s">
        <v>31</v>
      </c>
      <c r="L321" t="s">
        <v>44</v>
      </c>
      <c r="M321" t="s">
        <v>28</v>
      </c>
      <c r="N321">
        <v>19</v>
      </c>
      <c r="O321" s="2">
        <v>45700.653495370374</v>
      </c>
      <c r="P321" s="2">
        <v>45730.166666666664</v>
      </c>
      <c r="Q321" t="s">
        <v>48</v>
      </c>
      <c r="R321" t="s">
        <v>36</v>
      </c>
      <c r="S321" t="s">
        <v>33</v>
      </c>
    </row>
    <row r="322" spans="1:19" x14ac:dyDescent="0.35">
      <c r="A322" t="s">
        <v>23</v>
      </c>
      <c r="B322" t="s">
        <v>916</v>
      </c>
      <c r="C322" t="s">
        <v>1989</v>
      </c>
      <c r="D322" t="s">
        <v>2138</v>
      </c>
      <c r="E322" s="2">
        <v>45730.81083746528</v>
      </c>
      <c r="F322" t="s">
        <v>2075</v>
      </c>
      <c r="G322" t="s">
        <v>2105</v>
      </c>
      <c r="H322" t="s">
        <v>2083</v>
      </c>
      <c r="I322" t="s">
        <v>917</v>
      </c>
      <c r="J322" t="s">
        <v>30</v>
      </c>
      <c r="K322" t="s">
        <v>31</v>
      </c>
      <c r="L322" t="s">
        <v>44</v>
      </c>
      <c r="M322" t="s">
        <v>28</v>
      </c>
      <c r="N322">
        <v>19</v>
      </c>
      <c r="O322" s="2">
        <v>45700.653495370374</v>
      </c>
      <c r="P322" s="2">
        <v>45730.166666666664</v>
      </c>
      <c r="Q322" t="s">
        <v>48</v>
      </c>
      <c r="R322" t="s">
        <v>36</v>
      </c>
      <c r="S322" t="s">
        <v>33</v>
      </c>
    </row>
    <row r="323" spans="1:19" x14ac:dyDescent="0.35">
      <c r="A323" t="s">
        <v>23</v>
      </c>
      <c r="B323" t="s">
        <v>1347</v>
      </c>
      <c r="C323" t="s">
        <v>1988</v>
      </c>
      <c r="D323" t="s">
        <v>1930</v>
      </c>
      <c r="E323" s="2">
        <v>45789.738087708334</v>
      </c>
      <c r="F323" t="s">
        <v>2078</v>
      </c>
      <c r="G323" t="s">
        <v>2108</v>
      </c>
      <c r="H323" t="s">
        <v>2077</v>
      </c>
      <c r="I323" t="s">
        <v>1348</v>
      </c>
      <c r="J323" t="s">
        <v>30</v>
      </c>
      <c r="K323" t="s">
        <v>70</v>
      </c>
      <c r="L323" t="s">
        <v>44</v>
      </c>
      <c r="M323" t="s">
        <v>28</v>
      </c>
      <c r="O323" s="2">
        <v>45700.670717592591</v>
      </c>
      <c r="P323" s="2">
        <v>45828.166666666664</v>
      </c>
      <c r="Q323" t="s">
        <v>57</v>
      </c>
      <c r="R323" t="s">
        <v>36</v>
      </c>
      <c r="S323" t="s">
        <v>81</v>
      </c>
    </row>
    <row r="324" spans="1:19" x14ac:dyDescent="0.35">
      <c r="A324" t="s">
        <v>23</v>
      </c>
      <c r="B324" t="s">
        <v>1347</v>
      </c>
      <c r="C324" t="s">
        <v>1988</v>
      </c>
      <c r="D324" t="s">
        <v>1930</v>
      </c>
      <c r="E324" s="2">
        <v>45789.738499687497</v>
      </c>
      <c r="F324" t="s">
        <v>2080</v>
      </c>
      <c r="G324" t="s">
        <v>2100</v>
      </c>
      <c r="H324" t="s">
        <v>2077</v>
      </c>
      <c r="I324" t="s">
        <v>1348</v>
      </c>
      <c r="J324" t="s">
        <v>30</v>
      </c>
      <c r="K324" t="s">
        <v>70</v>
      </c>
      <c r="L324" t="s">
        <v>44</v>
      </c>
      <c r="M324" t="s">
        <v>28</v>
      </c>
      <c r="O324" s="2">
        <v>45700.670717592591</v>
      </c>
      <c r="P324" s="2">
        <v>45828.166666666664</v>
      </c>
      <c r="Q324" t="s">
        <v>57</v>
      </c>
      <c r="R324" t="s">
        <v>36</v>
      </c>
      <c r="S324" t="s">
        <v>81</v>
      </c>
    </row>
    <row r="325" spans="1:19" x14ac:dyDescent="0.35">
      <c r="A325" t="s">
        <v>23</v>
      </c>
      <c r="B325" t="s">
        <v>1347</v>
      </c>
      <c r="C325" t="s">
        <v>1988</v>
      </c>
      <c r="D325" t="s">
        <v>1930</v>
      </c>
      <c r="E325" s="2">
        <v>45789.739009745368</v>
      </c>
      <c r="F325" t="s">
        <v>2075</v>
      </c>
      <c r="G325" t="s">
        <v>2105</v>
      </c>
      <c r="H325" t="s">
        <v>2083</v>
      </c>
      <c r="I325" t="s">
        <v>1348</v>
      </c>
      <c r="J325" t="s">
        <v>30</v>
      </c>
      <c r="K325" t="s">
        <v>70</v>
      </c>
      <c r="L325" t="s">
        <v>44</v>
      </c>
      <c r="M325" t="s">
        <v>28</v>
      </c>
      <c r="O325" s="2">
        <v>45700.670717592591</v>
      </c>
      <c r="P325" s="2">
        <v>45828.166666666664</v>
      </c>
      <c r="Q325" t="s">
        <v>57</v>
      </c>
      <c r="R325" t="s">
        <v>36</v>
      </c>
      <c r="S325" t="s">
        <v>81</v>
      </c>
    </row>
    <row r="326" spans="1:19" x14ac:dyDescent="0.35">
      <c r="A326" t="s">
        <v>23</v>
      </c>
      <c r="B326" t="s">
        <v>1347</v>
      </c>
      <c r="C326" t="s">
        <v>1988</v>
      </c>
      <c r="D326" t="s">
        <v>1930</v>
      </c>
      <c r="E326" s="2">
        <v>45789.739333599537</v>
      </c>
      <c r="F326" t="s">
        <v>2080</v>
      </c>
      <c r="G326" t="s">
        <v>2094</v>
      </c>
      <c r="H326" t="s">
        <v>2077</v>
      </c>
      <c r="I326" t="s">
        <v>1348</v>
      </c>
      <c r="J326" t="s">
        <v>30</v>
      </c>
      <c r="K326" t="s">
        <v>70</v>
      </c>
      <c r="L326" t="s">
        <v>44</v>
      </c>
      <c r="M326" t="s">
        <v>28</v>
      </c>
      <c r="O326" s="2">
        <v>45700.670717592591</v>
      </c>
      <c r="P326" s="2">
        <v>45828.166666666664</v>
      </c>
      <c r="Q326" t="s">
        <v>57</v>
      </c>
      <c r="R326" t="s">
        <v>36</v>
      </c>
      <c r="S326" t="s">
        <v>81</v>
      </c>
    </row>
    <row r="327" spans="1:19" x14ac:dyDescent="0.35">
      <c r="A327" t="s">
        <v>23</v>
      </c>
      <c r="B327" t="s">
        <v>1347</v>
      </c>
      <c r="C327" t="s">
        <v>1988</v>
      </c>
      <c r="D327" t="s">
        <v>1930</v>
      </c>
      <c r="E327" s="2">
        <v>45789.739837280089</v>
      </c>
      <c r="F327" t="s">
        <v>2078</v>
      </c>
      <c r="G327" t="s">
        <v>2079</v>
      </c>
      <c r="H327" t="s">
        <v>2083</v>
      </c>
      <c r="I327" t="s">
        <v>1348</v>
      </c>
      <c r="J327" t="s">
        <v>30</v>
      </c>
      <c r="K327" t="s">
        <v>70</v>
      </c>
      <c r="L327" t="s">
        <v>44</v>
      </c>
      <c r="M327" t="s">
        <v>28</v>
      </c>
      <c r="O327" s="2">
        <v>45700.670717592591</v>
      </c>
      <c r="P327" s="2">
        <v>45828.166666666664</v>
      </c>
      <c r="Q327" t="s">
        <v>57</v>
      </c>
      <c r="R327" t="s">
        <v>36</v>
      </c>
      <c r="S327" t="s">
        <v>81</v>
      </c>
    </row>
    <row r="328" spans="1:19" x14ac:dyDescent="0.35">
      <c r="A328" t="s">
        <v>23</v>
      </c>
      <c r="B328" t="s">
        <v>1347</v>
      </c>
      <c r="C328" t="s">
        <v>1988</v>
      </c>
      <c r="D328" t="s">
        <v>1930</v>
      </c>
      <c r="E328" s="2">
        <v>45789.739978124999</v>
      </c>
      <c r="F328" t="s">
        <v>2078</v>
      </c>
      <c r="G328" t="s">
        <v>2173</v>
      </c>
      <c r="H328" t="s">
        <v>2077</v>
      </c>
      <c r="I328" t="s">
        <v>1348</v>
      </c>
      <c r="J328" t="s">
        <v>30</v>
      </c>
      <c r="K328" t="s">
        <v>70</v>
      </c>
      <c r="L328" t="s">
        <v>44</v>
      </c>
      <c r="M328" t="s">
        <v>28</v>
      </c>
      <c r="O328" s="2">
        <v>45700.670717592591</v>
      </c>
      <c r="P328" s="2">
        <v>45828.166666666664</v>
      </c>
      <c r="Q328" t="s">
        <v>57</v>
      </c>
      <c r="R328" t="s">
        <v>36</v>
      </c>
      <c r="S328" t="s">
        <v>81</v>
      </c>
    </row>
    <row r="329" spans="1:19" x14ac:dyDescent="0.35">
      <c r="A329" t="s">
        <v>23</v>
      </c>
      <c r="B329" t="s">
        <v>1347</v>
      </c>
      <c r="C329" t="s">
        <v>1988</v>
      </c>
      <c r="D329" t="s">
        <v>1930</v>
      </c>
      <c r="E329" s="2">
        <v>45789.74026554398</v>
      </c>
      <c r="F329" t="s">
        <v>2080</v>
      </c>
      <c r="G329" t="s">
        <v>2100</v>
      </c>
      <c r="H329" t="s">
        <v>2077</v>
      </c>
      <c r="I329" t="s">
        <v>1348</v>
      </c>
      <c r="J329" t="s">
        <v>30</v>
      </c>
      <c r="K329" t="s">
        <v>70</v>
      </c>
      <c r="L329" t="s">
        <v>44</v>
      </c>
      <c r="M329" t="s">
        <v>28</v>
      </c>
      <c r="O329" s="2">
        <v>45700.670717592591</v>
      </c>
      <c r="P329" s="2">
        <v>45828.166666666664</v>
      </c>
      <c r="Q329" t="s">
        <v>57</v>
      </c>
      <c r="R329" t="s">
        <v>36</v>
      </c>
      <c r="S329" t="s">
        <v>81</v>
      </c>
    </row>
    <row r="330" spans="1:19" x14ac:dyDescent="0.35">
      <c r="A330" t="s">
        <v>23</v>
      </c>
      <c r="B330" t="s">
        <v>1347</v>
      </c>
      <c r="C330" t="s">
        <v>1988</v>
      </c>
      <c r="D330" t="s">
        <v>1930</v>
      </c>
      <c r="E330" s="2">
        <v>45789.740601990743</v>
      </c>
      <c r="F330" t="s">
        <v>2080</v>
      </c>
      <c r="G330" t="s">
        <v>2094</v>
      </c>
      <c r="H330" t="s">
        <v>2077</v>
      </c>
      <c r="I330" t="s">
        <v>1348</v>
      </c>
      <c r="J330" t="s">
        <v>30</v>
      </c>
      <c r="K330" t="s">
        <v>70</v>
      </c>
      <c r="L330" t="s">
        <v>44</v>
      </c>
      <c r="M330" t="s">
        <v>28</v>
      </c>
      <c r="O330" s="2">
        <v>45700.670717592591</v>
      </c>
      <c r="P330" s="2">
        <v>45828.166666666664</v>
      </c>
      <c r="Q330" t="s">
        <v>57</v>
      </c>
      <c r="R330" t="s">
        <v>36</v>
      </c>
      <c r="S330" t="s">
        <v>81</v>
      </c>
    </row>
    <row r="331" spans="1:19" x14ac:dyDescent="0.35">
      <c r="A331" t="s">
        <v>23</v>
      </c>
      <c r="B331" t="s">
        <v>1349</v>
      </c>
      <c r="C331" t="s">
        <v>1988</v>
      </c>
      <c r="D331" t="s">
        <v>1930</v>
      </c>
      <c r="E331" s="2">
        <v>45789.741682638887</v>
      </c>
      <c r="F331" t="s">
        <v>2078</v>
      </c>
      <c r="G331" t="s">
        <v>2079</v>
      </c>
      <c r="H331" t="s">
        <v>2083</v>
      </c>
      <c r="I331" t="s">
        <v>1350</v>
      </c>
      <c r="J331" t="s">
        <v>30</v>
      </c>
      <c r="K331" t="s">
        <v>70</v>
      </c>
      <c r="L331" t="s">
        <v>44</v>
      </c>
      <c r="M331" t="s">
        <v>28</v>
      </c>
      <c r="O331" s="2">
        <v>45700.675081018519</v>
      </c>
      <c r="P331" s="2">
        <v>45828.166666666664</v>
      </c>
      <c r="Q331" t="s">
        <v>174</v>
      </c>
      <c r="R331" t="s">
        <v>36</v>
      </c>
      <c r="S331" t="s">
        <v>81</v>
      </c>
    </row>
    <row r="332" spans="1:19" x14ac:dyDescent="0.35">
      <c r="A332" t="s">
        <v>23</v>
      </c>
      <c r="B332" t="s">
        <v>1349</v>
      </c>
      <c r="C332" t="s">
        <v>1988</v>
      </c>
      <c r="D332" t="s">
        <v>1930</v>
      </c>
      <c r="E332" s="2">
        <v>45789.741781087963</v>
      </c>
      <c r="F332" t="s">
        <v>2078</v>
      </c>
      <c r="G332" t="s">
        <v>2173</v>
      </c>
      <c r="H332" t="s">
        <v>2077</v>
      </c>
      <c r="I332" t="s">
        <v>1350</v>
      </c>
      <c r="J332" t="s">
        <v>30</v>
      </c>
      <c r="K332" t="s">
        <v>70</v>
      </c>
      <c r="L332" t="s">
        <v>44</v>
      </c>
      <c r="M332" t="s">
        <v>28</v>
      </c>
      <c r="O332" s="2">
        <v>45700.675081018519</v>
      </c>
      <c r="P332" s="2">
        <v>45828.166666666664</v>
      </c>
      <c r="Q332" t="s">
        <v>174</v>
      </c>
      <c r="R332" t="s">
        <v>36</v>
      </c>
      <c r="S332" t="s">
        <v>81</v>
      </c>
    </row>
    <row r="333" spans="1:19" x14ac:dyDescent="0.35">
      <c r="A333" t="s">
        <v>23</v>
      </c>
      <c r="B333" t="s">
        <v>1349</v>
      </c>
      <c r="C333" t="s">
        <v>1988</v>
      </c>
      <c r="D333" t="s">
        <v>1930</v>
      </c>
      <c r="E333" s="2">
        <v>45789.741954039353</v>
      </c>
      <c r="F333" t="s">
        <v>2080</v>
      </c>
      <c r="G333" t="s">
        <v>2100</v>
      </c>
      <c r="H333" t="s">
        <v>2077</v>
      </c>
      <c r="I333" t="s">
        <v>1350</v>
      </c>
      <c r="J333" t="s">
        <v>30</v>
      </c>
      <c r="K333" t="s">
        <v>70</v>
      </c>
      <c r="L333" t="s">
        <v>44</v>
      </c>
      <c r="M333" t="s">
        <v>28</v>
      </c>
      <c r="O333" s="2">
        <v>45700.675081018519</v>
      </c>
      <c r="P333" s="2">
        <v>45828.166666666664</v>
      </c>
      <c r="Q333" t="s">
        <v>174</v>
      </c>
      <c r="R333" t="s">
        <v>36</v>
      </c>
      <c r="S333" t="s">
        <v>81</v>
      </c>
    </row>
    <row r="334" spans="1:19" x14ac:dyDescent="0.35">
      <c r="A334" t="s">
        <v>23</v>
      </c>
      <c r="B334" t="s">
        <v>1349</v>
      </c>
      <c r="C334" t="s">
        <v>1988</v>
      </c>
      <c r="D334" t="s">
        <v>1930</v>
      </c>
      <c r="E334" s="2">
        <v>45789.742133148146</v>
      </c>
      <c r="F334" t="s">
        <v>2080</v>
      </c>
      <c r="G334" t="s">
        <v>2094</v>
      </c>
      <c r="H334" t="s">
        <v>2077</v>
      </c>
      <c r="I334" t="s">
        <v>1350</v>
      </c>
      <c r="J334" t="s">
        <v>30</v>
      </c>
      <c r="K334" t="s">
        <v>70</v>
      </c>
      <c r="L334" t="s">
        <v>44</v>
      </c>
      <c r="M334" t="s">
        <v>28</v>
      </c>
      <c r="O334" s="2">
        <v>45700.675081018519</v>
      </c>
      <c r="P334" s="2">
        <v>45828.166666666664</v>
      </c>
      <c r="Q334" t="s">
        <v>174</v>
      </c>
      <c r="R334" t="s">
        <v>36</v>
      </c>
      <c r="S334" t="s">
        <v>81</v>
      </c>
    </row>
    <row r="335" spans="1:19" x14ac:dyDescent="0.35">
      <c r="A335" t="s">
        <v>23</v>
      </c>
      <c r="B335" t="s">
        <v>2177</v>
      </c>
      <c r="C335" t="s">
        <v>1988</v>
      </c>
      <c r="D335" t="s">
        <v>461</v>
      </c>
      <c r="E335" s="2">
        <v>45778.51634076389</v>
      </c>
      <c r="F335" t="s">
        <v>2085</v>
      </c>
      <c r="G335" t="s">
        <v>2086</v>
      </c>
      <c r="H335" t="s">
        <v>2077</v>
      </c>
      <c r="I335" t="s">
        <v>2178</v>
      </c>
      <c r="J335" t="s">
        <v>30</v>
      </c>
      <c r="K335" t="s">
        <v>31</v>
      </c>
      <c r="L335" t="s">
        <v>26</v>
      </c>
      <c r="M335" t="s">
        <v>28</v>
      </c>
      <c r="O335" s="2">
        <v>45700.730196759258</v>
      </c>
      <c r="P335" s="2">
        <v>45877.166666666664</v>
      </c>
      <c r="Q335" t="s">
        <v>38</v>
      </c>
      <c r="R335" t="s">
        <v>36</v>
      </c>
      <c r="S335" t="s">
        <v>81</v>
      </c>
    </row>
    <row r="336" spans="1:19" x14ac:dyDescent="0.35">
      <c r="A336" t="s">
        <v>23</v>
      </c>
      <c r="B336" t="s">
        <v>2177</v>
      </c>
      <c r="C336" t="s">
        <v>1988</v>
      </c>
      <c r="D336" t="s">
        <v>461</v>
      </c>
      <c r="E336" s="2">
        <v>45866.548849513892</v>
      </c>
      <c r="F336" t="s">
        <v>2075</v>
      </c>
      <c r="G336" t="s">
        <v>2105</v>
      </c>
      <c r="H336" t="s">
        <v>2077</v>
      </c>
      <c r="I336" t="s">
        <v>2178</v>
      </c>
      <c r="J336" t="s">
        <v>30</v>
      </c>
      <c r="K336" t="s">
        <v>31</v>
      </c>
      <c r="L336" t="s">
        <v>26</v>
      </c>
      <c r="M336" t="s">
        <v>28</v>
      </c>
      <c r="O336" s="2">
        <v>45700.730196759258</v>
      </c>
      <c r="P336" s="2">
        <v>45877.166666666664</v>
      </c>
      <c r="Q336" t="s">
        <v>38</v>
      </c>
      <c r="R336" t="s">
        <v>36</v>
      </c>
      <c r="S336" t="s">
        <v>81</v>
      </c>
    </row>
    <row r="337" spans="1:19" x14ac:dyDescent="0.35">
      <c r="A337" t="s">
        <v>23</v>
      </c>
      <c r="B337" t="s">
        <v>873</v>
      </c>
      <c r="C337" t="s">
        <v>1989</v>
      </c>
      <c r="D337" t="s">
        <v>2087</v>
      </c>
      <c r="E337" s="2">
        <v>45771.649289791669</v>
      </c>
      <c r="F337" t="s">
        <v>2078</v>
      </c>
      <c r="G337" t="s">
        <v>2109</v>
      </c>
      <c r="H337" t="s">
        <v>2077</v>
      </c>
      <c r="I337" t="s">
        <v>874</v>
      </c>
      <c r="J337" t="s">
        <v>30</v>
      </c>
      <c r="K337" t="s">
        <v>70</v>
      </c>
      <c r="L337" t="s">
        <v>44</v>
      </c>
      <c r="M337" t="s">
        <v>28</v>
      </c>
      <c r="N337">
        <v>17</v>
      </c>
      <c r="O337" s="2">
        <v>45705.824814814812</v>
      </c>
      <c r="P337" s="2">
        <v>45784.166666666664</v>
      </c>
      <c r="Q337" t="s">
        <v>48</v>
      </c>
      <c r="R337" t="s">
        <v>36</v>
      </c>
      <c r="S337" t="s">
        <v>33</v>
      </c>
    </row>
    <row r="338" spans="1:19" x14ac:dyDescent="0.35">
      <c r="A338" t="s">
        <v>23</v>
      </c>
      <c r="B338" t="s">
        <v>873</v>
      </c>
      <c r="C338" t="s">
        <v>1989</v>
      </c>
      <c r="D338" t="s">
        <v>2087</v>
      </c>
      <c r="E338" s="2">
        <v>45771.651454953702</v>
      </c>
      <c r="F338" t="s">
        <v>2080</v>
      </c>
      <c r="G338" t="s">
        <v>2081</v>
      </c>
      <c r="H338" t="s">
        <v>2077</v>
      </c>
      <c r="I338" t="s">
        <v>874</v>
      </c>
      <c r="J338" t="s">
        <v>30</v>
      </c>
      <c r="K338" t="s">
        <v>70</v>
      </c>
      <c r="L338" t="s">
        <v>44</v>
      </c>
      <c r="M338" t="s">
        <v>28</v>
      </c>
      <c r="N338">
        <v>17</v>
      </c>
      <c r="O338" s="2">
        <v>45705.824814814812</v>
      </c>
      <c r="P338" s="2">
        <v>45784.166666666664</v>
      </c>
      <c r="Q338" t="s">
        <v>48</v>
      </c>
      <c r="R338" t="s">
        <v>36</v>
      </c>
      <c r="S338" t="s">
        <v>33</v>
      </c>
    </row>
    <row r="339" spans="1:19" x14ac:dyDescent="0.35">
      <c r="A339" t="s">
        <v>23</v>
      </c>
      <c r="B339" t="s">
        <v>873</v>
      </c>
      <c r="C339" t="s">
        <v>1989</v>
      </c>
      <c r="D339" t="s">
        <v>2087</v>
      </c>
      <c r="E339" s="2">
        <v>45771.65563922454</v>
      </c>
      <c r="F339" t="s">
        <v>2075</v>
      </c>
      <c r="G339" t="s">
        <v>2076</v>
      </c>
      <c r="H339" t="s">
        <v>2077</v>
      </c>
      <c r="I339" t="s">
        <v>874</v>
      </c>
      <c r="J339" t="s">
        <v>30</v>
      </c>
      <c r="K339" t="s">
        <v>70</v>
      </c>
      <c r="L339" t="s">
        <v>44</v>
      </c>
      <c r="M339" t="s">
        <v>28</v>
      </c>
      <c r="N339">
        <v>17</v>
      </c>
      <c r="O339" s="2">
        <v>45705.824814814812</v>
      </c>
      <c r="P339" s="2">
        <v>45784.166666666664</v>
      </c>
      <c r="Q339" t="s">
        <v>48</v>
      </c>
      <c r="R339" t="s">
        <v>36</v>
      </c>
      <c r="S339" t="s">
        <v>33</v>
      </c>
    </row>
    <row r="340" spans="1:19" x14ac:dyDescent="0.35">
      <c r="A340" t="s">
        <v>23</v>
      </c>
      <c r="B340" t="s">
        <v>1355</v>
      </c>
      <c r="C340" t="s">
        <v>1989</v>
      </c>
      <c r="D340" t="s">
        <v>2138</v>
      </c>
      <c r="E340" s="2">
        <v>45715.477306736109</v>
      </c>
      <c r="F340" t="s">
        <v>2075</v>
      </c>
      <c r="G340" t="s">
        <v>2092</v>
      </c>
      <c r="H340" t="s">
        <v>2083</v>
      </c>
      <c r="I340" t="s">
        <v>1356</v>
      </c>
      <c r="J340" t="s">
        <v>30</v>
      </c>
      <c r="K340" t="s">
        <v>31</v>
      </c>
      <c r="L340" t="s">
        <v>44</v>
      </c>
      <c r="M340" t="s">
        <v>28</v>
      </c>
      <c r="O340" s="2">
        <v>45705.874525462961</v>
      </c>
      <c r="P340" s="2">
        <v>45716.208333333336</v>
      </c>
      <c r="Q340" t="s">
        <v>48</v>
      </c>
      <c r="R340" t="s">
        <v>36</v>
      </c>
      <c r="S340" t="s">
        <v>33</v>
      </c>
    </row>
    <row r="341" spans="1:19" x14ac:dyDescent="0.35">
      <c r="A341" t="s">
        <v>23</v>
      </c>
      <c r="B341" t="s">
        <v>955</v>
      </c>
      <c r="C341" t="s">
        <v>1982</v>
      </c>
      <c r="D341" t="s">
        <v>2090</v>
      </c>
      <c r="E341" s="2">
        <v>45778.808592349538</v>
      </c>
      <c r="F341" t="s">
        <v>2088</v>
      </c>
      <c r="G341" t="s">
        <v>2134</v>
      </c>
      <c r="H341" t="s">
        <v>2083</v>
      </c>
      <c r="I341" t="s">
        <v>956</v>
      </c>
      <c r="J341" t="s">
        <v>30</v>
      </c>
      <c r="K341" t="s">
        <v>31</v>
      </c>
      <c r="L341" t="s">
        <v>44</v>
      </c>
      <c r="M341" t="s">
        <v>28</v>
      </c>
      <c r="N341">
        <v>21</v>
      </c>
      <c r="O341" s="2">
        <v>45709.653981481482</v>
      </c>
      <c r="P341" s="2">
        <v>45849.166666666664</v>
      </c>
      <c r="Q341" t="s">
        <v>48</v>
      </c>
      <c r="R341" t="s">
        <v>130</v>
      </c>
      <c r="S341" t="s">
        <v>33</v>
      </c>
    </row>
    <row r="342" spans="1:19" x14ac:dyDescent="0.35">
      <c r="A342" t="s">
        <v>23</v>
      </c>
      <c r="B342" t="s">
        <v>955</v>
      </c>
      <c r="C342" t="s">
        <v>1988</v>
      </c>
      <c r="D342" t="s">
        <v>2090</v>
      </c>
      <c r="E342" s="2">
        <v>45824.588025127312</v>
      </c>
      <c r="F342" t="s">
        <v>2078</v>
      </c>
      <c r="G342" t="s">
        <v>2116</v>
      </c>
      <c r="H342" t="s">
        <v>2077</v>
      </c>
      <c r="I342" t="s">
        <v>956</v>
      </c>
      <c r="J342" t="s">
        <v>30</v>
      </c>
      <c r="K342" t="s">
        <v>31</v>
      </c>
      <c r="L342" t="s">
        <v>44</v>
      </c>
      <c r="M342" t="s">
        <v>28</v>
      </c>
      <c r="N342">
        <v>21</v>
      </c>
      <c r="O342" s="2">
        <v>45709.653981481482</v>
      </c>
      <c r="P342" s="2">
        <v>45849.166666666664</v>
      </c>
      <c r="Q342" t="s">
        <v>48</v>
      </c>
      <c r="R342" t="s">
        <v>130</v>
      </c>
      <c r="S342" t="s">
        <v>33</v>
      </c>
    </row>
    <row r="343" spans="1:19" x14ac:dyDescent="0.35">
      <c r="A343" t="s">
        <v>23</v>
      </c>
      <c r="B343" t="s">
        <v>1357</v>
      </c>
      <c r="C343" t="s">
        <v>1988</v>
      </c>
      <c r="D343" t="s">
        <v>2154</v>
      </c>
      <c r="E343" s="2">
        <v>45778.589211076389</v>
      </c>
      <c r="F343" t="s">
        <v>2080</v>
      </c>
      <c r="G343" t="s">
        <v>2081</v>
      </c>
      <c r="H343" t="s">
        <v>2077</v>
      </c>
      <c r="I343" t="s">
        <v>1358</v>
      </c>
      <c r="J343" t="s">
        <v>30</v>
      </c>
      <c r="K343" t="s">
        <v>31</v>
      </c>
      <c r="L343" t="s">
        <v>44</v>
      </c>
      <c r="M343" t="s">
        <v>28</v>
      </c>
      <c r="O343" s="2">
        <v>45712.795335648145</v>
      </c>
      <c r="P343" s="2">
        <v>45819.166666666664</v>
      </c>
      <c r="Q343" t="s">
        <v>38</v>
      </c>
      <c r="R343" t="s">
        <v>130</v>
      </c>
      <c r="S343" t="s">
        <v>33</v>
      </c>
    </row>
    <row r="344" spans="1:19" x14ac:dyDescent="0.35">
      <c r="A344" t="s">
        <v>23</v>
      </c>
      <c r="B344" t="s">
        <v>2179</v>
      </c>
      <c r="C344" t="s">
        <v>1982</v>
      </c>
      <c r="D344" t="s">
        <v>2074</v>
      </c>
      <c r="E344" s="2">
        <v>45817.618877499997</v>
      </c>
      <c r="F344" t="s">
        <v>2075</v>
      </c>
      <c r="G344" t="s">
        <v>2092</v>
      </c>
      <c r="H344" t="s">
        <v>2083</v>
      </c>
      <c r="I344" t="s">
        <v>2180</v>
      </c>
      <c r="J344" t="s">
        <v>30</v>
      </c>
      <c r="K344" t="s">
        <v>70</v>
      </c>
      <c r="L344" t="s">
        <v>26</v>
      </c>
      <c r="M344" t="s">
        <v>28</v>
      </c>
      <c r="N344">
        <v>49</v>
      </c>
      <c r="O344" s="2">
        <v>45721.76121527778</v>
      </c>
      <c r="P344" s="2">
        <v>45912.166666666664</v>
      </c>
      <c r="Q344" t="s">
        <v>32</v>
      </c>
      <c r="R344" t="s">
        <v>25</v>
      </c>
      <c r="S344" t="s">
        <v>33</v>
      </c>
    </row>
    <row r="345" spans="1:19" x14ac:dyDescent="0.35">
      <c r="A345" t="s">
        <v>23</v>
      </c>
      <c r="B345" t="s">
        <v>2179</v>
      </c>
      <c r="C345" t="s">
        <v>1982</v>
      </c>
      <c r="D345" t="s">
        <v>2074</v>
      </c>
      <c r="E345" s="2">
        <v>45817.619321805556</v>
      </c>
      <c r="F345" t="s">
        <v>2075</v>
      </c>
      <c r="G345" t="s">
        <v>2099</v>
      </c>
      <c r="H345" t="s">
        <v>2083</v>
      </c>
      <c r="I345" t="s">
        <v>2180</v>
      </c>
      <c r="J345" t="s">
        <v>30</v>
      </c>
      <c r="K345" t="s">
        <v>70</v>
      </c>
      <c r="L345" t="s">
        <v>26</v>
      </c>
      <c r="M345" t="s">
        <v>28</v>
      </c>
      <c r="N345">
        <v>49</v>
      </c>
      <c r="O345" s="2">
        <v>45721.76121527778</v>
      </c>
      <c r="P345" s="2">
        <v>45912.166666666664</v>
      </c>
      <c r="Q345" t="s">
        <v>32</v>
      </c>
      <c r="R345" t="s">
        <v>25</v>
      </c>
      <c r="S345" t="s">
        <v>33</v>
      </c>
    </row>
    <row r="346" spans="1:19" x14ac:dyDescent="0.35">
      <c r="A346" t="s">
        <v>23</v>
      </c>
      <c r="B346" t="s">
        <v>2179</v>
      </c>
      <c r="C346" t="s">
        <v>1982</v>
      </c>
      <c r="D346" t="s">
        <v>2074</v>
      </c>
      <c r="E346" s="2">
        <v>45817.619525555558</v>
      </c>
      <c r="F346" t="s">
        <v>2075</v>
      </c>
      <c r="G346" t="s">
        <v>2092</v>
      </c>
      <c r="H346" t="s">
        <v>2083</v>
      </c>
      <c r="I346" t="s">
        <v>2180</v>
      </c>
      <c r="J346" t="s">
        <v>30</v>
      </c>
      <c r="K346" t="s">
        <v>70</v>
      </c>
      <c r="L346" t="s">
        <v>26</v>
      </c>
      <c r="M346" t="s">
        <v>28</v>
      </c>
      <c r="N346">
        <v>49</v>
      </c>
      <c r="O346" s="2">
        <v>45721.76121527778</v>
      </c>
      <c r="P346" s="2">
        <v>45912.166666666664</v>
      </c>
      <c r="Q346" t="s">
        <v>32</v>
      </c>
      <c r="R346" t="s">
        <v>25</v>
      </c>
      <c r="S346" t="s">
        <v>33</v>
      </c>
    </row>
    <row r="347" spans="1:19" x14ac:dyDescent="0.35">
      <c r="A347" t="s">
        <v>23</v>
      </c>
      <c r="B347" t="s">
        <v>2179</v>
      </c>
      <c r="C347" t="s">
        <v>1982</v>
      </c>
      <c r="D347" t="s">
        <v>2074</v>
      </c>
      <c r="E347" s="2">
        <v>45817.619687025464</v>
      </c>
      <c r="F347" t="s">
        <v>2075</v>
      </c>
      <c r="G347" t="s">
        <v>2092</v>
      </c>
      <c r="H347" t="s">
        <v>2083</v>
      </c>
      <c r="I347" t="s">
        <v>2180</v>
      </c>
      <c r="J347" t="s">
        <v>30</v>
      </c>
      <c r="K347" t="s">
        <v>70</v>
      </c>
      <c r="L347" t="s">
        <v>26</v>
      </c>
      <c r="M347" t="s">
        <v>28</v>
      </c>
      <c r="N347">
        <v>49</v>
      </c>
      <c r="O347" s="2">
        <v>45721.76121527778</v>
      </c>
      <c r="P347" s="2">
        <v>45912.166666666664</v>
      </c>
      <c r="Q347" t="s">
        <v>32</v>
      </c>
      <c r="R347" t="s">
        <v>25</v>
      </c>
      <c r="S347" t="s">
        <v>33</v>
      </c>
    </row>
    <row r="348" spans="1:19" x14ac:dyDescent="0.35">
      <c r="A348" t="s">
        <v>23</v>
      </c>
      <c r="B348" t="s">
        <v>1375</v>
      </c>
      <c r="C348" t="s">
        <v>1989</v>
      </c>
      <c r="D348" t="s">
        <v>2119</v>
      </c>
      <c r="E348" s="2">
        <v>45755.736143530092</v>
      </c>
      <c r="F348" t="s">
        <v>2080</v>
      </c>
      <c r="G348" t="s">
        <v>2081</v>
      </c>
      <c r="H348" t="s">
        <v>2077</v>
      </c>
      <c r="I348" t="s">
        <v>1376</v>
      </c>
      <c r="J348" t="s">
        <v>30</v>
      </c>
      <c r="K348" t="s">
        <v>70</v>
      </c>
      <c r="L348" t="s">
        <v>44</v>
      </c>
      <c r="M348" t="s">
        <v>28</v>
      </c>
      <c r="O348" s="2">
        <v>45726.713263888887</v>
      </c>
      <c r="P348" s="2">
        <v>45756.166666666664</v>
      </c>
      <c r="Q348" t="s">
        <v>38</v>
      </c>
      <c r="R348" t="s">
        <v>36</v>
      </c>
      <c r="S348" t="s">
        <v>33</v>
      </c>
    </row>
    <row r="349" spans="1:19" x14ac:dyDescent="0.35">
      <c r="A349" t="s">
        <v>23</v>
      </c>
      <c r="B349" t="s">
        <v>1383</v>
      </c>
      <c r="C349" t="s">
        <v>1989</v>
      </c>
      <c r="D349" t="s">
        <v>2171</v>
      </c>
      <c r="E349" s="2">
        <v>45775.61942909722</v>
      </c>
      <c r="F349" t="s">
        <v>2085</v>
      </c>
      <c r="G349" t="s">
        <v>2086</v>
      </c>
      <c r="H349" t="s">
        <v>2077</v>
      </c>
      <c r="I349" t="s">
        <v>1384</v>
      </c>
      <c r="J349" t="s">
        <v>30</v>
      </c>
      <c r="K349" t="s">
        <v>31</v>
      </c>
      <c r="L349" t="s">
        <v>44</v>
      </c>
      <c r="M349" t="s">
        <v>28</v>
      </c>
      <c r="O349" s="2">
        <v>45726.794340277775</v>
      </c>
      <c r="P349" s="2">
        <v>45807.166666666664</v>
      </c>
      <c r="Q349" t="s">
        <v>38</v>
      </c>
      <c r="R349" t="s">
        <v>36</v>
      </c>
      <c r="S349" t="s">
        <v>81</v>
      </c>
    </row>
    <row r="350" spans="1:19" x14ac:dyDescent="0.35">
      <c r="A350" t="s">
        <v>23</v>
      </c>
      <c r="B350" t="s">
        <v>1002</v>
      </c>
      <c r="C350" t="s">
        <v>1989</v>
      </c>
      <c r="D350" t="s">
        <v>2087</v>
      </c>
      <c r="E350" s="2">
        <v>45748.77468855324</v>
      </c>
      <c r="F350" t="s">
        <v>2078</v>
      </c>
      <c r="G350" t="s">
        <v>2173</v>
      </c>
      <c r="H350" t="s">
        <v>2077</v>
      </c>
      <c r="I350" t="s">
        <v>1003</v>
      </c>
      <c r="J350" t="s">
        <v>30</v>
      </c>
      <c r="K350" t="s">
        <v>70</v>
      </c>
      <c r="L350" t="s">
        <v>44</v>
      </c>
      <c r="M350" t="s">
        <v>28</v>
      </c>
      <c r="N350">
        <v>26</v>
      </c>
      <c r="O350" s="2">
        <v>45727.550324074073</v>
      </c>
      <c r="P350" s="2">
        <v>45751.166666666664</v>
      </c>
      <c r="Q350" t="s">
        <v>38</v>
      </c>
      <c r="R350" t="s">
        <v>36</v>
      </c>
      <c r="S350" t="s">
        <v>33</v>
      </c>
    </row>
    <row r="351" spans="1:19" x14ac:dyDescent="0.35">
      <c r="A351" t="s">
        <v>23</v>
      </c>
      <c r="B351" t="s">
        <v>1002</v>
      </c>
      <c r="C351" t="s">
        <v>1989</v>
      </c>
      <c r="D351" t="s">
        <v>2087</v>
      </c>
      <c r="E351" s="2">
        <v>45748.775484143516</v>
      </c>
      <c r="F351" t="s">
        <v>2085</v>
      </c>
      <c r="G351" t="s">
        <v>2086</v>
      </c>
      <c r="H351" t="s">
        <v>2077</v>
      </c>
      <c r="I351" t="s">
        <v>1003</v>
      </c>
      <c r="J351" t="s">
        <v>30</v>
      </c>
      <c r="K351" t="s">
        <v>70</v>
      </c>
      <c r="L351" t="s">
        <v>44</v>
      </c>
      <c r="M351" t="s">
        <v>28</v>
      </c>
      <c r="N351">
        <v>26</v>
      </c>
      <c r="O351" s="2">
        <v>45727.550324074073</v>
      </c>
      <c r="P351" s="2">
        <v>45751.166666666664</v>
      </c>
      <c r="Q351" t="s">
        <v>38</v>
      </c>
      <c r="R351" t="s">
        <v>36</v>
      </c>
      <c r="S351" t="s">
        <v>33</v>
      </c>
    </row>
    <row r="352" spans="1:19" x14ac:dyDescent="0.35">
      <c r="A352" t="s">
        <v>23</v>
      </c>
      <c r="B352" t="s">
        <v>1002</v>
      </c>
      <c r="C352" t="s">
        <v>1989</v>
      </c>
      <c r="D352" t="s">
        <v>2087</v>
      </c>
      <c r="E352" s="2">
        <v>45748.777025995369</v>
      </c>
      <c r="F352" t="s">
        <v>2085</v>
      </c>
      <c r="G352" t="s">
        <v>2086</v>
      </c>
      <c r="H352" t="s">
        <v>2077</v>
      </c>
      <c r="I352" t="s">
        <v>1003</v>
      </c>
      <c r="J352" t="s">
        <v>30</v>
      </c>
      <c r="K352" t="s">
        <v>70</v>
      </c>
      <c r="L352" t="s">
        <v>44</v>
      </c>
      <c r="M352" t="s">
        <v>28</v>
      </c>
      <c r="N352">
        <v>26</v>
      </c>
      <c r="O352" s="2">
        <v>45727.550324074073</v>
      </c>
      <c r="P352" s="2">
        <v>45751.166666666664</v>
      </c>
      <c r="Q352" t="s">
        <v>38</v>
      </c>
      <c r="R352" t="s">
        <v>36</v>
      </c>
      <c r="S352" t="s">
        <v>33</v>
      </c>
    </row>
    <row r="353" spans="1:19" x14ac:dyDescent="0.35">
      <c r="A353" t="s">
        <v>23</v>
      </c>
      <c r="B353" t="s">
        <v>849</v>
      </c>
      <c r="C353" t="s">
        <v>1989</v>
      </c>
      <c r="D353" t="s">
        <v>2087</v>
      </c>
      <c r="E353" s="2">
        <v>45761.609999479166</v>
      </c>
      <c r="F353" t="s">
        <v>2075</v>
      </c>
      <c r="G353" t="s">
        <v>2076</v>
      </c>
      <c r="H353" t="s">
        <v>2077</v>
      </c>
      <c r="I353" t="s">
        <v>850</v>
      </c>
      <c r="J353" t="s">
        <v>30</v>
      </c>
      <c r="K353" t="s">
        <v>31</v>
      </c>
      <c r="L353" t="s">
        <v>44</v>
      </c>
      <c r="M353" t="s">
        <v>28</v>
      </c>
      <c r="N353">
        <v>16</v>
      </c>
      <c r="O353" s="2">
        <v>45728.59778935185</v>
      </c>
      <c r="P353" s="2">
        <v>45764.166666666664</v>
      </c>
      <c r="Q353" t="s">
        <v>38</v>
      </c>
      <c r="R353" t="s">
        <v>54</v>
      </c>
      <c r="S353" t="s">
        <v>33</v>
      </c>
    </row>
    <row r="354" spans="1:19" x14ac:dyDescent="0.35">
      <c r="A354" t="s">
        <v>23</v>
      </c>
      <c r="B354" t="s">
        <v>823</v>
      </c>
      <c r="C354" t="s">
        <v>1988</v>
      </c>
      <c r="D354" t="s">
        <v>2181</v>
      </c>
      <c r="E354" s="2">
        <v>45799.835839918982</v>
      </c>
      <c r="F354" t="s">
        <v>2085</v>
      </c>
      <c r="G354" t="s">
        <v>2101</v>
      </c>
      <c r="H354" t="s">
        <v>2083</v>
      </c>
      <c r="I354" t="s">
        <v>824</v>
      </c>
      <c r="J354" t="s">
        <v>30</v>
      </c>
      <c r="K354" t="s">
        <v>31</v>
      </c>
      <c r="L354" t="s">
        <v>44</v>
      </c>
      <c r="M354" t="s">
        <v>28</v>
      </c>
      <c r="N354">
        <v>15</v>
      </c>
      <c r="O354" s="2">
        <v>45729.442997685182</v>
      </c>
      <c r="P354" s="2">
        <v>45833.166666666664</v>
      </c>
      <c r="Q354" t="s">
        <v>32</v>
      </c>
      <c r="R354" t="s">
        <v>135</v>
      </c>
      <c r="S354" t="s">
        <v>81</v>
      </c>
    </row>
    <row r="355" spans="1:19" x14ac:dyDescent="0.35">
      <c r="A355" t="s">
        <v>23</v>
      </c>
      <c r="B355" t="s">
        <v>160</v>
      </c>
      <c r="C355" t="s">
        <v>1989</v>
      </c>
      <c r="D355" t="s">
        <v>2087</v>
      </c>
      <c r="E355" s="2">
        <v>45735.719691493054</v>
      </c>
      <c r="F355" t="s">
        <v>2080</v>
      </c>
      <c r="G355" t="s">
        <v>2081</v>
      </c>
      <c r="H355" t="s">
        <v>2077</v>
      </c>
      <c r="I355" t="s">
        <v>161</v>
      </c>
      <c r="J355" t="s">
        <v>30</v>
      </c>
      <c r="K355" t="s">
        <v>31</v>
      </c>
      <c r="L355" t="s">
        <v>44</v>
      </c>
      <c r="M355" t="s">
        <v>46</v>
      </c>
      <c r="O355" s="2">
        <v>45731.510949074072</v>
      </c>
      <c r="P355" s="2">
        <v>45737.166666666664</v>
      </c>
      <c r="Q355" t="s">
        <v>48</v>
      </c>
      <c r="R355" t="s">
        <v>36</v>
      </c>
      <c r="S355" t="s">
        <v>33</v>
      </c>
    </row>
    <row r="356" spans="1:19" x14ac:dyDescent="0.35">
      <c r="A356" t="s">
        <v>23</v>
      </c>
      <c r="B356" t="s">
        <v>2182</v>
      </c>
      <c r="C356" t="s">
        <v>1982</v>
      </c>
      <c r="D356" t="s">
        <v>2090</v>
      </c>
      <c r="E356" s="2">
        <v>45826.861773865741</v>
      </c>
      <c r="F356" t="s">
        <v>2088</v>
      </c>
      <c r="G356" t="s">
        <v>2134</v>
      </c>
      <c r="H356" t="s">
        <v>2083</v>
      </c>
      <c r="I356" t="s">
        <v>2183</v>
      </c>
      <c r="J356" t="s">
        <v>30</v>
      </c>
      <c r="K356" t="s">
        <v>31</v>
      </c>
      <c r="L356" t="s">
        <v>26</v>
      </c>
      <c r="M356" t="s">
        <v>28</v>
      </c>
      <c r="N356">
        <v>14</v>
      </c>
      <c r="O356" s="2">
        <v>45733.649386574078</v>
      </c>
      <c r="P356" s="2">
        <v>45897.166666666664</v>
      </c>
      <c r="Q356" t="s">
        <v>32</v>
      </c>
      <c r="R356" t="s">
        <v>25</v>
      </c>
      <c r="S356" t="s">
        <v>33</v>
      </c>
    </row>
    <row r="357" spans="1:19" x14ac:dyDescent="0.35">
      <c r="A357" t="s">
        <v>23</v>
      </c>
      <c r="B357" t="s">
        <v>2182</v>
      </c>
      <c r="C357" t="s">
        <v>1982</v>
      </c>
      <c r="D357" t="s">
        <v>2090</v>
      </c>
      <c r="E357" s="2">
        <v>45834.729080555553</v>
      </c>
      <c r="F357" t="s">
        <v>2088</v>
      </c>
      <c r="G357" t="s">
        <v>2134</v>
      </c>
      <c r="H357" t="s">
        <v>2077</v>
      </c>
      <c r="I357" t="s">
        <v>2183</v>
      </c>
      <c r="J357" t="s">
        <v>30</v>
      </c>
      <c r="K357" t="s">
        <v>31</v>
      </c>
      <c r="L357" t="s">
        <v>26</v>
      </c>
      <c r="M357" t="s">
        <v>28</v>
      </c>
      <c r="N357">
        <v>14</v>
      </c>
      <c r="O357" s="2">
        <v>45733.649386574078</v>
      </c>
      <c r="P357" s="2">
        <v>45897.166666666664</v>
      </c>
      <c r="Q357" t="s">
        <v>32</v>
      </c>
      <c r="R357" t="s">
        <v>25</v>
      </c>
      <c r="S357" t="s">
        <v>33</v>
      </c>
    </row>
    <row r="358" spans="1:19" x14ac:dyDescent="0.35">
      <c r="A358" t="s">
        <v>23</v>
      </c>
      <c r="B358" t="s">
        <v>2184</v>
      </c>
      <c r="C358" t="s">
        <v>1988</v>
      </c>
      <c r="D358" t="s">
        <v>1930</v>
      </c>
      <c r="E358" s="2">
        <v>45771.749809606481</v>
      </c>
      <c r="F358" t="s">
        <v>2078</v>
      </c>
      <c r="G358" t="s">
        <v>2108</v>
      </c>
      <c r="H358" t="s">
        <v>2077</v>
      </c>
      <c r="I358" t="s">
        <v>2185</v>
      </c>
      <c r="J358" t="s">
        <v>30</v>
      </c>
      <c r="K358" t="s">
        <v>70</v>
      </c>
      <c r="L358" t="s">
        <v>26</v>
      </c>
      <c r="M358" t="s">
        <v>28</v>
      </c>
      <c r="N358">
        <v>13</v>
      </c>
      <c r="O358" s="2">
        <v>45734.825231481482</v>
      </c>
      <c r="P358" s="2">
        <v>45891.166666666664</v>
      </c>
      <c r="Q358" t="s">
        <v>48</v>
      </c>
      <c r="R358" t="s">
        <v>36</v>
      </c>
      <c r="S358" t="s">
        <v>33</v>
      </c>
    </row>
    <row r="359" spans="1:19" x14ac:dyDescent="0.35">
      <c r="A359" t="s">
        <v>23</v>
      </c>
      <c r="B359" t="s">
        <v>2184</v>
      </c>
      <c r="C359" t="s">
        <v>1988</v>
      </c>
      <c r="D359" t="s">
        <v>1930</v>
      </c>
      <c r="E359" s="2">
        <v>45771.750937546298</v>
      </c>
      <c r="F359" t="s">
        <v>2080</v>
      </c>
      <c r="G359" t="s">
        <v>2094</v>
      </c>
      <c r="H359" t="s">
        <v>2077</v>
      </c>
      <c r="I359" t="s">
        <v>2185</v>
      </c>
      <c r="J359" t="s">
        <v>30</v>
      </c>
      <c r="K359" t="s">
        <v>70</v>
      </c>
      <c r="L359" t="s">
        <v>26</v>
      </c>
      <c r="M359" t="s">
        <v>28</v>
      </c>
      <c r="N359">
        <v>13</v>
      </c>
      <c r="O359" s="2">
        <v>45734.825231481482</v>
      </c>
      <c r="P359" s="2">
        <v>45891.166666666664</v>
      </c>
      <c r="Q359" t="s">
        <v>48</v>
      </c>
      <c r="R359" t="s">
        <v>36</v>
      </c>
      <c r="S359" t="s">
        <v>33</v>
      </c>
    </row>
    <row r="360" spans="1:19" x14ac:dyDescent="0.35">
      <c r="A360" t="s">
        <v>23</v>
      </c>
      <c r="B360" t="s">
        <v>2184</v>
      </c>
      <c r="C360" t="s">
        <v>1988</v>
      </c>
      <c r="D360" t="s">
        <v>1930</v>
      </c>
      <c r="E360" s="2">
        <v>45771.752331886571</v>
      </c>
      <c r="F360" t="s">
        <v>2075</v>
      </c>
      <c r="G360" t="s">
        <v>2105</v>
      </c>
      <c r="H360" t="s">
        <v>2077</v>
      </c>
      <c r="I360" t="s">
        <v>2185</v>
      </c>
      <c r="J360" t="s">
        <v>30</v>
      </c>
      <c r="K360" t="s">
        <v>70</v>
      </c>
      <c r="L360" t="s">
        <v>26</v>
      </c>
      <c r="M360" t="s">
        <v>28</v>
      </c>
      <c r="N360">
        <v>13</v>
      </c>
      <c r="O360" s="2">
        <v>45734.825231481482</v>
      </c>
      <c r="P360" s="2">
        <v>45891.166666666664</v>
      </c>
      <c r="Q360" t="s">
        <v>48</v>
      </c>
      <c r="R360" t="s">
        <v>36</v>
      </c>
      <c r="S360" t="s">
        <v>33</v>
      </c>
    </row>
    <row r="361" spans="1:19" x14ac:dyDescent="0.35">
      <c r="A361" t="s">
        <v>23</v>
      </c>
      <c r="B361" t="s">
        <v>2184</v>
      </c>
      <c r="C361" t="s">
        <v>1988</v>
      </c>
      <c r="D361" t="s">
        <v>1930</v>
      </c>
      <c r="E361" s="2">
        <v>45771.753412615741</v>
      </c>
      <c r="F361" t="s">
        <v>2085</v>
      </c>
      <c r="G361" t="s">
        <v>2086</v>
      </c>
      <c r="H361" t="s">
        <v>2077</v>
      </c>
      <c r="I361" t="s">
        <v>2185</v>
      </c>
      <c r="J361" t="s">
        <v>30</v>
      </c>
      <c r="K361" t="s">
        <v>70</v>
      </c>
      <c r="L361" t="s">
        <v>26</v>
      </c>
      <c r="M361" t="s">
        <v>28</v>
      </c>
      <c r="N361">
        <v>13</v>
      </c>
      <c r="O361" s="2">
        <v>45734.825231481482</v>
      </c>
      <c r="P361" s="2">
        <v>45891.166666666664</v>
      </c>
      <c r="Q361" t="s">
        <v>48</v>
      </c>
      <c r="R361" t="s">
        <v>36</v>
      </c>
      <c r="S361" t="s">
        <v>33</v>
      </c>
    </row>
    <row r="362" spans="1:19" x14ac:dyDescent="0.35">
      <c r="A362" t="s">
        <v>23</v>
      </c>
      <c r="B362" t="s">
        <v>2294</v>
      </c>
      <c r="C362" t="s">
        <v>1982</v>
      </c>
      <c r="D362" t="s">
        <v>2090</v>
      </c>
      <c r="E362" s="2">
        <v>45867.851488668981</v>
      </c>
      <c r="F362" t="s">
        <v>2088</v>
      </c>
      <c r="G362" t="s">
        <v>2134</v>
      </c>
      <c r="H362" t="s">
        <v>2077</v>
      </c>
      <c r="I362" t="s">
        <v>2295</v>
      </c>
      <c r="J362" t="s">
        <v>30</v>
      </c>
      <c r="K362" t="s">
        <v>31</v>
      </c>
      <c r="L362" t="s">
        <v>26</v>
      </c>
      <c r="M362" t="s">
        <v>28</v>
      </c>
      <c r="N362">
        <v>29</v>
      </c>
      <c r="O362" s="2">
        <v>45737.740335648145</v>
      </c>
      <c r="P362" s="2">
        <v>45966.208333333336</v>
      </c>
      <c r="Q362" t="s">
        <v>38</v>
      </c>
      <c r="R362" t="s">
        <v>76</v>
      </c>
      <c r="S362" t="s">
        <v>33</v>
      </c>
    </row>
    <row r="363" spans="1:19" x14ac:dyDescent="0.35">
      <c r="A363" t="s">
        <v>23</v>
      </c>
      <c r="B363" t="s">
        <v>2296</v>
      </c>
      <c r="C363" t="s">
        <v>1988</v>
      </c>
      <c r="D363" t="s">
        <v>2098</v>
      </c>
      <c r="E363" s="2">
        <v>45862.86023741898</v>
      </c>
      <c r="F363" t="s">
        <v>2078</v>
      </c>
      <c r="G363" t="s">
        <v>2079</v>
      </c>
      <c r="H363" t="s">
        <v>2077</v>
      </c>
      <c r="I363" t="s">
        <v>2297</v>
      </c>
      <c r="J363" t="s">
        <v>30</v>
      </c>
      <c r="K363" t="s">
        <v>31</v>
      </c>
      <c r="L363" t="s">
        <v>26</v>
      </c>
      <c r="M363" t="s">
        <v>28</v>
      </c>
      <c r="N363">
        <v>28</v>
      </c>
      <c r="O363" s="2">
        <v>45741.595706018517</v>
      </c>
      <c r="P363" s="2">
        <v>45877.166666666664</v>
      </c>
      <c r="Q363" t="s">
        <v>38</v>
      </c>
      <c r="R363" t="s">
        <v>54</v>
      </c>
      <c r="S363" t="s">
        <v>33</v>
      </c>
    </row>
    <row r="364" spans="1:19" x14ac:dyDescent="0.35">
      <c r="A364" t="s">
        <v>23</v>
      </c>
      <c r="B364" t="s">
        <v>2296</v>
      </c>
      <c r="C364" t="s">
        <v>1988</v>
      </c>
      <c r="D364" t="s">
        <v>2098</v>
      </c>
      <c r="E364" s="2">
        <v>45862.861708425924</v>
      </c>
      <c r="F364" t="s">
        <v>2075</v>
      </c>
      <c r="G364" t="s">
        <v>2105</v>
      </c>
      <c r="H364" t="s">
        <v>2077</v>
      </c>
      <c r="I364" t="s">
        <v>2297</v>
      </c>
      <c r="J364" t="s">
        <v>30</v>
      </c>
      <c r="K364" t="s">
        <v>31</v>
      </c>
      <c r="L364" t="s">
        <v>26</v>
      </c>
      <c r="M364" t="s">
        <v>28</v>
      </c>
      <c r="N364">
        <v>28</v>
      </c>
      <c r="O364" s="2">
        <v>45741.595706018517</v>
      </c>
      <c r="P364" s="2">
        <v>45877.166666666664</v>
      </c>
      <c r="Q364" t="s">
        <v>38</v>
      </c>
      <c r="R364" t="s">
        <v>54</v>
      </c>
      <c r="S364" t="s">
        <v>33</v>
      </c>
    </row>
    <row r="365" spans="1:19" x14ac:dyDescent="0.35">
      <c r="A365" t="s">
        <v>23</v>
      </c>
      <c r="B365" t="s">
        <v>2296</v>
      </c>
      <c r="C365" t="s">
        <v>1988</v>
      </c>
      <c r="D365" t="s">
        <v>2098</v>
      </c>
      <c r="E365" s="2">
        <v>45862.861972048609</v>
      </c>
      <c r="F365" t="s">
        <v>2075</v>
      </c>
      <c r="G365" t="s">
        <v>2099</v>
      </c>
      <c r="H365" t="s">
        <v>2077</v>
      </c>
      <c r="I365" t="s">
        <v>2297</v>
      </c>
      <c r="J365" t="s">
        <v>30</v>
      </c>
      <c r="K365" t="s">
        <v>31</v>
      </c>
      <c r="L365" t="s">
        <v>26</v>
      </c>
      <c r="M365" t="s">
        <v>28</v>
      </c>
      <c r="N365">
        <v>28</v>
      </c>
      <c r="O365" s="2">
        <v>45741.595706018517</v>
      </c>
      <c r="P365" s="2">
        <v>45877.166666666664</v>
      </c>
      <c r="Q365" t="s">
        <v>38</v>
      </c>
      <c r="R365" t="s">
        <v>54</v>
      </c>
      <c r="S365" t="s">
        <v>33</v>
      </c>
    </row>
    <row r="366" spans="1:19" x14ac:dyDescent="0.35">
      <c r="A366" t="s">
        <v>23</v>
      </c>
      <c r="B366" t="s">
        <v>2296</v>
      </c>
      <c r="C366" t="s">
        <v>1988</v>
      </c>
      <c r="D366" t="s">
        <v>2098</v>
      </c>
      <c r="E366" s="2">
        <v>45862.862451909721</v>
      </c>
      <c r="F366" t="s">
        <v>2075</v>
      </c>
      <c r="G366" t="s">
        <v>2092</v>
      </c>
      <c r="H366" t="s">
        <v>2077</v>
      </c>
      <c r="I366" t="s">
        <v>2297</v>
      </c>
      <c r="J366" t="s">
        <v>30</v>
      </c>
      <c r="K366" t="s">
        <v>31</v>
      </c>
      <c r="L366" t="s">
        <v>26</v>
      </c>
      <c r="M366" t="s">
        <v>28</v>
      </c>
      <c r="N366">
        <v>28</v>
      </c>
      <c r="O366" s="2">
        <v>45741.595706018517</v>
      </c>
      <c r="P366" s="2">
        <v>45877.166666666664</v>
      </c>
      <c r="Q366" t="s">
        <v>38</v>
      </c>
      <c r="R366" t="s">
        <v>54</v>
      </c>
      <c r="S366" t="s">
        <v>33</v>
      </c>
    </row>
    <row r="367" spans="1:19" x14ac:dyDescent="0.35">
      <c r="A367" t="s">
        <v>23</v>
      </c>
      <c r="B367" t="s">
        <v>2296</v>
      </c>
      <c r="C367" t="s">
        <v>1988</v>
      </c>
      <c r="D367" t="s">
        <v>2098</v>
      </c>
      <c r="E367" s="2">
        <v>45862.864102719905</v>
      </c>
      <c r="F367" t="s">
        <v>2080</v>
      </c>
      <c r="G367" t="s">
        <v>2100</v>
      </c>
      <c r="H367" t="s">
        <v>2077</v>
      </c>
      <c r="I367" t="s">
        <v>2297</v>
      </c>
      <c r="J367" t="s">
        <v>30</v>
      </c>
      <c r="K367" t="s">
        <v>31</v>
      </c>
      <c r="L367" t="s">
        <v>26</v>
      </c>
      <c r="M367" t="s">
        <v>28</v>
      </c>
      <c r="N367">
        <v>28</v>
      </c>
      <c r="O367" s="2">
        <v>45741.595706018517</v>
      </c>
      <c r="P367" s="2">
        <v>45877.166666666664</v>
      </c>
      <c r="Q367" t="s">
        <v>38</v>
      </c>
      <c r="R367" t="s">
        <v>54</v>
      </c>
      <c r="S367" t="s">
        <v>33</v>
      </c>
    </row>
    <row r="368" spans="1:19" x14ac:dyDescent="0.35">
      <c r="A368" t="s">
        <v>23</v>
      </c>
      <c r="B368" t="s">
        <v>2296</v>
      </c>
      <c r="C368" t="s">
        <v>1988</v>
      </c>
      <c r="D368" t="s">
        <v>2098</v>
      </c>
      <c r="E368" s="2">
        <v>45862.864352337965</v>
      </c>
      <c r="F368" t="s">
        <v>2080</v>
      </c>
      <c r="G368" t="s">
        <v>2081</v>
      </c>
      <c r="H368" t="s">
        <v>2077</v>
      </c>
      <c r="I368" t="s">
        <v>2297</v>
      </c>
      <c r="J368" t="s">
        <v>30</v>
      </c>
      <c r="K368" t="s">
        <v>31</v>
      </c>
      <c r="L368" t="s">
        <v>26</v>
      </c>
      <c r="M368" t="s">
        <v>28</v>
      </c>
      <c r="N368">
        <v>28</v>
      </c>
      <c r="O368" s="2">
        <v>45741.595706018517</v>
      </c>
      <c r="P368" s="2">
        <v>45877.166666666664</v>
      </c>
      <c r="Q368" t="s">
        <v>38</v>
      </c>
      <c r="R368" t="s">
        <v>54</v>
      </c>
      <c r="S368" t="s">
        <v>33</v>
      </c>
    </row>
    <row r="369" spans="1:19" x14ac:dyDescent="0.35">
      <c r="A369" t="s">
        <v>23</v>
      </c>
      <c r="B369" t="s">
        <v>2296</v>
      </c>
      <c r="C369" t="s">
        <v>1988</v>
      </c>
      <c r="D369" t="s">
        <v>2098</v>
      </c>
      <c r="E369" s="2">
        <v>45862.865524675923</v>
      </c>
      <c r="F369" t="s">
        <v>2080</v>
      </c>
      <c r="G369" t="s">
        <v>2094</v>
      </c>
      <c r="H369" t="s">
        <v>2077</v>
      </c>
      <c r="I369" t="s">
        <v>2297</v>
      </c>
      <c r="J369" t="s">
        <v>30</v>
      </c>
      <c r="K369" t="s">
        <v>31</v>
      </c>
      <c r="L369" t="s">
        <v>26</v>
      </c>
      <c r="M369" t="s">
        <v>28</v>
      </c>
      <c r="N369">
        <v>28</v>
      </c>
      <c r="O369" s="2">
        <v>45741.595706018517</v>
      </c>
      <c r="P369" s="2">
        <v>45877.166666666664</v>
      </c>
      <c r="Q369" t="s">
        <v>38</v>
      </c>
      <c r="R369" t="s">
        <v>54</v>
      </c>
      <c r="S369" t="s">
        <v>33</v>
      </c>
    </row>
    <row r="370" spans="1:19" x14ac:dyDescent="0.35">
      <c r="A370" t="s">
        <v>23</v>
      </c>
      <c r="B370" t="s">
        <v>2296</v>
      </c>
      <c r="C370" t="s">
        <v>1988</v>
      </c>
      <c r="D370" t="s">
        <v>2098</v>
      </c>
      <c r="E370" s="2">
        <v>45862.868175405092</v>
      </c>
      <c r="F370" t="s">
        <v>2085</v>
      </c>
      <c r="G370" t="s">
        <v>2086</v>
      </c>
      <c r="H370" t="s">
        <v>2077</v>
      </c>
      <c r="I370" t="s">
        <v>2297</v>
      </c>
      <c r="J370" t="s">
        <v>30</v>
      </c>
      <c r="K370" t="s">
        <v>31</v>
      </c>
      <c r="L370" t="s">
        <v>26</v>
      </c>
      <c r="M370" t="s">
        <v>28</v>
      </c>
      <c r="N370">
        <v>28</v>
      </c>
      <c r="O370" s="2">
        <v>45741.595706018517</v>
      </c>
      <c r="P370" s="2">
        <v>45877.166666666664</v>
      </c>
      <c r="Q370" t="s">
        <v>38</v>
      </c>
      <c r="R370" t="s">
        <v>54</v>
      </c>
      <c r="S370" t="s">
        <v>33</v>
      </c>
    </row>
    <row r="371" spans="1:19" x14ac:dyDescent="0.35">
      <c r="A371" t="s">
        <v>23</v>
      </c>
      <c r="B371" t="s">
        <v>2186</v>
      </c>
      <c r="C371" t="s">
        <v>1982</v>
      </c>
      <c r="D371" t="s">
        <v>2090</v>
      </c>
      <c r="E371" s="2">
        <v>45820.76934997685</v>
      </c>
      <c r="F371" t="s">
        <v>2088</v>
      </c>
      <c r="G371" t="s">
        <v>2134</v>
      </c>
      <c r="H371" t="s">
        <v>2077</v>
      </c>
      <c r="I371" t="s">
        <v>2187</v>
      </c>
      <c r="J371" t="s">
        <v>30</v>
      </c>
      <c r="K371" t="s">
        <v>31</v>
      </c>
      <c r="L371" t="s">
        <v>26</v>
      </c>
      <c r="M371" t="s">
        <v>28</v>
      </c>
      <c r="N371">
        <v>25</v>
      </c>
      <c r="O371" s="2">
        <v>45741.650578703702</v>
      </c>
      <c r="P371" s="2">
        <v>45904.166666666664</v>
      </c>
      <c r="Q371" t="s">
        <v>38</v>
      </c>
      <c r="R371" t="s">
        <v>76</v>
      </c>
      <c r="S371" t="s">
        <v>33</v>
      </c>
    </row>
    <row r="372" spans="1:19" x14ac:dyDescent="0.35">
      <c r="A372" t="s">
        <v>23</v>
      </c>
      <c r="B372" t="s">
        <v>2186</v>
      </c>
      <c r="C372" t="s">
        <v>1982</v>
      </c>
      <c r="D372" t="s">
        <v>2090</v>
      </c>
      <c r="E372" s="2">
        <v>45821.658434618053</v>
      </c>
      <c r="F372" t="s">
        <v>2088</v>
      </c>
      <c r="G372" t="s">
        <v>2091</v>
      </c>
      <c r="H372" t="s">
        <v>2077</v>
      </c>
      <c r="I372" t="s">
        <v>2187</v>
      </c>
      <c r="J372" t="s">
        <v>30</v>
      </c>
      <c r="K372" t="s">
        <v>31</v>
      </c>
      <c r="L372" t="s">
        <v>26</v>
      </c>
      <c r="M372" t="s">
        <v>28</v>
      </c>
      <c r="N372">
        <v>25</v>
      </c>
      <c r="O372" s="2">
        <v>45741.650578703702</v>
      </c>
      <c r="P372" s="2">
        <v>45904.166666666664</v>
      </c>
      <c r="Q372" t="s">
        <v>38</v>
      </c>
      <c r="R372" t="s">
        <v>76</v>
      </c>
      <c r="S372" t="s">
        <v>33</v>
      </c>
    </row>
    <row r="373" spans="1:19" x14ac:dyDescent="0.35">
      <c r="A373" t="s">
        <v>23</v>
      </c>
      <c r="B373" t="s">
        <v>2186</v>
      </c>
      <c r="C373" t="s">
        <v>1988</v>
      </c>
      <c r="D373" t="s">
        <v>2090</v>
      </c>
      <c r="E373" s="2">
        <v>45866.706485277777</v>
      </c>
      <c r="F373" t="s">
        <v>2075</v>
      </c>
      <c r="G373" t="s">
        <v>2099</v>
      </c>
      <c r="H373" t="s">
        <v>2077</v>
      </c>
      <c r="I373" t="s">
        <v>2187</v>
      </c>
      <c r="J373" t="s">
        <v>30</v>
      </c>
      <c r="K373" t="s">
        <v>31</v>
      </c>
      <c r="L373" t="s">
        <v>26</v>
      </c>
      <c r="M373" t="s">
        <v>28</v>
      </c>
      <c r="N373">
        <v>25</v>
      </c>
      <c r="O373" s="2">
        <v>45741.650578703702</v>
      </c>
      <c r="P373" s="2">
        <v>45904.166666666664</v>
      </c>
      <c r="Q373" t="s">
        <v>38</v>
      </c>
      <c r="R373" t="s">
        <v>76</v>
      </c>
      <c r="S373" t="s">
        <v>33</v>
      </c>
    </row>
    <row r="374" spans="1:19" x14ac:dyDescent="0.35">
      <c r="A374" t="s">
        <v>23</v>
      </c>
      <c r="B374" t="s">
        <v>571</v>
      </c>
      <c r="C374" t="s">
        <v>1989</v>
      </c>
      <c r="D374" t="s">
        <v>2087</v>
      </c>
      <c r="E374" s="2">
        <v>45798.793531655094</v>
      </c>
      <c r="F374" t="s">
        <v>2075</v>
      </c>
      <c r="G374" t="s">
        <v>2092</v>
      </c>
      <c r="H374" t="s">
        <v>2077</v>
      </c>
      <c r="I374" t="s">
        <v>572</v>
      </c>
      <c r="J374" t="s">
        <v>30</v>
      </c>
      <c r="K374" t="s">
        <v>31</v>
      </c>
      <c r="L374" t="s">
        <v>44</v>
      </c>
      <c r="M374" t="s">
        <v>28</v>
      </c>
      <c r="N374">
        <v>9</v>
      </c>
      <c r="O374" s="2">
        <v>45742.544537037036</v>
      </c>
      <c r="P374" s="2">
        <v>45805.166666666664</v>
      </c>
      <c r="Q374" t="s">
        <v>48</v>
      </c>
      <c r="R374" t="s">
        <v>36</v>
      </c>
      <c r="S374" t="s">
        <v>33</v>
      </c>
    </row>
    <row r="375" spans="1:19" x14ac:dyDescent="0.35">
      <c r="A375" t="s">
        <v>23</v>
      </c>
      <c r="B375" t="s">
        <v>571</v>
      </c>
      <c r="C375" t="s">
        <v>1989</v>
      </c>
      <c r="D375" t="s">
        <v>2087</v>
      </c>
      <c r="E375" s="2">
        <v>45798.793821585648</v>
      </c>
      <c r="F375" t="s">
        <v>2075</v>
      </c>
      <c r="G375" t="s">
        <v>2092</v>
      </c>
      <c r="H375" t="s">
        <v>2077</v>
      </c>
      <c r="I375" t="s">
        <v>572</v>
      </c>
      <c r="J375" t="s">
        <v>30</v>
      </c>
      <c r="K375" t="s">
        <v>31</v>
      </c>
      <c r="L375" t="s">
        <v>44</v>
      </c>
      <c r="M375" t="s">
        <v>28</v>
      </c>
      <c r="N375">
        <v>9</v>
      </c>
      <c r="O375" s="2">
        <v>45742.544537037036</v>
      </c>
      <c r="P375" s="2">
        <v>45805.166666666664</v>
      </c>
      <c r="Q375" t="s">
        <v>48</v>
      </c>
      <c r="R375" t="s">
        <v>36</v>
      </c>
      <c r="S375" t="s">
        <v>33</v>
      </c>
    </row>
    <row r="376" spans="1:19" x14ac:dyDescent="0.35">
      <c r="A376" t="s">
        <v>23</v>
      </c>
      <c r="B376" t="s">
        <v>571</v>
      </c>
      <c r="C376" t="s">
        <v>1989</v>
      </c>
      <c r="D376" t="s">
        <v>2087</v>
      </c>
      <c r="E376" s="2">
        <v>45798.794671527779</v>
      </c>
      <c r="F376" t="s">
        <v>2085</v>
      </c>
      <c r="G376" t="s">
        <v>2086</v>
      </c>
      <c r="H376" t="s">
        <v>2077</v>
      </c>
      <c r="I376" t="s">
        <v>572</v>
      </c>
      <c r="J376" t="s">
        <v>30</v>
      </c>
      <c r="K376" t="s">
        <v>31</v>
      </c>
      <c r="L376" t="s">
        <v>44</v>
      </c>
      <c r="M376" t="s">
        <v>28</v>
      </c>
      <c r="N376">
        <v>9</v>
      </c>
      <c r="O376" s="2">
        <v>45742.544537037036</v>
      </c>
      <c r="P376" s="2">
        <v>45805.166666666664</v>
      </c>
      <c r="Q376" t="s">
        <v>48</v>
      </c>
      <c r="R376" t="s">
        <v>36</v>
      </c>
      <c r="S376" t="s">
        <v>33</v>
      </c>
    </row>
    <row r="377" spans="1:19" x14ac:dyDescent="0.35">
      <c r="A377" t="s">
        <v>23</v>
      </c>
      <c r="B377" t="s">
        <v>769</v>
      </c>
      <c r="C377" t="s">
        <v>1988</v>
      </c>
      <c r="D377" t="s">
        <v>2098</v>
      </c>
      <c r="E377" s="2">
        <v>45848.869108125</v>
      </c>
      <c r="F377" t="s">
        <v>2078</v>
      </c>
      <c r="G377" t="s">
        <v>2108</v>
      </c>
      <c r="H377" t="s">
        <v>2077</v>
      </c>
      <c r="I377" t="s">
        <v>770</v>
      </c>
      <c r="J377" t="s">
        <v>30</v>
      </c>
      <c r="K377" t="s">
        <v>31</v>
      </c>
      <c r="L377" t="s">
        <v>44</v>
      </c>
      <c r="M377" t="s">
        <v>28</v>
      </c>
      <c r="N377">
        <v>13</v>
      </c>
      <c r="O377" s="2">
        <v>45743.558576388888</v>
      </c>
      <c r="P377" s="2">
        <v>45863.166666666664</v>
      </c>
      <c r="Q377" t="s">
        <v>38</v>
      </c>
      <c r="R377" t="s">
        <v>54</v>
      </c>
      <c r="S377" t="s">
        <v>33</v>
      </c>
    </row>
    <row r="378" spans="1:19" x14ac:dyDescent="0.35">
      <c r="A378" t="s">
        <v>23</v>
      </c>
      <c r="B378" t="s">
        <v>769</v>
      </c>
      <c r="C378" t="s">
        <v>1988</v>
      </c>
      <c r="D378" t="s">
        <v>2098</v>
      </c>
      <c r="E378" s="2">
        <v>45848.869673576388</v>
      </c>
      <c r="F378" t="s">
        <v>2075</v>
      </c>
      <c r="G378" t="s">
        <v>2105</v>
      </c>
      <c r="H378" t="s">
        <v>2077</v>
      </c>
      <c r="I378" t="s">
        <v>770</v>
      </c>
      <c r="J378" t="s">
        <v>30</v>
      </c>
      <c r="K378" t="s">
        <v>31</v>
      </c>
      <c r="L378" t="s">
        <v>44</v>
      </c>
      <c r="M378" t="s">
        <v>28</v>
      </c>
      <c r="N378">
        <v>13</v>
      </c>
      <c r="O378" s="2">
        <v>45743.558576388888</v>
      </c>
      <c r="P378" s="2">
        <v>45863.166666666664</v>
      </c>
      <c r="Q378" t="s">
        <v>38</v>
      </c>
      <c r="R378" t="s">
        <v>54</v>
      </c>
      <c r="S378" t="s">
        <v>33</v>
      </c>
    </row>
    <row r="379" spans="1:19" x14ac:dyDescent="0.35">
      <c r="A379" t="s">
        <v>23</v>
      </c>
      <c r="B379" t="s">
        <v>769</v>
      </c>
      <c r="C379" t="s">
        <v>1988</v>
      </c>
      <c r="D379" t="s">
        <v>2098</v>
      </c>
      <c r="E379" s="2">
        <v>45848.86998841435</v>
      </c>
      <c r="F379" t="s">
        <v>2075</v>
      </c>
      <c r="G379" t="s">
        <v>2099</v>
      </c>
      <c r="H379" t="s">
        <v>2077</v>
      </c>
      <c r="I379" t="s">
        <v>770</v>
      </c>
      <c r="J379" t="s">
        <v>30</v>
      </c>
      <c r="K379" t="s">
        <v>31</v>
      </c>
      <c r="L379" t="s">
        <v>44</v>
      </c>
      <c r="M379" t="s">
        <v>28</v>
      </c>
      <c r="N379">
        <v>13</v>
      </c>
      <c r="O379" s="2">
        <v>45743.558576388888</v>
      </c>
      <c r="P379" s="2">
        <v>45863.166666666664</v>
      </c>
      <c r="Q379" t="s">
        <v>38</v>
      </c>
      <c r="R379" t="s">
        <v>54</v>
      </c>
      <c r="S379" t="s">
        <v>33</v>
      </c>
    </row>
    <row r="380" spans="1:19" x14ac:dyDescent="0.35">
      <c r="A380" t="s">
        <v>23</v>
      </c>
      <c r="B380" t="s">
        <v>769</v>
      </c>
      <c r="C380" t="s">
        <v>1988</v>
      </c>
      <c r="D380" t="s">
        <v>2098</v>
      </c>
      <c r="E380" s="2">
        <v>45848.870279768518</v>
      </c>
      <c r="F380" t="s">
        <v>2075</v>
      </c>
      <c r="G380" t="s">
        <v>2092</v>
      </c>
      <c r="H380" t="s">
        <v>2077</v>
      </c>
      <c r="I380" t="s">
        <v>770</v>
      </c>
      <c r="J380" t="s">
        <v>30</v>
      </c>
      <c r="K380" t="s">
        <v>31</v>
      </c>
      <c r="L380" t="s">
        <v>44</v>
      </c>
      <c r="M380" t="s">
        <v>28</v>
      </c>
      <c r="N380">
        <v>13</v>
      </c>
      <c r="O380" s="2">
        <v>45743.558576388888</v>
      </c>
      <c r="P380" s="2">
        <v>45863.166666666664</v>
      </c>
      <c r="Q380" t="s">
        <v>38</v>
      </c>
      <c r="R380" t="s">
        <v>54</v>
      </c>
      <c r="S380" t="s">
        <v>33</v>
      </c>
    </row>
    <row r="381" spans="1:19" x14ac:dyDescent="0.35">
      <c r="A381" t="s">
        <v>23</v>
      </c>
      <c r="B381" t="s">
        <v>769</v>
      </c>
      <c r="C381" t="s">
        <v>1988</v>
      </c>
      <c r="D381" t="s">
        <v>2098</v>
      </c>
      <c r="E381" s="2">
        <v>45848.870702534725</v>
      </c>
      <c r="F381" t="s">
        <v>2080</v>
      </c>
      <c r="G381" t="s">
        <v>2081</v>
      </c>
      <c r="H381" t="s">
        <v>2077</v>
      </c>
      <c r="I381" t="s">
        <v>770</v>
      </c>
      <c r="J381" t="s">
        <v>30</v>
      </c>
      <c r="K381" t="s">
        <v>31</v>
      </c>
      <c r="L381" t="s">
        <v>44</v>
      </c>
      <c r="M381" t="s">
        <v>28</v>
      </c>
      <c r="N381">
        <v>13</v>
      </c>
      <c r="O381" s="2">
        <v>45743.558576388888</v>
      </c>
      <c r="P381" s="2">
        <v>45863.166666666664</v>
      </c>
      <c r="Q381" t="s">
        <v>38</v>
      </c>
      <c r="R381" t="s">
        <v>54</v>
      </c>
      <c r="S381" t="s">
        <v>33</v>
      </c>
    </row>
    <row r="382" spans="1:19" x14ac:dyDescent="0.35">
      <c r="A382" t="s">
        <v>23</v>
      </c>
      <c r="B382" t="s">
        <v>769</v>
      </c>
      <c r="C382" t="s">
        <v>1988</v>
      </c>
      <c r="D382" t="s">
        <v>2098</v>
      </c>
      <c r="E382" s="2">
        <v>45848.870976041668</v>
      </c>
      <c r="F382" t="s">
        <v>2080</v>
      </c>
      <c r="G382" t="s">
        <v>2094</v>
      </c>
      <c r="H382" t="s">
        <v>2077</v>
      </c>
      <c r="I382" t="s">
        <v>770</v>
      </c>
      <c r="J382" t="s">
        <v>30</v>
      </c>
      <c r="K382" t="s">
        <v>31</v>
      </c>
      <c r="L382" t="s">
        <v>44</v>
      </c>
      <c r="M382" t="s">
        <v>28</v>
      </c>
      <c r="N382">
        <v>13</v>
      </c>
      <c r="O382" s="2">
        <v>45743.558576388888</v>
      </c>
      <c r="P382" s="2">
        <v>45863.166666666664</v>
      </c>
      <c r="Q382" t="s">
        <v>38</v>
      </c>
      <c r="R382" t="s">
        <v>54</v>
      </c>
      <c r="S382" t="s">
        <v>33</v>
      </c>
    </row>
    <row r="383" spans="1:19" x14ac:dyDescent="0.35">
      <c r="A383" t="s">
        <v>23</v>
      </c>
      <c r="B383" t="s">
        <v>769</v>
      </c>
      <c r="C383" t="s">
        <v>1988</v>
      </c>
      <c r="D383" t="s">
        <v>2098</v>
      </c>
      <c r="E383" s="2">
        <v>45848.871511122685</v>
      </c>
      <c r="F383" t="s">
        <v>2085</v>
      </c>
      <c r="G383" t="s">
        <v>2086</v>
      </c>
      <c r="H383" t="s">
        <v>2077</v>
      </c>
      <c r="I383" t="s">
        <v>770</v>
      </c>
      <c r="J383" t="s">
        <v>30</v>
      </c>
      <c r="K383" t="s">
        <v>31</v>
      </c>
      <c r="L383" t="s">
        <v>44</v>
      </c>
      <c r="M383" t="s">
        <v>28</v>
      </c>
      <c r="N383">
        <v>13</v>
      </c>
      <c r="O383" s="2">
        <v>45743.558576388888</v>
      </c>
      <c r="P383" s="2">
        <v>45863.166666666664</v>
      </c>
      <c r="Q383" t="s">
        <v>38</v>
      </c>
      <c r="R383" t="s">
        <v>54</v>
      </c>
      <c r="S383" t="s">
        <v>33</v>
      </c>
    </row>
    <row r="384" spans="1:19" x14ac:dyDescent="0.35">
      <c r="A384" t="s">
        <v>23</v>
      </c>
      <c r="B384" t="s">
        <v>821</v>
      </c>
      <c r="C384" t="s">
        <v>1989</v>
      </c>
      <c r="D384" t="s">
        <v>2188</v>
      </c>
      <c r="E384" s="2">
        <v>45784.582380995373</v>
      </c>
      <c r="F384" t="s">
        <v>2080</v>
      </c>
      <c r="G384" t="s">
        <v>2094</v>
      </c>
      <c r="H384" t="s">
        <v>2077</v>
      </c>
      <c r="I384" t="s">
        <v>822</v>
      </c>
      <c r="J384" t="s">
        <v>30</v>
      </c>
      <c r="K384" t="s">
        <v>31</v>
      </c>
      <c r="L384" t="s">
        <v>44</v>
      </c>
      <c r="M384" t="s">
        <v>28</v>
      </c>
      <c r="N384">
        <v>15</v>
      </c>
      <c r="O384" s="2">
        <v>45744.792337962965</v>
      </c>
      <c r="P384" s="2">
        <v>45786.166666666664</v>
      </c>
      <c r="Q384" t="s">
        <v>32</v>
      </c>
      <c r="R384" t="s">
        <v>816</v>
      </c>
      <c r="S384" t="s">
        <v>33</v>
      </c>
    </row>
    <row r="385" spans="1:19" x14ac:dyDescent="0.35">
      <c r="A385" t="s">
        <v>23</v>
      </c>
      <c r="B385" t="s">
        <v>2189</v>
      </c>
      <c r="C385" t="s">
        <v>1989</v>
      </c>
      <c r="D385" t="s">
        <v>2188</v>
      </c>
      <c r="E385" s="2">
        <v>45855.833450787039</v>
      </c>
      <c r="F385" t="s">
        <v>2075</v>
      </c>
      <c r="G385" t="s">
        <v>2121</v>
      </c>
      <c r="H385" t="s">
        <v>2083</v>
      </c>
      <c r="I385" t="s">
        <v>2190</v>
      </c>
      <c r="J385" t="s">
        <v>30</v>
      </c>
      <c r="K385" t="s">
        <v>70</v>
      </c>
      <c r="L385" t="s">
        <v>44</v>
      </c>
      <c r="M385" t="s">
        <v>28</v>
      </c>
      <c r="N385">
        <v>37</v>
      </c>
      <c r="O385" s="2">
        <v>45750.763854166667</v>
      </c>
      <c r="P385" s="2">
        <v>45875.166666666664</v>
      </c>
      <c r="Q385" t="s">
        <v>48</v>
      </c>
      <c r="R385" t="s">
        <v>36</v>
      </c>
      <c r="S385" t="s">
        <v>33</v>
      </c>
    </row>
    <row r="386" spans="1:19" x14ac:dyDescent="0.35">
      <c r="A386" t="s">
        <v>23</v>
      </c>
      <c r="B386" t="s">
        <v>996</v>
      </c>
      <c r="C386" t="s">
        <v>1989</v>
      </c>
      <c r="D386" t="s">
        <v>2138</v>
      </c>
      <c r="E386" s="2">
        <v>45771.899171620367</v>
      </c>
      <c r="F386" t="s">
        <v>2075</v>
      </c>
      <c r="G386" t="s">
        <v>2092</v>
      </c>
      <c r="H386" t="s">
        <v>2083</v>
      </c>
      <c r="I386" t="s">
        <v>997</v>
      </c>
      <c r="J386" t="s">
        <v>30</v>
      </c>
      <c r="K386" t="s">
        <v>31</v>
      </c>
      <c r="L386" t="s">
        <v>44</v>
      </c>
      <c r="M386" t="s">
        <v>28</v>
      </c>
      <c r="N386">
        <v>25</v>
      </c>
      <c r="O386" s="2">
        <v>45754.623854166668</v>
      </c>
      <c r="P386" s="2">
        <v>45765.166666666664</v>
      </c>
      <c r="Q386" t="s">
        <v>48</v>
      </c>
      <c r="R386" t="s">
        <v>36</v>
      </c>
      <c r="S386" t="s">
        <v>33</v>
      </c>
    </row>
    <row r="387" spans="1:19" x14ac:dyDescent="0.35">
      <c r="A387" t="s">
        <v>23</v>
      </c>
      <c r="B387" t="s">
        <v>852</v>
      </c>
      <c r="C387" t="s">
        <v>1989</v>
      </c>
      <c r="D387" t="s">
        <v>2138</v>
      </c>
      <c r="E387" s="2">
        <v>45764.781774907409</v>
      </c>
      <c r="F387" t="s">
        <v>2075</v>
      </c>
      <c r="G387" t="s">
        <v>2092</v>
      </c>
      <c r="H387" t="s">
        <v>2083</v>
      </c>
      <c r="I387" t="s">
        <v>853</v>
      </c>
      <c r="J387" t="s">
        <v>30</v>
      </c>
      <c r="K387" t="s">
        <v>31</v>
      </c>
      <c r="L387" t="s">
        <v>44</v>
      </c>
      <c r="M387" t="s">
        <v>28</v>
      </c>
      <c r="N387">
        <v>16</v>
      </c>
      <c r="O387" s="2">
        <v>45754.686076388891</v>
      </c>
      <c r="P387" s="2">
        <v>45772.166666666664</v>
      </c>
      <c r="Q387" t="s">
        <v>48</v>
      </c>
      <c r="R387" t="s">
        <v>36</v>
      </c>
      <c r="S387" t="s">
        <v>33</v>
      </c>
    </row>
    <row r="388" spans="1:19" x14ac:dyDescent="0.35">
      <c r="A388" t="s">
        <v>23</v>
      </c>
      <c r="B388" t="s">
        <v>852</v>
      </c>
      <c r="C388" t="s">
        <v>1989</v>
      </c>
      <c r="D388" t="s">
        <v>2138</v>
      </c>
      <c r="E388" s="2">
        <v>45772.345497199072</v>
      </c>
      <c r="F388" t="s">
        <v>2080</v>
      </c>
      <c r="G388" t="s">
        <v>2081</v>
      </c>
      <c r="H388" t="s">
        <v>2083</v>
      </c>
      <c r="I388" t="s">
        <v>853</v>
      </c>
      <c r="J388" t="s">
        <v>30</v>
      </c>
      <c r="K388" t="s">
        <v>31</v>
      </c>
      <c r="L388" t="s">
        <v>44</v>
      </c>
      <c r="M388" t="s">
        <v>28</v>
      </c>
      <c r="N388">
        <v>16</v>
      </c>
      <c r="O388" s="2">
        <v>45754.686076388891</v>
      </c>
      <c r="P388" s="2">
        <v>45772.166666666664</v>
      </c>
      <c r="Q388" t="s">
        <v>48</v>
      </c>
      <c r="R388" t="s">
        <v>36</v>
      </c>
      <c r="S388" t="s">
        <v>33</v>
      </c>
    </row>
    <row r="389" spans="1:19" x14ac:dyDescent="0.35">
      <c r="A389" t="s">
        <v>23</v>
      </c>
      <c r="B389" t="s">
        <v>2191</v>
      </c>
      <c r="C389" t="s">
        <v>1982</v>
      </c>
      <c r="D389" t="s">
        <v>2090</v>
      </c>
      <c r="E389" s="2">
        <v>45805.595098206017</v>
      </c>
      <c r="F389" t="s">
        <v>2088</v>
      </c>
      <c r="G389" t="s">
        <v>2091</v>
      </c>
      <c r="H389" t="s">
        <v>2077</v>
      </c>
      <c r="I389" t="s">
        <v>2192</v>
      </c>
      <c r="J389" t="s">
        <v>30</v>
      </c>
      <c r="K389" t="s">
        <v>31</v>
      </c>
      <c r="L389" t="s">
        <v>26</v>
      </c>
      <c r="M389" t="s">
        <v>28</v>
      </c>
      <c r="O389" s="2">
        <v>45754.845300925925</v>
      </c>
      <c r="P389" s="2">
        <v>45947.166666666664</v>
      </c>
      <c r="Q389" t="s">
        <v>32</v>
      </c>
      <c r="R389" t="s">
        <v>25</v>
      </c>
    </row>
    <row r="390" spans="1:19" x14ac:dyDescent="0.35">
      <c r="A390" t="s">
        <v>23</v>
      </c>
      <c r="B390" t="s">
        <v>2191</v>
      </c>
      <c r="C390" t="s">
        <v>1982</v>
      </c>
      <c r="D390" t="s">
        <v>2090</v>
      </c>
      <c r="E390" s="2">
        <v>45856.813766157407</v>
      </c>
      <c r="F390" t="s">
        <v>2088</v>
      </c>
      <c r="G390" t="s">
        <v>2091</v>
      </c>
      <c r="H390" t="s">
        <v>2077</v>
      </c>
      <c r="I390" t="s">
        <v>2192</v>
      </c>
      <c r="J390" t="s">
        <v>30</v>
      </c>
      <c r="K390" t="s">
        <v>31</v>
      </c>
      <c r="L390" t="s">
        <v>26</v>
      </c>
      <c r="M390" t="s">
        <v>28</v>
      </c>
      <c r="O390" s="2">
        <v>45754.845300925925</v>
      </c>
      <c r="P390" s="2">
        <v>45947.166666666664</v>
      </c>
      <c r="Q390" t="s">
        <v>32</v>
      </c>
      <c r="R390" t="s">
        <v>25</v>
      </c>
    </row>
    <row r="391" spans="1:19" x14ac:dyDescent="0.35">
      <c r="A391" t="s">
        <v>23</v>
      </c>
      <c r="B391" t="s">
        <v>2193</v>
      </c>
      <c r="C391" t="s">
        <v>1982</v>
      </c>
      <c r="D391" t="s">
        <v>2090</v>
      </c>
      <c r="E391" s="2">
        <v>45805.663865335649</v>
      </c>
      <c r="F391" t="s">
        <v>2088</v>
      </c>
      <c r="G391" t="s">
        <v>2091</v>
      </c>
      <c r="H391" t="s">
        <v>2077</v>
      </c>
      <c r="I391" t="s">
        <v>2194</v>
      </c>
      <c r="J391" t="s">
        <v>30</v>
      </c>
      <c r="K391" t="s">
        <v>31</v>
      </c>
      <c r="L391" t="s">
        <v>26</v>
      </c>
      <c r="M391" t="s">
        <v>28</v>
      </c>
      <c r="N391">
        <v>22</v>
      </c>
      <c r="O391" s="2">
        <v>45755.811527777776</v>
      </c>
      <c r="P391" s="2">
        <v>45930.166666666664</v>
      </c>
      <c r="Q391" t="s">
        <v>48</v>
      </c>
      <c r="R391" t="s">
        <v>409</v>
      </c>
      <c r="S391" t="s">
        <v>33</v>
      </c>
    </row>
    <row r="392" spans="1:19" x14ac:dyDescent="0.35">
      <c r="A392" t="s">
        <v>23</v>
      </c>
      <c r="B392" t="s">
        <v>2193</v>
      </c>
      <c r="C392" t="s">
        <v>1982</v>
      </c>
      <c r="D392" t="s">
        <v>2090</v>
      </c>
      <c r="E392" s="2">
        <v>45805.778357268522</v>
      </c>
      <c r="F392" t="s">
        <v>2088</v>
      </c>
      <c r="G392" t="s">
        <v>2134</v>
      </c>
      <c r="H392" t="s">
        <v>2077</v>
      </c>
      <c r="I392" t="s">
        <v>2194</v>
      </c>
      <c r="J392" t="s">
        <v>30</v>
      </c>
      <c r="K392" t="s">
        <v>31</v>
      </c>
      <c r="L392" t="s">
        <v>26</v>
      </c>
      <c r="M392" t="s">
        <v>28</v>
      </c>
      <c r="N392">
        <v>22</v>
      </c>
      <c r="O392" s="2">
        <v>45755.811527777776</v>
      </c>
      <c r="P392" s="2">
        <v>45930.166666666664</v>
      </c>
      <c r="Q392" t="s">
        <v>48</v>
      </c>
      <c r="R392" t="s">
        <v>409</v>
      </c>
      <c r="S392" t="s">
        <v>33</v>
      </c>
    </row>
    <row r="393" spans="1:19" x14ac:dyDescent="0.35">
      <c r="A393" t="s">
        <v>23</v>
      </c>
      <c r="B393" t="s">
        <v>2193</v>
      </c>
      <c r="C393" t="s">
        <v>1982</v>
      </c>
      <c r="D393" t="s">
        <v>2090</v>
      </c>
      <c r="E393" s="2">
        <v>45866.723613275462</v>
      </c>
      <c r="F393" t="s">
        <v>2088</v>
      </c>
      <c r="G393" t="s">
        <v>2134</v>
      </c>
      <c r="H393" t="s">
        <v>2077</v>
      </c>
      <c r="I393" t="s">
        <v>2194</v>
      </c>
      <c r="J393" t="s">
        <v>30</v>
      </c>
      <c r="K393" t="s">
        <v>31</v>
      </c>
      <c r="L393" t="s">
        <v>26</v>
      </c>
      <c r="M393" t="s">
        <v>28</v>
      </c>
      <c r="N393">
        <v>22</v>
      </c>
      <c r="O393" s="2">
        <v>45755.811527777776</v>
      </c>
      <c r="P393" s="2">
        <v>45930.166666666664</v>
      </c>
      <c r="Q393" t="s">
        <v>48</v>
      </c>
      <c r="R393" t="s">
        <v>409</v>
      </c>
      <c r="S393" t="s">
        <v>33</v>
      </c>
    </row>
    <row r="394" spans="1:19" x14ac:dyDescent="0.35">
      <c r="A394" t="s">
        <v>23</v>
      </c>
      <c r="B394" t="s">
        <v>825</v>
      </c>
      <c r="C394" t="s">
        <v>1989</v>
      </c>
      <c r="D394" t="s">
        <v>2138</v>
      </c>
      <c r="E394" s="2">
        <v>45776.698111273145</v>
      </c>
      <c r="F394" t="s">
        <v>2075</v>
      </c>
      <c r="G394" t="s">
        <v>2092</v>
      </c>
      <c r="H394" t="s">
        <v>2083</v>
      </c>
      <c r="I394" t="s">
        <v>826</v>
      </c>
      <c r="J394" t="s">
        <v>30</v>
      </c>
      <c r="K394" t="s">
        <v>31</v>
      </c>
      <c r="L394" t="s">
        <v>44</v>
      </c>
      <c r="M394" t="s">
        <v>28</v>
      </c>
      <c r="N394">
        <v>15</v>
      </c>
      <c r="O394" s="2">
        <v>45761.528032407405</v>
      </c>
      <c r="P394" s="2">
        <v>45772.166666666664</v>
      </c>
      <c r="Q394" t="s">
        <v>48</v>
      </c>
      <c r="R394" t="s">
        <v>36</v>
      </c>
      <c r="S394" t="s">
        <v>33</v>
      </c>
    </row>
    <row r="395" spans="1:19" x14ac:dyDescent="0.35">
      <c r="A395" t="s">
        <v>23</v>
      </c>
      <c r="B395" t="s">
        <v>969</v>
      </c>
      <c r="C395" t="s">
        <v>1989</v>
      </c>
      <c r="D395" t="s">
        <v>2138</v>
      </c>
      <c r="E395" s="2">
        <v>45776.787493587966</v>
      </c>
      <c r="F395" t="s">
        <v>2078</v>
      </c>
      <c r="G395" t="s">
        <v>2115</v>
      </c>
      <c r="H395" t="s">
        <v>2077</v>
      </c>
      <c r="I395" t="s">
        <v>970</v>
      </c>
      <c r="J395" t="s">
        <v>30</v>
      </c>
      <c r="K395" t="s">
        <v>31</v>
      </c>
      <c r="L395" t="s">
        <v>44</v>
      </c>
      <c r="M395" t="s">
        <v>28</v>
      </c>
      <c r="N395">
        <v>22</v>
      </c>
      <c r="O395" s="2">
        <v>45768.524328703701</v>
      </c>
      <c r="P395" s="2">
        <v>45777.166666666664</v>
      </c>
      <c r="Q395" t="s">
        <v>48</v>
      </c>
      <c r="R395" t="s">
        <v>36</v>
      </c>
      <c r="S395" t="s">
        <v>33</v>
      </c>
    </row>
    <row r="396" spans="1:19" x14ac:dyDescent="0.35">
      <c r="A396" t="s">
        <v>23</v>
      </c>
      <c r="B396" t="s">
        <v>969</v>
      </c>
      <c r="C396" t="s">
        <v>1989</v>
      </c>
      <c r="D396" t="s">
        <v>2138</v>
      </c>
      <c r="E396" s="2">
        <v>45776.787950706021</v>
      </c>
      <c r="F396" t="s">
        <v>2075</v>
      </c>
      <c r="G396" t="s">
        <v>2157</v>
      </c>
      <c r="H396" t="s">
        <v>2077</v>
      </c>
      <c r="I396" t="s">
        <v>970</v>
      </c>
      <c r="J396" t="s">
        <v>30</v>
      </c>
      <c r="K396" t="s">
        <v>31</v>
      </c>
      <c r="L396" t="s">
        <v>44</v>
      </c>
      <c r="M396" t="s">
        <v>28</v>
      </c>
      <c r="N396">
        <v>22</v>
      </c>
      <c r="O396" s="2">
        <v>45768.524328703701</v>
      </c>
      <c r="P396" s="2">
        <v>45777.166666666664</v>
      </c>
      <c r="Q396" t="s">
        <v>48</v>
      </c>
      <c r="R396" t="s">
        <v>36</v>
      </c>
      <c r="S396" t="s">
        <v>33</v>
      </c>
    </row>
    <row r="397" spans="1:19" x14ac:dyDescent="0.35">
      <c r="A397" t="s">
        <v>23</v>
      </c>
      <c r="B397" t="s">
        <v>969</v>
      </c>
      <c r="C397" t="s">
        <v>1989</v>
      </c>
      <c r="D397" t="s">
        <v>2138</v>
      </c>
      <c r="E397" s="2">
        <v>45776.78831196759</v>
      </c>
      <c r="F397" t="s">
        <v>2075</v>
      </c>
      <c r="G397" t="s">
        <v>2092</v>
      </c>
      <c r="H397" t="s">
        <v>2083</v>
      </c>
      <c r="I397" t="s">
        <v>970</v>
      </c>
      <c r="J397" t="s">
        <v>30</v>
      </c>
      <c r="K397" t="s">
        <v>31</v>
      </c>
      <c r="L397" t="s">
        <v>44</v>
      </c>
      <c r="M397" t="s">
        <v>28</v>
      </c>
      <c r="N397">
        <v>22</v>
      </c>
      <c r="O397" s="2">
        <v>45768.524328703701</v>
      </c>
      <c r="P397" s="2">
        <v>45777.166666666664</v>
      </c>
      <c r="Q397" t="s">
        <v>48</v>
      </c>
      <c r="R397" t="s">
        <v>36</v>
      </c>
      <c r="S397" t="s">
        <v>33</v>
      </c>
    </row>
    <row r="398" spans="1:19" x14ac:dyDescent="0.35">
      <c r="A398" t="s">
        <v>23</v>
      </c>
      <c r="B398" t="s">
        <v>969</v>
      </c>
      <c r="C398" t="s">
        <v>1989</v>
      </c>
      <c r="D398" t="s">
        <v>2138</v>
      </c>
      <c r="E398" s="2">
        <v>45776.788780555558</v>
      </c>
      <c r="F398" t="s">
        <v>2080</v>
      </c>
      <c r="G398" t="s">
        <v>2081</v>
      </c>
      <c r="H398" t="s">
        <v>2077</v>
      </c>
      <c r="I398" t="s">
        <v>970</v>
      </c>
      <c r="J398" t="s">
        <v>30</v>
      </c>
      <c r="K398" t="s">
        <v>31</v>
      </c>
      <c r="L398" t="s">
        <v>44</v>
      </c>
      <c r="M398" t="s">
        <v>28</v>
      </c>
      <c r="N398">
        <v>22</v>
      </c>
      <c r="O398" s="2">
        <v>45768.524328703701</v>
      </c>
      <c r="P398" s="2">
        <v>45777.166666666664</v>
      </c>
      <c r="Q398" t="s">
        <v>48</v>
      </c>
      <c r="R398" t="s">
        <v>36</v>
      </c>
      <c r="S398" t="s">
        <v>33</v>
      </c>
    </row>
    <row r="399" spans="1:19" x14ac:dyDescent="0.35">
      <c r="A399" t="s">
        <v>23</v>
      </c>
      <c r="B399" t="s">
        <v>1400</v>
      </c>
      <c r="C399" t="s">
        <v>1989</v>
      </c>
      <c r="D399" t="s">
        <v>2087</v>
      </c>
      <c r="E399" s="2">
        <v>45799.740809930554</v>
      </c>
      <c r="F399" t="s">
        <v>2075</v>
      </c>
      <c r="G399" t="s">
        <v>2076</v>
      </c>
      <c r="H399" t="s">
        <v>2077</v>
      </c>
      <c r="I399" t="s">
        <v>1401</v>
      </c>
      <c r="J399" t="s">
        <v>30</v>
      </c>
      <c r="K399" t="s">
        <v>31</v>
      </c>
      <c r="L399" t="s">
        <v>44</v>
      </c>
      <c r="M399" t="s">
        <v>28</v>
      </c>
      <c r="O399" s="2">
        <v>45768.764143518521</v>
      </c>
      <c r="P399" s="2">
        <v>45805.166666666664</v>
      </c>
      <c r="Q399" t="s">
        <v>38</v>
      </c>
      <c r="R399" t="s">
        <v>36</v>
      </c>
      <c r="S399" t="s">
        <v>33</v>
      </c>
    </row>
    <row r="400" spans="1:19" x14ac:dyDescent="0.35">
      <c r="A400" t="s">
        <v>23</v>
      </c>
      <c r="B400" t="s">
        <v>690</v>
      </c>
      <c r="C400" t="s">
        <v>1988</v>
      </c>
      <c r="D400" t="s">
        <v>2084</v>
      </c>
      <c r="E400" s="2">
        <v>45826.562221631946</v>
      </c>
      <c r="F400" t="s">
        <v>2085</v>
      </c>
      <c r="G400" t="s">
        <v>2086</v>
      </c>
      <c r="H400" t="s">
        <v>2077</v>
      </c>
      <c r="I400" t="s">
        <v>691</v>
      </c>
      <c r="J400" t="s">
        <v>30</v>
      </c>
      <c r="K400" t="s">
        <v>31</v>
      </c>
      <c r="L400" t="s">
        <v>44</v>
      </c>
      <c r="M400" t="s">
        <v>28</v>
      </c>
      <c r="N400">
        <v>11</v>
      </c>
      <c r="O400" s="2">
        <v>45770.672893518517</v>
      </c>
      <c r="P400" s="2">
        <v>45828.166666666664</v>
      </c>
      <c r="Q400" t="s">
        <v>38</v>
      </c>
      <c r="R400" t="s">
        <v>244</v>
      </c>
      <c r="S400" t="s">
        <v>33</v>
      </c>
    </row>
    <row r="401" spans="1:19" x14ac:dyDescent="0.35">
      <c r="A401" t="s">
        <v>23</v>
      </c>
      <c r="B401" t="s">
        <v>690</v>
      </c>
      <c r="C401" t="s">
        <v>1989</v>
      </c>
      <c r="D401" t="s">
        <v>2087</v>
      </c>
      <c r="E401" s="2">
        <v>45828.604457199071</v>
      </c>
      <c r="F401" t="s">
        <v>2080</v>
      </c>
      <c r="G401" t="s">
        <v>2081</v>
      </c>
      <c r="H401" t="s">
        <v>2077</v>
      </c>
      <c r="I401" t="s">
        <v>691</v>
      </c>
      <c r="J401" t="s">
        <v>30</v>
      </c>
      <c r="K401" t="s">
        <v>31</v>
      </c>
      <c r="L401" t="s">
        <v>44</v>
      </c>
      <c r="M401" t="s">
        <v>28</v>
      </c>
      <c r="N401">
        <v>11</v>
      </c>
      <c r="O401" s="2">
        <v>45770.672893518517</v>
      </c>
      <c r="P401" s="2">
        <v>45828.166666666664</v>
      </c>
      <c r="Q401" t="s">
        <v>38</v>
      </c>
      <c r="R401" t="s">
        <v>244</v>
      </c>
      <c r="S401" t="s">
        <v>33</v>
      </c>
    </row>
    <row r="402" spans="1:19" x14ac:dyDescent="0.35">
      <c r="A402" t="s">
        <v>23</v>
      </c>
      <c r="B402" t="s">
        <v>2195</v>
      </c>
      <c r="C402" t="s">
        <v>1982</v>
      </c>
      <c r="D402" t="s">
        <v>2074</v>
      </c>
      <c r="E402" s="2">
        <v>45834.573104664349</v>
      </c>
      <c r="F402" t="s">
        <v>2075</v>
      </c>
      <c r="G402" t="s">
        <v>2076</v>
      </c>
      <c r="H402" t="s">
        <v>2077</v>
      </c>
      <c r="I402" t="s">
        <v>2196</v>
      </c>
      <c r="J402" t="s">
        <v>30</v>
      </c>
      <c r="K402" t="s">
        <v>31</v>
      </c>
      <c r="L402" t="s">
        <v>26</v>
      </c>
      <c r="M402" t="s">
        <v>28</v>
      </c>
      <c r="O402" s="2">
        <v>45770.736655092594</v>
      </c>
      <c r="P402" s="2">
        <v>45905.166666666664</v>
      </c>
      <c r="Q402" t="s">
        <v>38</v>
      </c>
      <c r="R402" t="s">
        <v>409</v>
      </c>
    </row>
    <row r="403" spans="1:19" x14ac:dyDescent="0.35">
      <c r="A403" t="s">
        <v>23</v>
      </c>
      <c r="B403" t="s">
        <v>1412</v>
      </c>
      <c r="C403" t="s">
        <v>1989</v>
      </c>
      <c r="D403" t="s">
        <v>2087</v>
      </c>
      <c r="E403" s="2">
        <v>45791.622691215278</v>
      </c>
      <c r="F403" t="s">
        <v>2078</v>
      </c>
      <c r="G403" t="s">
        <v>2079</v>
      </c>
      <c r="H403" t="s">
        <v>2077</v>
      </c>
      <c r="I403" t="s">
        <v>1413</v>
      </c>
      <c r="J403" t="s">
        <v>30</v>
      </c>
      <c r="K403" t="s">
        <v>31</v>
      </c>
      <c r="L403" t="s">
        <v>44</v>
      </c>
      <c r="M403" t="s">
        <v>28</v>
      </c>
      <c r="O403" s="2">
        <v>45771.436527777776</v>
      </c>
      <c r="P403" s="2">
        <v>45792.166666666664</v>
      </c>
      <c r="Q403" t="s">
        <v>48</v>
      </c>
      <c r="R403" t="s">
        <v>36</v>
      </c>
      <c r="S403" t="s">
        <v>33</v>
      </c>
    </row>
    <row r="404" spans="1:19" x14ac:dyDescent="0.35">
      <c r="A404" t="s">
        <v>23</v>
      </c>
      <c r="B404" t="s">
        <v>1412</v>
      </c>
      <c r="C404" t="s">
        <v>1989</v>
      </c>
      <c r="D404" t="s">
        <v>2087</v>
      </c>
      <c r="E404" s="2">
        <v>45793.801652141206</v>
      </c>
      <c r="F404" t="s">
        <v>2078</v>
      </c>
      <c r="G404" t="s">
        <v>2079</v>
      </c>
      <c r="H404" t="s">
        <v>2077</v>
      </c>
      <c r="I404" t="s">
        <v>1413</v>
      </c>
      <c r="J404" t="s">
        <v>30</v>
      </c>
      <c r="K404" t="s">
        <v>31</v>
      </c>
      <c r="L404" t="s">
        <v>44</v>
      </c>
      <c r="M404" t="s">
        <v>28</v>
      </c>
      <c r="O404" s="2">
        <v>45771.436527777776</v>
      </c>
      <c r="P404" s="2">
        <v>45792.166666666664</v>
      </c>
      <c r="Q404" t="s">
        <v>48</v>
      </c>
      <c r="R404" t="s">
        <v>36</v>
      </c>
      <c r="S404" t="s">
        <v>33</v>
      </c>
    </row>
    <row r="405" spans="1:19" x14ac:dyDescent="0.35">
      <c r="A405" t="s">
        <v>23</v>
      </c>
      <c r="B405" t="s">
        <v>2197</v>
      </c>
      <c r="C405" t="s">
        <v>1988</v>
      </c>
      <c r="D405" t="s">
        <v>1930</v>
      </c>
      <c r="E405" s="2">
        <v>45825.592525173612</v>
      </c>
      <c r="F405" t="s">
        <v>2125</v>
      </c>
      <c r="G405" t="s">
        <v>2198</v>
      </c>
      <c r="H405" t="s">
        <v>2083</v>
      </c>
      <c r="I405" t="s">
        <v>2199</v>
      </c>
      <c r="J405" t="s">
        <v>30</v>
      </c>
      <c r="K405" t="s">
        <v>31</v>
      </c>
      <c r="L405" t="s">
        <v>26</v>
      </c>
      <c r="M405" t="s">
        <v>28</v>
      </c>
      <c r="N405">
        <v>36</v>
      </c>
      <c r="O405" s="2">
        <v>45775.453356481485</v>
      </c>
      <c r="P405" s="2">
        <v>45884.166666666664</v>
      </c>
      <c r="Q405" t="s">
        <v>48</v>
      </c>
      <c r="R405" t="s">
        <v>36</v>
      </c>
      <c r="S405" t="s">
        <v>33</v>
      </c>
    </row>
    <row r="406" spans="1:19" x14ac:dyDescent="0.35">
      <c r="A406" t="s">
        <v>23</v>
      </c>
      <c r="B406" t="s">
        <v>2197</v>
      </c>
      <c r="C406" t="s">
        <v>1989</v>
      </c>
      <c r="D406" t="s">
        <v>2087</v>
      </c>
      <c r="E406" s="2">
        <v>45860.732188935188</v>
      </c>
      <c r="F406" t="s">
        <v>2078</v>
      </c>
      <c r="G406" t="s">
        <v>2079</v>
      </c>
      <c r="H406" t="s">
        <v>2077</v>
      </c>
      <c r="I406" t="s">
        <v>2199</v>
      </c>
      <c r="J406" t="s">
        <v>30</v>
      </c>
      <c r="K406" t="s">
        <v>31</v>
      </c>
      <c r="L406" t="s">
        <v>26</v>
      </c>
      <c r="M406" t="s">
        <v>28</v>
      </c>
      <c r="N406">
        <v>36</v>
      </c>
      <c r="O406" s="2">
        <v>45775.453356481485</v>
      </c>
      <c r="P406" s="2">
        <v>45884.166666666664</v>
      </c>
      <c r="Q406" t="s">
        <v>48</v>
      </c>
      <c r="R406" t="s">
        <v>36</v>
      </c>
      <c r="S406" t="s">
        <v>33</v>
      </c>
    </row>
    <row r="407" spans="1:19" x14ac:dyDescent="0.35">
      <c r="A407" t="s">
        <v>23</v>
      </c>
      <c r="B407" t="s">
        <v>2197</v>
      </c>
      <c r="C407" t="s">
        <v>1989</v>
      </c>
      <c r="D407" t="s">
        <v>2087</v>
      </c>
      <c r="E407" s="2">
        <v>45860.732891782405</v>
      </c>
      <c r="F407" t="s">
        <v>2080</v>
      </c>
      <c r="G407" t="s">
        <v>2081</v>
      </c>
      <c r="H407" t="s">
        <v>2077</v>
      </c>
      <c r="I407" t="s">
        <v>2199</v>
      </c>
      <c r="J407" t="s">
        <v>30</v>
      </c>
      <c r="K407" t="s">
        <v>31</v>
      </c>
      <c r="L407" t="s">
        <v>26</v>
      </c>
      <c r="M407" t="s">
        <v>28</v>
      </c>
      <c r="N407">
        <v>36</v>
      </c>
      <c r="O407" s="2">
        <v>45775.453356481485</v>
      </c>
      <c r="P407" s="2">
        <v>45884.166666666664</v>
      </c>
      <c r="Q407" t="s">
        <v>48</v>
      </c>
      <c r="R407" t="s">
        <v>36</v>
      </c>
      <c r="S407" t="s">
        <v>33</v>
      </c>
    </row>
    <row r="408" spans="1:19" x14ac:dyDescent="0.35">
      <c r="A408" t="s">
        <v>23</v>
      </c>
      <c r="B408" t="s">
        <v>2197</v>
      </c>
      <c r="C408" t="s">
        <v>1989</v>
      </c>
      <c r="D408" t="s">
        <v>2087</v>
      </c>
      <c r="E408" s="2">
        <v>45860.733308657407</v>
      </c>
      <c r="F408" t="s">
        <v>2080</v>
      </c>
      <c r="G408" t="s">
        <v>2081</v>
      </c>
      <c r="H408" t="s">
        <v>2077</v>
      </c>
      <c r="I408" t="s">
        <v>2199</v>
      </c>
      <c r="J408" t="s">
        <v>30</v>
      </c>
      <c r="K408" t="s">
        <v>31</v>
      </c>
      <c r="L408" t="s">
        <v>26</v>
      </c>
      <c r="M408" t="s">
        <v>28</v>
      </c>
      <c r="N408">
        <v>36</v>
      </c>
      <c r="O408" s="2">
        <v>45775.453356481485</v>
      </c>
      <c r="P408" s="2">
        <v>45884.166666666664</v>
      </c>
      <c r="Q408" t="s">
        <v>48</v>
      </c>
      <c r="R408" t="s">
        <v>36</v>
      </c>
      <c r="S408" t="s">
        <v>33</v>
      </c>
    </row>
    <row r="409" spans="1:19" x14ac:dyDescent="0.35">
      <c r="A409" t="s">
        <v>23</v>
      </c>
      <c r="B409" t="s">
        <v>1405</v>
      </c>
      <c r="C409" t="s">
        <v>1988</v>
      </c>
      <c r="D409" t="s">
        <v>2090</v>
      </c>
      <c r="E409" s="2">
        <v>45789.694408124997</v>
      </c>
      <c r="F409" t="s">
        <v>2085</v>
      </c>
      <c r="G409" t="s">
        <v>2101</v>
      </c>
      <c r="H409" t="s">
        <v>2077</v>
      </c>
      <c r="I409" t="s">
        <v>1406</v>
      </c>
      <c r="J409" t="s">
        <v>30</v>
      </c>
      <c r="K409" t="s">
        <v>31</v>
      </c>
      <c r="L409" t="s">
        <v>44</v>
      </c>
      <c r="M409" t="s">
        <v>28</v>
      </c>
      <c r="O409" s="2">
        <v>45775.693124999998</v>
      </c>
      <c r="P409" s="2">
        <v>45826.166666666664</v>
      </c>
      <c r="Q409" t="s">
        <v>48</v>
      </c>
      <c r="R409" t="s">
        <v>130</v>
      </c>
      <c r="S409" t="s">
        <v>33</v>
      </c>
    </row>
    <row r="410" spans="1:19" x14ac:dyDescent="0.35">
      <c r="A410" t="s">
        <v>23</v>
      </c>
      <c r="B410" t="s">
        <v>971</v>
      </c>
      <c r="C410" t="s">
        <v>1982</v>
      </c>
      <c r="D410" t="s">
        <v>1930</v>
      </c>
      <c r="E410" s="2">
        <v>45777.581687187499</v>
      </c>
      <c r="F410" t="s">
        <v>2080</v>
      </c>
      <c r="G410" t="s">
        <v>2081</v>
      </c>
      <c r="H410" t="s">
        <v>2077</v>
      </c>
      <c r="I410" t="s">
        <v>972</v>
      </c>
      <c r="J410" t="s">
        <v>30</v>
      </c>
      <c r="K410" t="s">
        <v>31</v>
      </c>
      <c r="L410" t="s">
        <v>44</v>
      </c>
      <c r="M410" t="s">
        <v>28</v>
      </c>
      <c r="N410">
        <v>22</v>
      </c>
      <c r="O410" s="2">
        <v>45775.841412037036</v>
      </c>
      <c r="P410" s="2">
        <v>45792.166666666664</v>
      </c>
      <c r="Q410" t="s">
        <v>48</v>
      </c>
      <c r="R410" t="s">
        <v>36</v>
      </c>
      <c r="S410" t="s">
        <v>33</v>
      </c>
    </row>
    <row r="411" spans="1:19" x14ac:dyDescent="0.35">
      <c r="A411" t="s">
        <v>23</v>
      </c>
      <c r="B411" t="s">
        <v>971</v>
      </c>
      <c r="C411" t="s">
        <v>1982</v>
      </c>
      <c r="D411" t="s">
        <v>1930</v>
      </c>
      <c r="E411" s="2">
        <v>45777.581916192132</v>
      </c>
      <c r="F411" t="s">
        <v>2075</v>
      </c>
      <c r="G411" t="s">
        <v>2157</v>
      </c>
      <c r="H411" t="s">
        <v>2077</v>
      </c>
      <c r="I411" t="s">
        <v>972</v>
      </c>
      <c r="J411" t="s">
        <v>30</v>
      </c>
      <c r="K411" t="s">
        <v>31</v>
      </c>
      <c r="L411" t="s">
        <v>44</v>
      </c>
      <c r="M411" t="s">
        <v>28</v>
      </c>
      <c r="N411">
        <v>22</v>
      </c>
      <c r="O411" s="2">
        <v>45775.841412037036</v>
      </c>
      <c r="P411" s="2">
        <v>45792.166666666664</v>
      </c>
      <c r="Q411" t="s">
        <v>48</v>
      </c>
      <c r="R411" t="s">
        <v>36</v>
      </c>
      <c r="S411" t="s">
        <v>33</v>
      </c>
    </row>
    <row r="412" spans="1:19" x14ac:dyDescent="0.35">
      <c r="A412" t="s">
        <v>23</v>
      </c>
      <c r="B412" t="s">
        <v>2200</v>
      </c>
      <c r="C412" t="s">
        <v>1982</v>
      </c>
      <c r="D412" t="s">
        <v>2090</v>
      </c>
      <c r="E412" s="2">
        <v>45833.812463252318</v>
      </c>
      <c r="F412" t="s">
        <v>2088</v>
      </c>
      <c r="G412" t="s">
        <v>2091</v>
      </c>
      <c r="H412" t="s">
        <v>2077</v>
      </c>
      <c r="I412" t="s">
        <v>2201</v>
      </c>
      <c r="J412" t="s">
        <v>30</v>
      </c>
      <c r="K412" t="s">
        <v>31</v>
      </c>
      <c r="L412" t="s">
        <v>26</v>
      </c>
      <c r="M412" t="s">
        <v>28</v>
      </c>
      <c r="O412" s="2">
        <v>45776.645266203705</v>
      </c>
      <c r="P412" s="2">
        <v>45877.166666666664</v>
      </c>
      <c r="Q412" t="s">
        <v>38</v>
      </c>
      <c r="R412" t="s">
        <v>409</v>
      </c>
      <c r="S412" t="s">
        <v>33</v>
      </c>
    </row>
    <row r="413" spans="1:19" x14ac:dyDescent="0.35">
      <c r="A413" t="s">
        <v>23</v>
      </c>
      <c r="B413" t="s">
        <v>2270</v>
      </c>
      <c r="C413" t="s">
        <v>1989</v>
      </c>
      <c r="D413" t="s">
        <v>2188</v>
      </c>
      <c r="E413" s="2">
        <v>45866.742985416669</v>
      </c>
      <c r="F413" t="s">
        <v>2080</v>
      </c>
      <c r="G413" t="s">
        <v>2094</v>
      </c>
      <c r="H413" t="s">
        <v>2077</v>
      </c>
      <c r="I413" t="s">
        <v>2281</v>
      </c>
      <c r="J413" t="s">
        <v>30</v>
      </c>
      <c r="K413" t="s">
        <v>31</v>
      </c>
      <c r="L413" t="s">
        <v>44</v>
      </c>
      <c r="M413" t="s">
        <v>28</v>
      </c>
      <c r="N413">
        <v>21</v>
      </c>
      <c r="O413" s="2">
        <v>45776.726168981484</v>
      </c>
      <c r="P413" s="2">
        <v>45869.166666666664</v>
      </c>
      <c r="Q413" t="s">
        <v>48</v>
      </c>
      <c r="R413" t="s">
        <v>36</v>
      </c>
      <c r="S413" t="s">
        <v>33</v>
      </c>
    </row>
    <row r="414" spans="1:19" x14ac:dyDescent="0.35">
      <c r="A414" t="s">
        <v>23</v>
      </c>
      <c r="B414" t="s">
        <v>2202</v>
      </c>
      <c r="C414" t="s">
        <v>1980</v>
      </c>
      <c r="D414" t="s">
        <v>2153</v>
      </c>
      <c r="E414" s="2">
        <v>45810.603478113429</v>
      </c>
      <c r="F414" t="s">
        <v>2085</v>
      </c>
      <c r="G414" t="s">
        <v>2101</v>
      </c>
      <c r="H414" t="s">
        <v>2083</v>
      </c>
      <c r="I414" t="s">
        <v>2203</v>
      </c>
      <c r="J414" t="s">
        <v>30</v>
      </c>
      <c r="K414" t="s">
        <v>31</v>
      </c>
      <c r="L414" t="s">
        <v>26</v>
      </c>
      <c r="M414" t="s">
        <v>28</v>
      </c>
      <c r="O414" s="2">
        <v>45782.166666666664</v>
      </c>
      <c r="P414" s="2">
        <v>45898.166666666664</v>
      </c>
      <c r="Q414" t="s">
        <v>38</v>
      </c>
      <c r="R414" t="s">
        <v>54</v>
      </c>
      <c r="S414" t="s">
        <v>33</v>
      </c>
    </row>
    <row r="415" spans="1:19" x14ac:dyDescent="0.35">
      <c r="A415" t="s">
        <v>23</v>
      </c>
      <c r="B415" t="s">
        <v>697</v>
      </c>
      <c r="C415" t="s">
        <v>1988</v>
      </c>
      <c r="D415" t="s">
        <v>1930</v>
      </c>
      <c r="E415" s="2">
        <v>45807.641741990738</v>
      </c>
      <c r="F415" t="s">
        <v>2078</v>
      </c>
      <c r="G415" t="s">
        <v>2108</v>
      </c>
      <c r="H415" t="s">
        <v>2077</v>
      </c>
      <c r="I415" t="s">
        <v>698</v>
      </c>
      <c r="J415" t="s">
        <v>30</v>
      </c>
      <c r="K415" t="s">
        <v>31</v>
      </c>
      <c r="L415" t="s">
        <v>44</v>
      </c>
      <c r="M415" t="s">
        <v>28</v>
      </c>
      <c r="N415">
        <v>11</v>
      </c>
      <c r="O415" s="2">
        <v>45782.529074074075</v>
      </c>
      <c r="P415" s="2">
        <v>45849.166666666664</v>
      </c>
      <c r="Q415" t="s">
        <v>174</v>
      </c>
      <c r="R415" t="s">
        <v>36</v>
      </c>
      <c r="S415" t="s">
        <v>33</v>
      </c>
    </row>
    <row r="416" spans="1:19" x14ac:dyDescent="0.35">
      <c r="A416" t="s">
        <v>23</v>
      </c>
      <c r="B416" t="s">
        <v>697</v>
      </c>
      <c r="C416" t="s">
        <v>1988</v>
      </c>
      <c r="D416" t="s">
        <v>1930</v>
      </c>
      <c r="E416" s="2">
        <v>45807.642591875003</v>
      </c>
      <c r="F416" t="s">
        <v>2080</v>
      </c>
      <c r="G416" t="s">
        <v>2081</v>
      </c>
      <c r="H416" t="s">
        <v>2077</v>
      </c>
      <c r="I416" t="s">
        <v>698</v>
      </c>
      <c r="J416" t="s">
        <v>30</v>
      </c>
      <c r="K416" t="s">
        <v>31</v>
      </c>
      <c r="L416" t="s">
        <v>44</v>
      </c>
      <c r="M416" t="s">
        <v>28</v>
      </c>
      <c r="N416">
        <v>11</v>
      </c>
      <c r="O416" s="2">
        <v>45782.529074074075</v>
      </c>
      <c r="P416" s="2">
        <v>45849.166666666664</v>
      </c>
      <c r="Q416" t="s">
        <v>174</v>
      </c>
      <c r="R416" t="s">
        <v>36</v>
      </c>
      <c r="S416" t="s">
        <v>33</v>
      </c>
    </row>
    <row r="417" spans="1:19" x14ac:dyDescent="0.35">
      <c r="A417" t="s">
        <v>23</v>
      </c>
      <c r="B417" t="s">
        <v>697</v>
      </c>
      <c r="C417" t="s">
        <v>1988</v>
      </c>
      <c r="D417" t="s">
        <v>1930</v>
      </c>
      <c r="E417" s="2">
        <v>45807.642902893516</v>
      </c>
      <c r="F417" t="s">
        <v>2080</v>
      </c>
      <c r="G417" t="s">
        <v>2100</v>
      </c>
      <c r="H417" t="s">
        <v>2077</v>
      </c>
      <c r="I417" t="s">
        <v>698</v>
      </c>
      <c r="J417" t="s">
        <v>30</v>
      </c>
      <c r="K417" t="s">
        <v>31</v>
      </c>
      <c r="L417" t="s">
        <v>44</v>
      </c>
      <c r="M417" t="s">
        <v>28</v>
      </c>
      <c r="N417">
        <v>11</v>
      </c>
      <c r="O417" s="2">
        <v>45782.529074074075</v>
      </c>
      <c r="P417" s="2">
        <v>45849.166666666664</v>
      </c>
      <c r="Q417" t="s">
        <v>174</v>
      </c>
      <c r="R417" t="s">
        <v>36</v>
      </c>
      <c r="S417" t="s">
        <v>33</v>
      </c>
    </row>
    <row r="418" spans="1:19" x14ac:dyDescent="0.35">
      <c r="A418" t="s">
        <v>23</v>
      </c>
      <c r="B418" t="s">
        <v>697</v>
      </c>
      <c r="C418" t="s">
        <v>1988</v>
      </c>
      <c r="D418" t="s">
        <v>1930</v>
      </c>
      <c r="E418" s="2">
        <v>45807.643292233799</v>
      </c>
      <c r="F418" t="s">
        <v>2078</v>
      </c>
      <c r="G418" t="s">
        <v>2173</v>
      </c>
      <c r="H418" t="s">
        <v>2077</v>
      </c>
      <c r="I418" t="s">
        <v>698</v>
      </c>
      <c r="J418" t="s">
        <v>30</v>
      </c>
      <c r="K418" t="s">
        <v>31</v>
      </c>
      <c r="L418" t="s">
        <v>44</v>
      </c>
      <c r="M418" t="s">
        <v>28</v>
      </c>
      <c r="N418">
        <v>11</v>
      </c>
      <c r="O418" s="2">
        <v>45782.529074074075</v>
      </c>
      <c r="P418" s="2">
        <v>45849.166666666664</v>
      </c>
      <c r="Q418" t="s">
        <v>174</v>
      </c>
      <c r="R418" t="s">
        <v>36</v>
      </c>
      <c r="S418" t="s">
        <v>33</v>
      </c>
    </row>
    <row r="419" spans="1:19" x14ac:dyDescent="0.35">
      <c r="A419" t="s">
        <v>23</v>
      </c>
      <c r="B419" t="s">
        <v>2204</v>
      </c>
      <c r="C419" t="s">
        <v>1982</v>
      </c>
      <c r="D419" t="s">
        <v>2074</v>
      </c>
      <c r="E419" s="2">
        <v>45856.720137326389</v>
      </c>
      <c r="F419" t="s">
        <v>2075</v>
      </c>
      <c r="G419" t="s">
        <v>2092</v>
      </c>
      <c r="H419" t="s">
        <v>2083</v>
      </c>
      <c r="I419" t="s">
        <v>2205</v>
      </c>
      <c r="J419" t="s">
        <v>30</v>
      </c>
      <c r="K419" t="s">
        <v>31</v>
      </c>
      <c r="L419" t="s">
        <v>26</v>
      </c>
      <c r="M419" t="s">
        <v>28</v>
      </c>
      <c r="O419" s="2">
        <v>45782.672129629631</v>
      </c>
      <c r="P419" s="2">
        <v>45953.166666666664</v>
      </c>
      <c r="Q419" t="s">
        <v>174</v>
      </c>
      <c r="R419" t="s">
        <v>76</v>
      </c>
      <c r="S419" t="s">
        <v>81</v>
      </c>
    </row>
    <row r="420" spans="1:19" x14ac:dyDescent="0.35">
      <c r="A420" t="s">
        <v>23</v>
      </c>
      <c r="B420" t="s">
        <v>2206</v>
      </c>
      <c r="C420" t="s">
        <v>1982</v>
      </c>
      <c r="D420" t="s">
        <v>2090</v>
      </c>
      <c r="E420" s="2">
        <v>45859.664990694444</v>
      </c>
      <c r="F420" t="s">
        <v>2088</v>
      </c>
      <c r="G420" t="s">
        <v>2134</v>
      </c>
      <c r="H420" t="s">
        <v>2077</v>
      </c>
      <c r="I420" t="s">
        <v>2207</v>
      </c>
      <c r="J420" t="s">
        <v>30</v>
      </c>
      <c r="K420" t="s">
        <v>31</v>
      </c>
      <c r="L420" t="s">
        <v>26</v>
      </c>
      <c r="M420" t="s">
        <v>28</v>
      </c>
      <c r="O420" s="2">
        <v>45782.757685185185</v>
      </c>
      <c r="P420" s="2">
        <v>45951.166666666664</v>
      </c>
      <c r="Q420" t="s">
        <v>38</v>
      </c>
      <c r="R420" t="s">
        <v>76</v>
      </c>
      <c r="S420" t="s">
        <v>33</v>
      </c>
    </row>
    <row r="421" spans="1:19" x14ac:dyDescent="0.35">
      <c r="A421" t="s">
        <v>23</v>
      </c>
      <c r="B421" t="s">
        <v>2206</v>
      </c>
      <c r="C421" t="s">
        <v>1982</v>
      </c>
      <c r="D421" t="s">
        <v>2090</v>
      </c>
      <c r="E421" s="2">
        <v>45863.626048148151</v>
      </c>
      <c r="F421" t="s">
        <v>2088</v>
      </c>
      <c r="G421" t="s">
        <v>2089</v>
      </c>
      <c r="H421" t="s">
        <v>2083</v>
      </c>
      <c r="I421" t="s">
        <v>2207</v>
      </c>
      <c r="J421" t="s">
        <v>30</v>
      </c>
      <c r="K421" t="s">
        <v>31</v>
      </c>
      <c r="L421" t="s">
        <v>26</v>
      </c>
      <c r="M421" t="s">
        <v>28</v>
      </c>
      <c r="O421" s="2">
        <v>45782.757685185185</v>
      </c>
      <c r="P421" s="2">
        <v>45951.166666666664</v>
      </c>
      <c r="Q421" t="s">
        <v>38</v>
      </c>
      <c r="R421" t="s">
        <v>76</v>
      </c>
      <c r="S421" t="s">
        <v>33</v>
      </c>
    </row>
    <row r="422" spans="1:19" x14ac:dyDescent="0.35">
      <c r="A422" t="s">
        <v>23</v>
      </c>
      <c r="B422" t="s">
        <v>2208</v>
      </c>
      <c r="C422" t="s">
        <v>1982</v>
      </c>
      <c r="D422" t="s">
        <v>2090</v>
      </c>
      <c r="E422" s="2">
        <v>45841.855936678243</v>
      </c>
      <c r="F422" t="s">
        <v>2085</v>
      </c>
      <c r="G422" t="s">
        <v>2101</v>
      </c>
      <c r="H422" t="s">
        <v>2077</v>
      </c>
      <c r="I422" t="s">
        <v>2209</v>
      </c>
      <c r="J422" t="s">
        <v>30</v>
      </c>
      <c r="K422" t="s">
        <v>31</v>
      </c>
      <c r="L422" t="s">
        <v>26</v>
      </c>
      <c r="M422" t="s">
        <v>28</v>
      </c>
      <c r="N422">
        <v>27</v>
      </c>
      <c r="O422" s="2">
        <v>45782.844664351855</v>
      </c>
      <c r="P422" s="2">
        <v>45961.166666666664</v>
      </c>
      <c r="Q422" t="s">
        <v>48</v>
      </c>
      <c r="R422" t="s">
        <v>409</v>
      </c>
      <c r="S422" t="s">
        <v>33</v>
      </c>
    </row>
    <row r="423" spans="1:19" x14ac:dyDescent="0.35">
      <c r="A423" t="s">
        <v>23</v>
      </c>
      <c r="B423" t="s">
        <v>854</v>
      </c>
      <c r="C423" t="s">
        <v>1988</v>
      </c>
      <c r="D423" t="s">
        <v>1930</v>
      </c>
      <c r="E423" s="2">
        <v>45790.58159303241</v>
      </c>
      <c r="F423" t="s">
        <v>2078</v>
      </c>
      <c r="G423" t="s">
        <v>2079</v>
      </c>
      <c r="H423" t="s">
        <v>2083</v>
      </c>
      <c r="I423" t="s">
        <v>855</v>
      </c>
      <c r="J423" t="s">
        <v>30</v>
      </c>
      <c r="K423" t="s">
        <v>70</v>
      </c>
      <c r="L423" t="s">
        <v>44</v>
      </c>
      <c r="M423" t="s">
        <v>28</v>
      </c>
      <c r="N423">
        <v>16</v>
      </c>
      <c r="O423" s="2">
        <v>45785.414618055554</v>
      </c>
      <c r="P423" s="2">
        <v>45828.166666666664</v>
      </c>
      <c r="Q423" t="s">
        <v>48</v>
      </c>
      <c r="R423" t="s">
        <v>36</v>
      </c>
      <c r="S423" t="s">
        <v>33</v>
      </c>
    </row>
    <row r="424" spans="1:19" x14ac:dyDescent="0.35">
      <c r="A424" t="s">
        <v>23</v>
      </c>
      <c r="B424" t="s">
        <v>854</v>
      </c>
      <c r="C424" t="s">
        <v>1988</v>
      </c>
      <c r="D424" t="s">
        <v>1930</v>
      </c>
      <c r="E424" s="2">
        <v>45790.581944548612</v>
      </c>
      <c r="F424" t="s">
        <v>2075</v>
      </c>
      <c r="G424" t="s">
        <v>2105</v>
      </c>
      <c r="H424" t="s">
        <v>2083</v>
      </c>
      <c r="I424" t="s">
        <v>855</v>
      </c>
      <c r="J424" t="s">
        <v>30</v>
      </c>
      <c r="K424" t="s">
        <v>70</v>
      </c>
      <c r="L424" t="s">
        <v>44</v>
      </c>
      <c r="M424" t="s">
        <v>28</v>
      </c>
      <c r="N424">
        <v>16</v>
      </c>
      <c r="O424" s="2">
        <v>45785.414618055554</v>
      </c>
      <c r="P424" s="2">
        <v>45828.166666666664</v>
      </c>
      <c r="Q424" t="s">
        <v>48</v>
      </c>
      <c r="R424" t="s">
        <v>36</v>
      </c>
      <c r="S424" t="s">
        <v>33</v>
      </c>
    </row>
    <row r="425" spans="1:19" x14ac:dyDescent="0.35">
      <c r="A425" t="s">
        <v>23</v>
      </c>
      <c r="B425" t="s">
        <v>854</v>
      </c>
      <c r="C425" t="s">
        <v>1988</v>
      </c>
      <c r="D425" t="s">
        <v>1930</v>
      </c>
      <c r="E425" s="2">
        <v>45790.58225295139</v>
      </c>
      <c r="F425" t="s">
        <v>2080</v>
      </c>
      <c r="G425" t="s">
        <v>2100</v>
      </c>
      <c r="H425" t="s">
        <v>2077</v>
      </c>
      <c r="I425" t="s">
        <v>855</v>
      </c>
      <c r="J425" t="s">
        <v>30</v>
      </c>
      <c r="K425" t="s">
        <v>70</v>
      </c>
      <c r="L425" t="s">
        <v>44</v>
      </c>
      <c r="M425" t="s">
        <v>28</v>
      </c>
      <c r="N425">
        <v>16</v>
      </c>
      <c r="O425" s="2">
        <v>45785.414618055554</v>
      </c>
      <c r="P425" s="2">
        <v>45828.166666666664</v>
      </c>
      <c r="Q425" t="s">
        <v>48</v>
      </c>
      <c r="R425" t="s">
        <v>36</v>
      </c>
      <c r="S425" t="s">
        <v>33</v>
      </c>
    </row>
    <row r="426" spans="1:19" x14ac:dyDescent="0.35">
      <c r="A426" t="s">
        <v>23</v>
      </c>
      <c r="B426" t="s">
        <v>854</v>
      </c>
      <c r="C426" t="s">
        <v>1988</v>
      </c>
      <c r="D426" t="s">
        <v>1930</v>
      </c>
      <c r="E426" s="2">
        <v>45790.582965613423</v>
      </c>
      <c r="F426" t="s">
        <v>2080</v>
      </c>
      <c r="G426" t="s">
        <v>2081</v>
      </c>
      <c r="H426" t="s">
        <v>2077</v>
      </c>
      <c r="I426" t="s">
        <v>855</v>
      </c>
      <c r="J426" t="s">
        <v>30</v>
      </c>
      <c r="K426" t="s">
        <v>70</v>
      </c>
      <c r="L426" t="s">
        <v>44</v>
      </c>
      <c r="M426" t="s">
        <v>28</v>
      </c>
      <c r="N426">
        <v>16</v>
      </c>
      <c r="O426" s="2">
        <v>45785.414618055554</v>
      </c>
      <c r="P426" s="2">
        <v>45828.166666666664</v>
      </c>
      <c r="Q426" t="s">
        <v>48</v>
      </c>
      <c r="R426" t="s">
        <v>36</v>
      </c>
      <c r="S426" t="s">
        <v>33</v>
      </c>
    </row>
    <row r="427" spans="1:19" x14ac:dyDescent="0.35">
      <c r="A427" t="s">
        <v>23</v>
      </c>
      <c r="B427" t="s">
        <v>854</v>
      </c>
      <c r="C427" t="s">
        <v>1988</v>
      </c>
      <c r="D427" t="s">
        <v>1930</v>
      </c>
      <c r="E427" s="2">
        <v>45790.583674131944</v>
      </c>
      <c r="F427" t="s">
        <v>2075</v>
      </c>
      <c r="G427" t="s">
        <v>2157</v>
      </c>
      <c r="H427" t="s">
        <v>2077</v>
      </c>
      <c r="I427" t="s">
        <v>855</v>
      </c>
      <c r="J427" t="s">
        <v>30</v>
      </c>
      <c r="K427" t="s">
        <v>70</v>
      </c>
      <c r="L427" t="s">
        <v>44</v>
      </c>
      <c r="M427" t="s">
        <v>28</v>
      </c>
      <c r="N427">
        <v>16</v>
      </c>
      <c r="O427" s="2">
        <v>45785.414618055554</v>
      </c>
      <c r="P427" s="2">
        <v>45828.166666666664</v>
      </c>
      <c r="Q427" t="s">
        <v>48</v>
      </c>
      <c r="R427" t="s">
        <v>36</v>
      </c>
      <c r="S427" t="s">
        <v>33</v>
      </c>
    </row>
    <row r="428" spans="1:19" x14ac:dyDescent="0.35">
      <c r="A428" t="s">
        <v>23</v>
      </c>
      <c r="B428" t="s">
        <v>854</v>
      </c>
      <c r="C428" t="s">
        <v>1989</v>
      </c>
      <c r="D428" t="s">
        <v>2087</v>
      </c>
      <c r="E428" s="2">
        <v>45814.687674444445</v>
      </c>
      <c r="F428" t="s">
        <v>2078</v>
      </c>
      <c r="G428" t="s">
        <v>2104</v>
      </c>
      <c r="H428" t="s">
        <v>2077</v>
      </c>
      <c r="I428" t="s">
        <v>855</v>
      </c>
      <c r="J428" t="s">
        <v>30</v>
      </c>
      <c r="K428" t="s">
        <v>70</v>
      </c>
      <c r="L428" t="s">
        <v>44</v>
      </c>
      <c r="M428" t="s">
        <v>28</v>
      </c>
      <c r="N428">
        <v>16</v>
      </c>
      <c r="O428" s="2">
        <v>45785.414618055554</v>
      </c>
      <c r="P428" s="2">
        <v>45828.166666666664</v>
      </c>
      <c r="Q428" t="s">
        <v>48</v>
      </c>
      <c r="R428" t="s">
        <v>36</v>
      </c>
      <c r="S428" t="s">
        <v>33</v>
      </c>
    </row>
    <row r="429" spans="1:19" x14ac:dyDescent="0.35">
      <c r="A429" t="s">
        <v>23</v>
      </c>
      <c r="B429" t="s">
        <v>854</v>
      </c>
      <c r="C429" t="s">
        <v>1989</v>
      </c>
      <c r="D429" t="s">
        <v>2087</v>
      </c>
      <c r="E429" s="2">
        <v>45814.68939590278</v>
      </c>
      <c r="F429" t="s">
        <v>2080</v>
      </c>
      <c r="G429" t="s">
        <v>2081</v>
      </c>
      <c r="H429" t="s">
        <v>2077</v>
      </c>
      <c r="I429" t="s">
        <v>855</v>
      </c>
      <c r="J429" t="s">
        <v>30</v>
      </c>
      <c r="K429" t="s">
        <v>70</v>
      </c>
      <c r="L429" t="s">
        <v>44</v>
      </c>
      <c r="M429" t="s">
        <v>28</v>
      </c>
      <c r="N429">
        <v>16</v>
      </c>
      <c r="O429" s="2">
        <v>45785.414618055554</v>
      </c>
      <c r="P429" s="2">
        <v>45828.166666666664</v>
      </c>
      <c r="Q429" t="s">
        <v>48</v>
      </c>
      <c r="R429" t="s">
        <v>36</v>
      </c>
      <c r="S429" t="s">
        <v>33</v>
      </c>
    </row>
    <row r="430" spans="1:19" x14ac:dyDescent="0.35">
      <c r="A430" t="s">
        <v>23</v>
      </c>
      <c r="B430" t="s">
        <v>854</v>
      </c>
      <c r="C430" t="s">
        <v>1989</v>
      </c>
      <c r="D430" t="s">
        <v>2087</v>
      </c>
      <c r="E430" s="2">
        <v>45819.778241180553</v>
      </c>
      <c r="F430" t="s">
        <v>2080</v>
      </c>
      <c r="G430" t="s">
        <v>2094</v>
      </c>
      <c r="H430" t="s">
        <v>2077</v>
      </c>
      <c r="I430" t="s">
        <v>855</v>
      </c>
      <c r="J430" t="s">
        <v>30</v>
      </c>
      <c r="K430" t="s">
        <v>70</v>
      </c>
      <c r="L430" t="s">
        <v>44</v>
      </c>
      <c r="M430" t="s">
        <v>28</v>
      </c>
      <c r="N430">
        <v>16</v>
      </c>
      <c r="O430" s="2">
        <v>45785.414618055554</v>
      </c>
      <c r="P430" s="2">
        <v>45828.166666666664</v>
      </c>
      <c r="Q430" t="s">
        <v>48</v>
      </c>
      <c r="R430" t="s">
        <v>36</v>
      </c>
      <c r="S430" t="s">
        <v>33</v>
      </c>
    </row>
    <row r="431" spans="1:19" x14ac:dyDescent="0.35">
      <c r="A431" t="s">
        <v>23</v>
      </c>
      <c r="B431" t="s">
        <v>2210</v>
      </c>
      <c r="C431" t="s">
        <v>1982</v>
      </c>
      <c r="D431" t="s">
        <v>2090</v>
      </c>
      <c r="E431" s="2">
        <v>45827.781519537035</v>
      </c>
      <c r="F431" t="s">
        <v>2088</v>
      </c>
      <c r="G431" t="s">
        <v>2134</v>
      </c>
      <c r="H431" t="s">
        <v>2077</v>
      </c>
      <c r="I431" t="s">
        <v>2211</v>
      </c>
      <c r="J431" t="s">
        <v>30</v>
      </c>
      <c r="K431" t="s">
        <v>31</v>
      </c>
      <c r="L431" t="s">
        <v>26</v>
      </c>
      <c r="M431" t="s">
        <v>28</v>
      </c>
      <c r="O431" s="2">
        <v>45786.659733796296</v>
      </c>
      <c r="P431" s="2">
        <v>45905.166666666664</v>
      </c>
      <c r="Q431" t="s">
        <v>38</v>
      </c>
      <c r="R431" t="s">
        <v>409</v>
      </c>
      <c r="S431" t="s">
        <v>33</v>
      </c>
    </row>
    <row r="432" spans="1:19" x14ac:dyDescent="0.35">
      <c r="A432" t="s">
        <v>23</v>
      </c>
      <c r="B432" t="s">
        <v>2210</v>
      </c>
      <c r="C432" t="s">
        <v>1982</v>
      </c>
      <c r="D432" t="s">
        <v>2090</v>
      </c>
      <c r="E432" s="2">
        <v>45831.621467314813</v>
      </c>
      <c r="F432" t="s">
        <v>2088</v>
      </c>
      <c r="G432" t="s">
        <v>2134</v>
      </c>
      <c r="H432" t="s">
        <v>2077</v>
      </c>
      <c r="I432" t="s">
        <v>2211</v>
      </c>
      <c r="J432" t="s">
        <v>30</v>
      </c>
      <c r="K432" t="s">
        <v>31</v>
      </c>
      <c r="L432" t="s">
        <v>26</v>
      </c>
      <c r="M432" t="s">
        <v>28</v>
      </c>
      <c r="O432" s="2">
        <v>45786.659733796296</v>
      </c>
      <c r="P432" s="2">
        <v>45905.166666666664</v>
      </c>
      <c r="Q432" t="s">
        <v>38</v>
      </c>
      <c r="R432" t="s">
        <v>409</v>
      </c>
      <c r="S432" t="s">
        <v>33</v>
      </c>
    </row>
    <row r="433" spans="1:19" x14ac:dyDescent="0.35">
      <c r="A433" t="s">
        <v>23</v>
      </c>
      <c r="B433" t="s">
        <v>500</v>
      </c>
      <c r="C433" t="s">
        <v>1989</v>
      </c>
      <c r="D433" t="s">
        <v>2087</v>
      </c>
      <c r="E433" s="2">
        <v>45827.621377314812</v>
      </c>
      <c r="F433" t="s">
        <v>2075</v>
      </c>
      <c r="G433" t="s">
        <v>2076</v>
      </c>
      <c r="H433" t="s">
        <v>2077</v>
      </c>
      <c r="I433" t="s">
        <v>501</v>
      </c>
      <c r="J433" t="s">
        <v>30</v>
      </c>
      <c r="K433" t="s">
        <v>31</v>
      </c>
      <c r="L433" t="s">
        <v>44</v>
      </c>
      <c r="M433" t="s">
        <v>28</v>
      </c>
      <c r="N433">
        <v>6</v>
      </c>
      <c r="O433" s="2">
        <v>45786.89912037037</v>
      </c>
      <c r="P433" s="2">
        <v>45826.166666666664</v>
      </c>
      <c r="Q433" t="s">
        <v>38</v>
      </c>
      <c r="R433" t="s">
        <v>36</v>
      </c>
      <c r="S433" t="s">
        <v>33</v>
      </c>
    </row>
    <row r="434" spans="1:19" x14ac:dyDescent="0.35">
      <c r="A434" t="s">
        <v>23</v>
      </c>
      <c r="B434" t="s">
        <v>2298</v>
      </c>
      <c r="C434" t="s">
        <v>1982</v>
      </c>
      <c r="D434" t="s">
        <v>2090</v>
      </c>
      <c r="E434" s="2">
        <v>45869.56831707176</v>
      </c>
      <c r="F434" t="s">
        <v>2088</v>
      </c>
      <c r="G434" t="s">
        <v>2134</v>
      </c>
      <c r="H434" t="s">
        <v>2077</v>
      </c>
      <c r="I434" t="s">
        <v>2299</v>
      </c>
      <c r="J434" t="s">
        <v>30</v>
      </c>
      <c r="K434" t="s">
        <v>31</v>
      </c>
      <c r="L434" t="s">
        <v>26</v>
      </c>
      <c r="M434" t="s">
        <v>28</v>
      </c>
      <c r="O434" s="2">
        <v>45790.741249999999</v>
      </c>
      <c r="P434" s="2">
        <v>45940.166666666664</v>
      </c>
      <c r="Q434" t="s">
        <v>32</v>
      </c>
      <c r="R434" t="s">
        <v>25</v>
      </c>
      <c r="S434" t="s">
        <v>33</v>
      </c>
    </row>
    <row r="435" spans="1:19" x14ac:dyDescent="0.35">
      <c r="A435" t="s">
        <v>23</v>
      </c>
      <c r="B435" t="s">
        <v>2300</v>
      </c>
      <c r="C435" t="s">
        <v>1980</v>
      </c>
      <c r="D435" t="s">
        <v>2143</v>
      </c>
      <c r="E435" s="2">
        <v>45869.601090219905</v>
      </c>
      <c r="F435" t="s">
        <v>2075</v>
      </c>
      <c r="G435" t="s">
        <v>2093</v>
      </c>
      <c r="H435" t="s">
        <v>2083</v>
      </c>
      <c r="I435" t="s">
        <v>2301</v>
      </c>
      <c r="J435" t="s">
        <v>30</v>
      </c>
      <c r="K435" t="s">
        <v>70</v>
      </c>
      <c r="L435" t="s">
        <v>26</v>
      </c>
      <c r="M435" t="s">
        <v>28</v>
      </c>
      <c r="O435" s="2">
        <v>45790.593124999999</v>
      </c>
      <c r="P435" s="2">
        <v>45912.166666666664</v>
      </c>
      <c r="Q435" t="s">
        <v>38</v>
      </c>
      <c r="R435" t="s">
        <v>36</v>
      </c>
      <c r="S435" t="s">
        <v>81</v>
      </c>
    </row>
    <row r="436" spans="1:19" x14ac:dyDescent="0.35">
      <c r="A436" t="s">
        <v>23</v>
      </c>
      <c r="B436" t="s">
        <v>2212</v>
      </c>
      <c r="C436" t="s">
        <v>1982</v>
      </c>
      <c r="D436" t="s">
        <v>2090</v>
      </c>
      <c r="E436" s="2">
        <v>45839.871166342593</v>
      </c>
      <c r="F436" t="s">
        <v>2088</v>
      </c>
      <c r="G436" t="s">
        <v>2091</v>
      </c>
      <c r="H436" t="s">
        <v>2083</v>
      </c>
      <c r="I436" t="s">
        <v>2213</v>
      </c>
      <c r="J436" t="s">
        <v>30</v>
      </c>
      <c r="K436" t="s">
        <v>300</v>
      </c>
      <c r="L436" t="s">
        <v>26</v>
      </c>
      <c r="M436" t="s">
        <v>28</v>
      </c>
      <c r="N436">
        <v>10</v>
      </c>
      <c r="O436" s="2">
        <v>45791.841377314813</v>
      </c>
      <c r="P436" s="2">
        <v>45917.166666666664</v>
      </c>
      <c r="Q436" t="s">
        <v>38</v>
      </c>
      <c r="R436" t="s">
        <v>76</v>
      </c>
      <c r="S436" t="s">
        <v>33</v>
      </c>
    </row>
    <row r="437" spans="1:19" x14ac:dyDescent="0.35">
      <c r="A437" t="s">
        <v>23</v>
      </c>
      <c r="B437" t="s">
        <v>2212</v>
      </c>
      <c r="C437" t="s">
        <v>1982</v>
      </c>
      <c r="D437" t="s">
        <v>2090</v>
      </c>
      <c r="E437" s="2">
        <v>45854.690243263889</v>
      </c>
      <c r="F437" t="s">
        <v>2088</v>
      </c>
      <c r="G437" t="s">
        <v>2134</v>
      </c>
      <c r="H437" t="s">
        <v>2083</v>
      </c>
      <c r="I437" t="s">
        <v>2213</v>
      </c>
      <c r="J437" t="s">
        <v>30</v>
      </c>
      <c r="K437" t="s">
        <v>300</v>
      </c>
      <c r="L437" t="s">
        <v>26</v>
      </c>
      <c r="M437" t="s">
        <v>28</v>
      </c>
      <c r="N437">
        <v>10</v>
      </c>
      <c r="O437" s="2">
        <v>45791.841377314813</v>
      </c>
      <c r="P437" s="2">
        <v>45917.166666666664</v>
      </c>
      <c r="Q437" t="s">
        <v>38</v>
      </c>
      <c r="R437" t="s">
        <v>76</v>
      </c>
      <c r="S437" t="s">
        <v>33</v>
      </c>
    </row>
    <row r="438" spans="1:19" x14ac:dyDescent="0.35">
      <c r="A438" t="s">
        <v>23</v>
      </c>
      <c r="B438" t="s">
        <v>2214</v>
      </c>
      <c r="C438" t="s">
        <v>1982</v>
      </c>
      <c r="D438" t="s">
        <v>2090</v>
      </c>
      <c r="E438" s="2">
        <v>45860.733493148145</v>
      </c>
      <c r="F438" t="s">
        <v>2088</v>
      </c>
      <c r="G438" t="s">
        <v>2134</v>
      </c>
      <c r="H438" t="s">
        <v>2077</v>
      </c>
      <c r="I438" t="s">
        <v>2215</v>
      </c>
      <c r="J438" t="s">
        <v>30</v>
      </c>
      <c r="K438" t="s">
        <v>31</v>
      </c>
      <c r="L438" t="s">
        <v>26</v>
      </c>
      <c r="M438" t="s">
        <v>28</v>
      </c>
      <c r="O438" s="2">
        <v>45798.667025462964</v>
      </c>
      <c r="P438" s="2">
        <v>45910.166666666664</v>
      </c>
      <c r="Q438" t="s">
        <v>38</v>
      </c>
      <c r="R438" t="s">
        <v>76</v>
      </c>
      <c r="S438" t="s">
        <v>33</v>
      </c>
    </row>
    <row r="439" spans="1:19" x14ac:dyDescent="0.35">
      <c r="A439" t="s">
        <v>23</v>
      </c>
      <c r="B439" t="s">
        <v>2216</v>
      </c>
      <c r="C439" t="s">
        <v>1989</v>
      </c>
      <c r="D439" t="s">
        <v>2138</v>
      </c>
      <c r="E439" s="2">
        <v>45862.450834074072</v>
      </c>
      <c r="F439" t="s">
        <v>2075</v>
      </c>
      <c r="G439" t="s">
        <v>2157</v>
      </c>
      <c r="H439" t="s">
        <v>2083</v>
      </c>
      <c r="I439" t="s">
        <v>2217</v>
      </c>
      <c r="J439" t="s">
        <v>30</v>
      </c>
      <c r="K439" t="s">
        <v>31</v>
      </c>
      <c r="L439" t="s">
        <v>44</v>
      </c>
      <c r="M439" t="s">
        <v>28</v>
      </c>
      <c r="N439">
        <v>38</v>
      </c>
      <c r="O439" s="2">
        <v>45799.573460648149</v>
      </c>
      <c r="P439" s="2">
        <v>45854.166666666664</v>
      </c>
      <c r="Q439" t="s">
        <v>48</v>
      </c>
      <c r="R439" t="s">
        <v>36</v>
      </c>
      <c r="S439" t="s">
        <v>33</v>
      </c>
    </row>
    <row r="440" spans="1:19" x14ac:dyDescent="0.35">
      <c r="A440" t="s">
        <v>23</v>
      </c>
      <c r="B440" t="s">
        <v>2218</v>
      </c>
      <c r="C440" t="s">
        <v>1980</v>
      </c>
      <c r="D440" t="s">
        <v>2112</v>
      </c>
      <c r="E440" s="2">
        <v>45852.798502523146</v>
      </c>
      <c r="F440" t="s">
        <v>2088</v>
      </c>
      <c r="G440" t="s">
        <v>2134</v>
      </c>
      <c r="H440" t="s">
        <v>2077</v>
      </c>
      <c r="I440" t="s">
        <v>2219</v>
      </c>
      <c r="J440" t="s">
        <v>30</v>
      </c>
      <c r="K440" t="s">
        <v>31</v>
      </c>
      <c r="L440" t="s">
        <v>26</v>
      </c>
      <c r="M440" t="s">
        <v>28</v>
      </c>
      <c r="O440" s="2">
        <v>45804.45789351852</v>
      </c>
      <c r="P440" s="2">
        <v>45940.166666666664</v>
      </c>
      <c r="Q440" t="s">
        <v>38</v>
      </c>
      <c r="R440" t="s">
        <v>54</v>
      </c>
      <c r="S440" t="s">
        <v>33</v>
      </c>
    </row>
    <row r="441" spans="1:19" x14ac:dyDescent="0.35">
      <c r="A441" t="s">
        <v>23</v>
      </c>
      <c r="B441" t="s">
        <v>2220</v>
      </c>
      <c r="C441" t="s">
        <v>1980</v>
      </c>
      <c r="D441" t="s">
        <v>2221</v>
      </c>
      <c r="E441" s="2">
        <v>45835.850081539349</v>
      </c>
      <c r="F441" t="s">
        <v>2085</v>
      </c>
      <c r="G441" t="s">
        <v>2101</v>
      </c>
      <c r="H441" t="s">
        <v>2083</v>
      </c>
      <c r="I441" t="s">
        <v>2222</v>
      </c>
      <c r="J441" t="s">
        <v>30</v>
      </c>
      <c r="K441" t="s">
        <v>31</v>
      </c>
      <c r="L441" t="s">
        <v>44</v>
      </c>
      <c r="M441" t="s">
        <v>28</v>
      </c>
      <c r="N441">
        <v>23</v>
      </c>
      <c r="O441" s="2">
        <v>45806.689525462964</v>
      </c>
      <c r="P441" s="2">
        <v>45868.166666666664</v>
      </c>
      <c r="Q441" t="s">
        <v>48</v>
      </c>
      <c r="R441" t="s">
        <v>36</v>
      </c>
      <c r="S441" t="s">
        <v>81</v>
      </c>
    </row>
    <row r="442" spans="1:19" x14ac:dyDescent="0.35">
      <c r="A442" t="s">
        <v>23</v>
      </c>
      <c r="B442" t="s">
        <v>2223</v>
      </c>
      <c r="C442" t="s">
        <v>1982</v>
      </c>
      <c r="D442" t="s">
        <v>2110</v>
      </c>
      <c r="E442" s="2">
        <v>45855.835251192133</v>
      </c>
      <c r="F442" t="s">
        <v>2078</v>
      </c>
      <c r="G442" t="s">
        <v>2109</v>
      </c>
      <c r="H442" t="s">
        <v>2083</v>
      </c>
      <c r="I442" t="s">
        <v>2224</v>
      </c>
      <c r="J442" t="s">
        <v>30</v>
      </c>
      <c r="K442" t="s">
        <v>31</v>
      </c>
      <c r="L442" t="s">
        <v>26</v>
      </c>
      <c r="M442" t="s">
        <v>28</v>
      </c>
      <c r="O442" s="2">
        <v>45811.713252314818</v>
      </c>
      <c r="P442" s="2">
        <v>45897.166666666664</v>
      </c>
      <c r="Q442" t="s">
        <v>38</v>
      </c>
      <c r="R442" t="s">
        <v>76</v>
      </c>
      <c r="S442" t="s">
        <v>33</v>
      </c>
    </row>
    <row r="443" spans="1:19" x14ac:dyDescent="0.35">
      <c r="A443" t="s">
        <v>23</v>
      </c>
      <c r="B443" t="s">
        <v>2223</v>
      </c>
      <c r="C443" t="s">
        <v>1982</v>
      </c>
      <c r="D443" t="s">
        <v>2110</v>
      </c>
      <c r="E443" s="2">
        <v>45859.551349166664</v>
      </c>
      <c r="F443" t="s">
        <v>2088</v>
      </c>
      <c r="G443" t="s">
        <v>2134</v>
      </c>
      <c r="H443" t="s">
        <v>2077</v>
      </c>
      <c r="I443" t="s">
        <v>2224</v>
      </c>
      <c r="J443" t="s">
        <v>30</v>
      </c>
      <c r="K443" t="s">
        <v>31</v>
      </c>
      <c r="L443" t="s">
        <v>26</v>
      </c>
      <c r="M443" t="s">
        <v>28</v>
      </c>
      <c r="O443" s="2">
        <v>45811.713252314818</v>
      </c>
      <c r="P443" s="2">
        <v>45897.166666666664</v>
      </c>
      <c r="Q443" t="s">
        <v>38</v>
      </c>
      <c r="R443" t="s">
        <v>76</v>
      </c>
      <c r="S443" t="s">
        <v>33</v>
      </c>
    </row>
    <row r="444" spans="1:19" x14ac:dyDescent="0.35">
      <c r="A444" t="s">
        <v>23</v>
      </c>
      <c r="B444" t="s">
        <v>2225</v>
      </c>
      <c r="C444" t="s">
        <v>1982</v>
      </c>
      <c r="D444" t="s">
        <v>2110</v>
      </c>
      <c r="E444" s="2">
        <v>45849.70934212963</v>
      </c>
      <c r="F444" t="s">
        <v>2078</v>
      </c>
      <c r="G444" t="s">
        <v>2109</v>
      </c>
      <c r="H444" t="s">
        <v>2077</v>
      </c>
      <c r="I444" t="s">
        <v>2226</v>
      </c>
      <c r="J444" t="s">
        <v>30</v>
      </c>
      <c r="K444" t="s">
        <v>31</v>
      </c>
      <c r="L444" t="s">
        <v>26</v>
      </c>
      <c r="M444" t="s">
        <v>28</v>
      </c>
      <c r="N444">
        <v>44</v>
      </c>
      <c r="O444" s="2">
        <v>45814.585763888892</v>
      </c>
      <c r="P444" s="2">
        <v>45898.166666666664</v>
      </c>
      <c r="Q444" t="s">
        <v>32</v>
      </c>
      <c r="R444" t="s">
        <v>25</v>
      </c>
      <c r="S444" t="s">
        <v>33</v>
      </c>
    </row>
    <row r="445" spans="1:19" x14ac:dyDescent="0.35">
      <c r="A445" t="s">
        <v>23</v>
      </c>
      <c r="B445" t="s">
        <v>2302</v>
      </c>
      <c r="C445" t="s">
        <v>1982</v>
      </c>
      <c r="D445" t="s">
        <v>2110</v>
      </c>
      <c r="E445" s="2">
        <v>45866.634848541667</v>
      </c>
      <c r="F445" t="s">
        <v>2075</v>
      </c>
      <c r="G445" t="s">
        <v>2105</v>
      </c>
      <c r="H445" t="s">
        <v>2077</v>
      </c>
      <c r="I445" t="s">
        <v>2303</v>
      </c>
      <c r="J445" t="s">
        <v>30</v>
      </c>
      <c r="K445" t="s">
        <v>31</v>
      </c>
      <c r="L445" t="s">
        <v>26</v>
      </c>
      <c r="M445" t="s">
        <v>28</v>
      </c>
      <c r="O445" s="2">
        <v>45817.639791666668</v>
      </c>
      <c r="P445" s="2">
        <v>45964.208333333336</v>
      </c>
      <c r="Q445" t="s">
        <v>38</v>
      </c>
      <c r="R445" t="s">
        <v>76</v>
      </c>
      <c r="S445" t="s">
        <v>33</v>
      </c>
    </row>
    <row r="446" spans="1:19" x14ac:dyDescent="0.35">
      <c r="A446" t="s">
        <v>23</v>
      </c>
      <c r="B446" t="s">
        <v>2227</v>
      </c>
      <c r="C446" t="s">
        <v>1982</v>
      </c>
      <c r="D446" t="s">
        <v>2090</v>
      </c>
      <c r="E446" s="2">
        <v>45860.869419166665</v>
      </c>
      <c r="F446" t="s">
        <v>2088</v>
      </c>
      <c r="G446" t="s">
        <v>2134</v>
      </c>
      <c r="H446" t="s">
        <v>2077</v>
      </c>
      <c r="I446" t="s">
        <v>2228</v>
      </c>
      <c r="J446" t="s">
        <v>30</v>
      </c>
      <c r="K446" t="s">
        <v>31</v>
      </c>
      <c r="L446" t="s">
        <v>26</v>
      </c>
      <c r="M446" t="s">
        <v>28</v>
      </c>
      <c r="O446" s="2">
        <v>45817.845370370371</v>
      </c>
      <c r="P446" s="2">
        <v>45916.166666666664</v>
      </c>
      <c r="Q446" t="s">
        <v>38</v>
      </c>
      <c r="R446" t="s">
        <v>76</v>
      </c>
      <c r="S446" t="s">
        <v>33</v>
      </c>
    </row>
    <row r="447" spans="1:19" x14ac:dyDescent="0.35">
      <c r="A447" t="s">
        <v>23</v>
      </c>
      <c r="B447" t="s">
        <v>2227</v>
      </c>
      <c r="C447" t="s">
        <v>1982</v>
      </c>
      <c r="D447" t="s">
        <v>2090</v>
      </c>
      <c r="E447" s="2">
        <v>45861.672647858795</v>
      </c>
      <c r="F447" t="s">
        <v>2088</v>
      </c>
      <c r="G447" t="s">
        <v>2134</v>
      </c>
      <c r="H447" t="s">
        <v>2083</v>
      </c>
      <c r="I447" t="s">
        <v>2228</v>
      </c>
      <c r="J447" t="s">
        <v>30</v>
      </c>
      <c r="K447" t="s">
        <v>31</v>
      </c>
      <c r="L447" t="s">
        <v>26</v>
      </c>
      <c r="M447" t="s">
        <v>28</v>
      </c>
      <c r="O447" s="2">
        <v>45817.845370370371</v>
      </c>
      <c r="P447" s="2">
        <v>45916.166666666664</v>
      </c>
      <c r="Q447" t="s">
        <v>38</v>
      </c>
      <c r="R447" t="s">
        <v>76</v>
      </c>
      <c r="S447" t="s">
        <v>33</v>
      </c>
    </row>
    <row r="448" spans="1:19" x14ac:dyDescent="0.35">
      <c r="A448" t="s">
        <v>23</v>
      </c>
      <c r="B448" t="s">
        <v>1040</v>
      </c>
      <c r="C448" t="s">
        <v>1989</v>
      </c>
      <c r="D448" t="s">
        <v>2138</v>
      </c>
      <c r="E448" s="2">
        <v>45835.859686076386</v>
      </c>
      <c r="F448" t="s">
        <v>2080</v>
      </c>
      <c r="G448" t="s">
        <v>2094</v>
      </c>
      <c r="H448" t="s">
        <v>2077</v>
      </c>
      <c r="I448" t="s">
        <v>1041</v>
      </c>
      <c r="J448" t="s">
        <v>30</v>
      </c>
      <c r="K448" t="s">
        <v>31</v>
      </c>
      <c r="L448" t="s">
        <v>44</v>
      </c>
      <c r="M448" t="s">
        <v>28</v>
      </c>
      <c r="N448">
        <v>37</v>
      </c>
      <c r="O448" s="2">
        <v>45821.732997685183</v>
      </c>
      <c r="P448" s="2">
        <v>45842.166666666664</v>
      </c>
      <c r="Q448" t="s">
        <v>48</v>
      </c>
      <c r="R448" t="s">
        <v>36</v>
      </c>
      <c r="S448" t="s">
        <v>33</v>
      </c>
    </row>
    <row r="449" spans="1:19" x14ac:dyDescent="0.35">
      <c r="A449" t="s">
        <v>23</v>
      </c>
      <c r="B449" t="s">
        <v>2229</v>
      </c>
      <c r="C449" t="s">
        <v>1982</v>
      </c>
      <c r="D449" t="s">
        <v>2110</v>
      </c>
      <c r="E449" s="2">
        <v>45855.88623452546</v>
      </c>
      <c r="F449" t="s">
        <v>2075</v>
      </c>
      <c r="G449" t="s">
        <v>2105</v>
      </c>
      <c r="H449" t="s">
        <v>2077</v>
      </c>
      <c r="I449" t="s">
        <v>2230</v>
      </c>
      <c r="J449" t="s">
        <v>30</v>
      </c>
      <c r="K449" t="s">
        <v>31</v>
      </c>
      <c r="L449" t="s">
        <v>26</v>
      </c>
      <c r="M449" t="s">
        <v>28</v>
      </c>
      <c r="O449" s="2">
        <v>45826.571203703701</v>
      </c>
      <c r="P449" s="2">
        <v>45911.166666666664</v>
      </c>
      <c r="Q449" t="s">
        <v>38</v>
      </c>
      <c r="R449" t="s">
        <v>76</v>
      </c>
      <c r="S449" t="s">
        <v>33</v>
      </c>
    </row>
    <row r="450" spans="1:19" x14ac:dyDescent="0.35">
      <c r="A450" t="s">
        <v>23</v>
      </c>
      <c r="B450" t="s">
        <v>467</v>
      </c>
      <c r="C450" t="s">
        <v>1989</v>
      </c>
      <c r="D450" t="s">
        <v>2087</v>
      </c>
      <c r="E450" s="2">
        <v>45827.785612013889</v>
      </c>
      <c r="F450" t="s">
        <v>2085</v>
      </c>
      <c r="G450" t="s">
        <v>2086</v>
      </c>
      <c r="H450" t="s">
        <v>2077</v>
      </c>
      <c r="I450" t="s">
        <v>468</v>
      </c>
      <c r="J450" t="s">
        <v>30</v>
      </c>
      <c r="K450" t="s">
        <v>31</v>
      </c>
      <c r="L450" t="s">
        <v>44</v>
      </c>
      <c r="M450" t="s">
        <v>28</v>
      </c>
      <c r="N450">
        <v>5</v>
      </c>
      <c r="O450" s="2">
        <v>45827.57435185185</v>
      </c>
      <c r="P450" s="2">
        <v>45827.166666666664</v>
      </c>
      <c r="Q450" t="s">
        <v>174</v>
      </c>
      <c r="R450" t="s">
        <v>373</v>
      </c>
      <c r="S450" t="s">
        <v>33</v>
      </c>
    </row>
    <row r="451" spans="1:19" x14ac:dyDescent="0.35">
      <c r="A451" t="s">
        <v>23</v>
      </c>
      <c r="B451" t="s">
        <v>467</v>
      </c>
      <c r="C451" t="s">
        <v>1989</v>
      </c>
      <c r="D451" t="s">
        <v>2087</v>
      </c>
      <c r="E451" s="2">
        <v>45827.787526817126</v>
      </c>
      <c r="F451" t="s">
        <v>2078</v>
      </c>
      <c r="G451" t="s">
        <v>2104</v>
      </c>
      <c r="H451" t="s">
        <v>2077</v>
      </c>
      <c r="I451" t="s">
        <v>468</v>
      </c>
      <c r="J451" t="s">
        <v>30</v>
      </c>
      <c r="K451" t="s">
        <v>31</v>
      </c>
      <c r="L451" t="s">
        <v>44</v>
      </c>
      <c r="M451" t="s">
        <v>28</v>
      </c>
      <c r="N451">
        <v>5</v>
      </c>
      <c r="O451" s="2">
        <v>45827.57435185185</v>
      </c>
      <c r="P451" s="2">
        <v>45827.166666666664</v>
      </c>
      <c r="Q451" t="s">
        <v>174</v>
      </c>
      <c r="R451" t="s">
        <v>373</v>
      </c>
      <c r="S451" t="s">
        <v>33</v>
      </c>
    </row>
    <row r="452" spans="1:19" x14ac:dyDescent="0.35">
      <c r="A452" t="s">
        <v>23</v>
      </c>
      <c r="B452" t="s">
        <v>172</v>
      </c>
      <c r="C452" t="s">
        <v>1989</v>
      </c>
      <c r="D452" t="s">
        <v>2087</v>
      </c>
      <c r="E452" s="2">
        <v>45834.84868949074</v>
      </c>
      <c r="F452" t="s">
        <v>2075</v>
      </c>
      <c r="G452" t="s">
        <v>2105</v>
      </c>
      <c r="H452" t="s">
        <v>2077</v>
      </c>
      <c r="I452" t="s">
        <v>173</v>
      </c>
      <c r="J452" t="s">
        <v>30</v>
      </c>
      <c r="K452" t="s">
        <v>31</v>
      </c>
      <c r="L452" t="s">
        <v>44</v>
      </c>
      <c r="M452" t="s">
        <v>46</v>
      </c>
      <c r="O452" s="2">
        <v>45827.580914351849</v>
      </c>
      <c r="P452" s="2">
        <v>45835.166666666664</v>
      </c>
      <c r="Q452" t="s">
        <v>174</v>
      </c>
      <c r="R452" t="s">
        <v>54</v>
      </c>
      <c r="S452" t="s">
        <v>33</v>
      </c>
    </row>
    <row r="453" spans="1:19" x14ac:dyDescent="0.35">
      <c r="A453" t="s">
        <v>23</v>
      </c>
      <c r="B453" t="s">
        <v>2231</v>
      </c>
      <c r="C453" t="s">
        <v>1989</v>
      </c>
      <c r="D453" t="s">
        <v>2138</v>
      </c>
      <c r="E453" s="2">
        <v>45862.655804247683</v>
      </c>
      <c r="F453" t="s">
        <v>2080</v>
      </c>
      <c r="G453" t="s">
        <v>2094</v>
      </c>
      <c r="H453" t="s">
        <v>2083</v>
      </c>
      <c r="I453" t="s">
        <v>2232</v>
      </c>
      <c r="J453" t="s">
        <v>30</v>
      </c>
      <c r="K453" t="s">
        <v>31</v>
      </c>
      <c r="L453" t="s">
        <v>44</v>
      </c>
      <c r="M453" t="s">
        <v>28</v>
      </c>
      <c r="N453">
        <v>30</v>
      </c>
      <c r="O453" s="2">
        <v>45838.682638888888</v>
      </c>
      <c r="P453" s="2">
        <v>45847.166666666664</v>
      </c>
      <c r="Q453" t="s">
        <v>48</v>
      </c>
      <c r="R453" t="s">
        <v>36</v>
      </c>
      <c r="S453" t="s">
        <v>33</v>
      </c>
    </row>
    <row r="454" spans="1:19" x14ac:dyDescent="0.35">
      <c r="A454" t="s">
        <v>23</v>
      </c>
      <c r="B454" t="s">
        <v>2233</v>
      </c>
      <c r="C454" t="s">
        <v>1973</v>
      </c>
      <c r="D454" t="s">
        <v>2221</v>
      </c>
      <c r="E454" s="2">
        <v>45856.889856192131</v>
      </c>
      <c r="F454" t="s">
        <v>2088</v>
      </c>
      <c r="G454" t="s">
        <v>2134</v>
      </c>
      <c r="H454" t="s">
        <v>2083</v>
      </c>
      <c r="I454" t="s">
        <v>2304</v>
      </c>
      <c r="J454" t="s">
        <v>30</v>
      </c>
      <c r="K454" t="s">
        <v>31</v>
      </c>
      <c r="L454" t="s">
        <v>26</v>
      </c>
      <c r="M454" t="s">
        <v>28</v>
      </c>
      <c r="O454" s="2">
        <v>45849.819305555553</v>
      </c>
      <c r="P454" s="2">
        <v>45930.166666666664</v>
      </c>
      <c r="Q454" t="s">
        <v>48</v>
      </c>
      <c r="R454" t="s">
        <v>36</v>
      </c>
      <c r="S454" t="s">
        <v>81</v>
      </c>
    </row>
    <row r="455" spans="1:19" x14ac:dyDescent="0.35">
      <c r="A455" t="s">
        <v>23</v>
      </c>
      <c r="B455" t="s">
        <v>2233</v>
      </c>
      <c r="C455" t="s">
        <v>1980</v>
      </c>
      <c r="D455" t="s">
        <v>2221</v>
      </c>
      <c r="E455" s="2">
        <v>45856.890552592595</v>
      </c>
      <c r="F455" t="s">
        <v>2088</v>
      </c>
      <c r="G455" t="s">
        <v>2134</v>
      </c>
      <c r="H455" t="s">
        <v>2083</v>
      </c>
      <c r="I455" t="s">
        <v>2304</v>
      </c>
      <c r="J455" t="s">
        <v>30</v>
      </c>
      <c r="K455" t="s">
        <v>31</v>
      </c>
      <c r="L455" t="s">
        <v>26</v>
      </c>
      <c r="M455" t="s">
        <v>28</v>
      </c>
      <c r="O455" s="2">
        <v>45849.819305555553</v>
      </c>
      <c r="P455" s="2">
        <v>45930.166666666664</v>
      </c>
      <c r="Q455" t="s">
        <v>48</v>
      </c>
      <c r="R455" t="s">
        <v>36</v>
      </c>
      <c r="S455" t="s">
        <v>81</v>
      </c>
    </row>
    <row r="456" spans="1:19" x14ac:dyDescent="0.35">
      <c r="A456" t="s">
        <v>23</v>
      </c>
      <c r="B456" t="s">
        <v>2305</v>
      </c>
      <c r="C456" t="s">
        <v>1989</v>
      </c>
      <c r="D456" t="s">
        <v>2138</v>
      </c>
      <c r="E456" s="2">
        <v>45869.409126863429</v>
      </c>
      <c r="F456" t="s">
        <v>2078</v>
      </c>
      <c r="G456" t="s">
        <v>2115</v>
      </c>
      <c r="H456" t="s">
        <v>2077</v>
      </c>
      <c r="I456" t="s">
        <v>2306</v>
      </c>
      <c r="J456" t="s">
        <v>2307</v>
      </c>
      <c r="K456" t="s">
        <v>31</v>
      </c>
      <c r="L456" t="s">
        <v>44</v>
      </c>
      <c r="M456" t="s">
        <v>28</v>
      </c>
      <c r="O456" s="2">
        <v>45852.565300925926</v>
      </c>
      <c r="P456" s="2">
        <v>45870.166666666664</v>
      </c>
      <c r="Q456" t="s">
        <v>48</v>
      </c>
      <c r="R456" t="s">
        <v>36</v>
      </c>
      <c r="S456" t="s">
        <v>33</v>
      </c>
    </row>
    <row r="457" spans="1:19" x14ac:dyDescent="0.35">
      <c r="A457" t="s">
        <v>23</v>
      </c>
      <c r="B457" t="s">
        <v>2234</v>
      </c>
      <c r="C457" t="s">
        <v>1980</v>
      </c>
      <c r="D457" t="s">
        <v>2153</v>
      </c>
      <c r="E457" s="2">
        <v>45666.858997314812</v>
      </c>
      <c r="F457" t="s">
        <v>2085</v>
      </c>
      <c r="G457" t="s">
        <v>2101</v>
      </c>
      <c r="H457" t="s">
        <v>2083</v>
      </c>
      <c r="J457" t="s">
        <v>2136</v>
      </c>
      <c r="K457" t="s">
        <v>2235</v>
      </c>
      <c r="L457" t="s">
        <v>44</v>
      </c>
      <c r="M457" t="s">
        <v>1716</v>
      </c>
      <c r="O457" s="2">
        <v>45265.208333333336</v>
      </c>
      <c r="P457" s="2"/>
      <c r="Q457" t="s">
        <v>38</v>
      </c>
      <c r="R457" t="s">
        <v>54</v>
      </c>
    </row>
    <row r="458" spans="1:19" x14ac:dyDescent="0.35">
      <c r="A458" t="s">
        <v>23</v>
      </c>
      <c r="B458" t="s">
        <v>405</v>
      </c>
      <c r="C458" t="s">
        <v>1988</v>
      </c>
      <c r="D458" t="s">
        <v>2084</v>
      </c>
      <c r="E458" s="2">
        <v>45664.68493358796</v>
      </c>
      <c r="F458" t="s">
        <v>2085</v>
      </c>
      <c r="G458" t="s">
        <v>2086</v>
      </c>
      <c r="H458" t="s">
        <v>2077</v>
      </c>
      <c r="I458" t="s">
        <v>406</v>
      </c>
      <c r="J458" t="s">
        <v>30</v>
      </c>
      <c r="K458" t="s">
        <v>208</v>
      </c>
      <c r="L458" t="s">
        <v>44</v>
      </c>
      <c r="M458" t="s">
        <v>28</v>
      </c>
      <c r="N458">
        <v>4</v>
      </c>
      <c r="O458" s="2">
        <v>45302.208333333336</v>
      </c>
      <c r="P458" s="2">
        <v>45702.208333333336</v>
      </c>
      <c r="Q458" t="s">
        <v>48</v>
      </c>
      <c r="R458" t="s">
        <v>244</v>
      </c>
    </row>
    <row r="459" spans="1:19" x14ac:dyDescent="0.35">
      <c r="A459" t="s">
        <v>23</v>
      </c>
      <c r="B459" t="s">
        <v>405</v>
      </c>
      <c r="C459" t="s">
        <v>1988</v>
      </c>
      <c r="D459" t="s">
        <v>2084</v>
      </c>
      <c r="E459" s="2">
        <v>45667.269453032408</v>
      </c>
      <c r="F459" t="s">
        <v>2085</v>
      </c>
      <c r="G459" t="s">
        <v>2086</v>
      </c>
      <c r="H459" t="s">
        <v>2077</v>
      </c>
      <c r="I459" t="s">
        <v>406</v>
      </c>
      <c r="J459" t="s">
        <v>30</v>
      </c>
      <c r="K459" t="s">
        <v>208</v>
      </c>
      <c r="L459" t="s">
        <v>44</v>
      </c>
      <c r="M459" t="s">
        <v>28</v>
      </c>
      <c r="N459">
        <v>4</v>
      </c>
      <c r="O459" s="2">
        <v>45302.208333333336</v>
      </c>
      <c r="P459" s="2">
        <v>45702.208333333336</v>
      </c>
      <c r="Q459" t="s">
        <v>48</v>
      </c>
      <c r="R459" t="s">
        <v>244</v>
      </c>
    </row>
    <row r="460" spans="1:19" x14ac:dyDescent="0.35">
      <c r="A460" t="s">
        <v>23</v>
      </c>
      <c r="B460" t="s">
        <v>240</v>
      </c>
      <c r="C460" t="s">
        <v>1989</v>
      </c>
      <c r="D460" t="s">
        <v>2119</v>
      </c>
      <c r="E460" s="2">
        <v>45666.818746898149</v>
      </c>
      <c r="F460" t="s">
        <v>2085</v>
      </c>
      <c r="G460" t="s">
        <v>2086</v>
      </c>
      <c r="H460" t="s">
        <v>2083</v>
      </c>
      <c r="I460" t="s">
        <v>241</v>
      </c>
      <c r="J460" t="s">
        <v>30</v>
      </c>
      <c r="K460" t="s">
        <v>208</v>
      </c>
      <c r="L460" t="s">
        <v>44</v>
      </c>
      <c r="M460" t="s">
        <v>28</v>
      </c>
      <c r="N460">
        <v>1</v>
      </c>
      <c r="O460" s="2">
        <v>45317.208333333336</v>
      </c>
      <c r="P460" s="2">
        <v>45674.208333333336</v>
      </c>
      <c r="Q460" t="s">
        <v>48</v>
      </c>
      <c r="R460" t="s">
        <v>54</v>
      </c>
    </row>
    <row r="461" spans="1:19" x14ac:dyDescent="0.35">
      <c r="A461" t="s">
        <v>23</v>
      </c>
      <c r="B461" t="s">
        <v>243</v>
      </c>
      <c r="C461" t="s">
        <v>1988</v>
      </c>
      <c r="D461" t="s">
        <v>2084</v>
      </c>
      <c r="E461" s="2">
        <v>45660.78532826389</v>
      </c>
      <c r="F461" t="s">
        <v>2085</v>
      </c>
      <c r="G461" t="s">
        <v>2086</v>
      </c>
      <c r="H461" t="s">
        <v>2077</v>
      </c>
      <c r="I461" t="s">
        <v>245</v>
      </c>
      <c r="J461" t="s">
        <v>30</v>
      </c>
      <c r="K461" t="s">
        <v>208</v>
      </c>
      <c r="L461" t="s">
        <v>44</v>
      </c>
      <c r="M461" t="s">
        <v>28</v>
      </c>
      <c r="N461">
        <v>1</v>
      </c>
      <c r="O461" s="2">
        <v>45317.208333333336</v>
      </c>
      <c r="P461" s="2">
        <v>45671.208333333336</v>
      </c>
      <c r="Q461" t="s">
        <v>48</v>
      </c>
      <c r="R461" t="s">
        <v>244</v>
      </c>
      <c r="S461" t="s">
        <v>33</v>
      </c>
    </row>
    <row r="462" spans="1:19" x14ac:dyDescent="0.35">
      <c r="A462" t="s">
        <v>23</v>
      </c>
      <c r="B462" t="s">
        <v>243</v>
      </c>
      <c r="C462" t="s">
        <v>1988</v>
      </c>
      <c r="D462" t="s">
        <v>2084</v>
      </c>
      <c r="E462" s="2">
        <v>45666.233670034722</v>
      </c>
      <c r="F462" t="s">
        <v>2085</v>
      </c>
      <c r="G462" t="s">
        <v>2086</v>
      </c>
      <c r="H462" t="s">
        <v>2077</v>
      </c>
      <c r="I462" t="s">
        <v>245</v>
      </c>
      <c r="J462" t="s">
        <v>30</v>
      </c>
      <c r="K462" t="s">
        <v>208</v>
      </c>
      <c r="L462" t="s">
        <v>44</v>
      </c>
      <c r="M462" t="s">
        <v>28</v>
      </c>
      <c r="N462">
        <v>1</v>
      </c>
      <c r="O462" s="2">
        <v>45317.208333333336</v>
      </c>
      <c r="P462" s="2">
        <v>45671.208333333336</v>
      </c>
      <c r="Q462" t="s">
        <v>48</v>
      </c>
      <c r="R462" t="s">
        <v>244</v>
      </c>
      <c r="S462" t="s">
        <v>33</v>
      </c>
    </row>
    <row r="463" spans="1:19" x14ac:dyDescent="0.35">
      <c r="A463" t="s">
        <v>23</v>
      </c>
      <c r="B463" t="s">
        <v>243</v>
      </c>
      <c r="C463" t="s">
        <v>1989</v>
      </c>
      <c r="D463" t="s">
        <v>2119</v>
      </c>
      <c r="E463" s="2">
        <v>45674.762465300926</v>
      </c>
      <c r="F463" t="s">
        <v>2078</v>
      </c>
      <c r="G463" t="s">
        <v>2116</v>
      </c>
      <c r="H463" t="s">
        <v>2077</v>
      </c>
      <c r="I463" t="s">
        <v>245</v>
      </c>
      <c r="J463" t="s">
        <v>30</v>
      </c>
      <c r="K463" t="s">
        <v>208</v>
      </c>
      <c r="L463" t="s">
        <v>44</v>
      </c>
      <c r="M463" t="s">
        <v>28</v>
      </c>
      <c r="N463">
        <v>1</v>
      </c>
      <c r="O463" s="2">
        <v>45317.208333333336</v>
      </c>
      <c r="P463" s="2">
        <v>45671.208333333336</v>
      </c>
      <c r="Q463" t="s">
        <v>48</v>
      </c>
      <c r="R463" t="s">
        <v>244</v>
      </c>
      <c r="S463" t="s">
        <v>33</v>
      </c>
    </row>
    <row r="464" spans="1:19" x14ac:dyDescent="0.35">
      <c r="A464" t="s">
        <v>23</v>
      </c>
      <c r="B464" t="s">
        <v>247</v>
      </c>
      <c r="C464" t="s">
        <v>1989</v>
      </c>
      <c r="D464" t="s">
        <v>2119</v>
      </c>
      <c r="E464" s="2">
        <v>45672.753063414355</v>
      </c>
      <c r="F464" t="s">
        <v>2075</v>
      </c>
      <c r="G464" t="s">
        <v>2092</v>
      </c>
      <c r="H464" t="s">
        <v>2083</v>
      </c>
      <c r="I464" t="s">
        <v>248</v>
      </c>
      <c r="J464" t="s">
        <v>30</v>
      </c>
      <c r="K464" t="s">
        <v>208</v>
      </c>
      <c r="L464" t="s">
        <v>44</v>
      </c>
      <c r="M464" t="s">
        <v>28</v>
      </c>
      <c r="N464">
        <v>1</v>
      </c>
      <c r="O464" s="2">
        <v>45317.208333333336</v>
      </c>
      <c r="P464" s="2">
        <v>45685.208333333336</v>
      </c>
      <c r="Q464" t="s">
        <v>48</v>
      </c>
      <c r="R464" t="s">
        <v>244</v>
      </c>
    </row>
    <row r="465" spans="1:19" x14ac:dyDescent="0.35">
      <c r="A465" t="s">
        <v>23</v>
      </c>
      <c r="B465" t="s">
        <v>286</v>
      </c>
      <c r="C465" t="s">
        <v>1989</v>
      </c>
      <c r="D465" t="s">
        <v>2082</v>
      </c>
      <c r="E465" s="2">
        <v>45671.590000717595</v>
      </c>
      <c r="F465" t="s">
        <v>2085</v>
      </c>
      <c r="G465" t="s">
        <v>2101</v>
      </c>
      <c r="H465" t="s">
        <v>2077</v>
      </c>
      <c r="I465" t="s">
        <v>287</v>
      </c>
      <c r="J465" t="s">
        <v>30</v>
      </c>
      <c r="K465" t="s">
        <v>70</v>
      </c>
      <c r="L465" t="s">
        <v>44</v>
      </c>
      <c r="M465" t="s">
        <v>28</v>
      </c>
      <c r="N465">
        <v>1</v>
      </c>
      <c r="O465" s="2">
        <v>45615.208333333336</v>
      </c>
      <c r="P465" s="2">
        <v>45678.208333333336</v>
      </c>
      <c r="Q465" t="s">
        <v>48</v>
      </c>
      <c r="R465" t="s">
        <v>54</v>
      </c>
    </row>
    <row r="466" spans="1:19" x14ac:dyDescent="0.35">
      <c r="A466" t="s">
        <v>23</v>
      </c>
      <c r="B466" t="s">
        <v>286</v>
      </c>
      <c r="C466" t="s">
        <v>1989</v>
      </c>
      <c r="D466" t="s">
        <v>2082</v>
      </c>
      <c r="E466" s="2">
        <v>45671.612613912039</v>
      </c>
      <c r="F466" t="s">
        <v>2080</v>
      </c>
      <c r="G466" t="s">
        <v>2081</v>
      </c>
      <c r="H466" t="s">
        <v>2077</v>
      </c>
      <c r="I466" t="s">
        <v>287</v>
      </c>
      <c r="J466" t="s">
        <v>30</v>
      </c>
      <c r="K466" t="s">
        <v>70</v>
      </c>
      <c r="L466" t="s">
        <v>44</v>
      </c>
      <c r="M466" t="s">
        <v>28</v>
      </c>
      <c r="N466">
        <v>1</v>
      </c>
      <c r="O466" s="2">
        <v>45615.208333333336</v>
      </c>
      <c r="P466" s="2">
        <v>45678.208333333336</v>
      </c>
      <c r="Q466" t="s">
        <v>48</v>
      </c>
      <c r="R466" t="s">
        <v>54</v>
      </c>
    </row>
    <row r="467" spans="1:19" x14ac:dyDescent="0.35">
      <c r="A467" t="s">
        <v>23</v>
      </c>
      <c r="B467" t="s">
        <v>286</v>
      </c>
      <c r="C467" t="s">
        <v>1989</v>
      </c>
      <c r="D467" t="s">
        <v>2082</v>
      </c>
      <c r="E467" s="2">
        <v>45671.61875883102</v>
      </c>
      <c r="F467" t="s">
        <v>2080</v>
      </c>
      <c r="G467" t="s">
        <v>2081</v>
      </c>
      <c r="H467" t="s">
        <v>2077</v>
      </c>
      <c r="I467" t="s">
        <v>287</v>
      </c>
      <c r="J467" t="s">
        <v>30</v>
      </c>
      <c r="K467" t="s">
        <v>70</v>
      </c>
      <c r="L467" t="s">
        <v>44</v>
      </c>
      <c r="M467" t="s">
        <v>28</v>
      </c>
      <c r="N467">
        <v>1</v>
      </c>
      <c r="O467" s="2">
        <v>45615.208333333336</v>
      </c>
      <c r="P467" s="2">
        <v>45678.208333333336</v>
      </c>
      <c r="Q467" t="s">
        <v>48</v>
      </c>
      <c r="R467" t="s">
        <v>54</v>
      </c>
    </row>
    <row r="468" spans="1:19" x14ac:dyDescent="0.35">
      <c r="A468" t="s">
        <v>23</v>
      </c>
      <c r="B468" t="s">
        <v>286</v>
      </c>
      <c r="C468" t="s">
        <v>1989</v>
      </c>
      <c r="D468" t="s">
        <v>2082</v>
      </c>
      <c r="E468" s="2">
        <v>45671.621088668981</v>
      </c>
      <c r="F468" t="s">
        <v>2080</v>
      </c>
      <c r="G468" t="s">
        <v>2094</v>
      </c>
      <c r="H468" t="s">
        <v>2077</v>
      </c>
      <c r="I468" t="s">
        <v>287</v>
      </c>
      <c r="J468" t="s">
        <v>30</v>
      </c>
      <c r="K468" t="s">
        <v>70</v>
      </c>
      <c r="L468" t="s">
        <v>44</v>
      </c>
      <c r="M468" t="s">
        <v>28</v>
      </c>
      <c r="N468">
        <v>1</v>
      </c>
      <c r="O468" s="2">
        <v>45615.208333333336</v>
      </c>
      <c r="P468" s="2">
        <v>45678.208333333336</v>
      </c>
      <c r="Q468" t="s">
        <v>48</v>
      </c>
      <c r="R468" t="s">
        <v>54</v>
      </c>
    </row>
    <row r="469" spans="1:19" x14ac:dyDescent="0.35">
      <c r="A469" t="s">
        <v>23</v>
      </c>
      <c r="B469" t="s">
        <v>286</v>
      </c>
      <c r="C469" t="s">
        <v>1989</v>
      </c>
      <c r="D469" t="s">
        <v>2082</v>
      </c>
      <c r="E469" s="2">
        <v>45671.630552361108</v>
      </c>
      <c r="F469" t="s">
        <v>2080</v>
      </c>
      <c r="G469" t="s">
        <v>2081</v>
      </c>
      <c r="H469" t="s">
        <v>2077</v>
      </c>
      <c r="I469" t="s">
        <v>287</v>
      </c>
      <c r="J469" t="s">
        <v>30</v>
      </c>
      <c r="K469" t="s">
        <v>70</v>
      </c>
      <c r="L469" t="s">
        <v>44</v>
      </c>
      <c r="M469" t="s">
        <v>28</v>
      </c>
      <c r="N469">
        <v>1</v>
      </c>
      <c r="O469" s="2">
        <v>45615.208333333336</v>
      </c>
      <c r="P469" s="2">
        <v>45678.208333333336</v>
      </c>
      <c r="Q469" t="s">
        <v>48</v>
      </c>
      <c r="R469" t="s">
        <v>54</v>
      </c>
    </row>
    <row r="470" spans="1:19" x14ac:dyDescent="0.35">
      <c r="A470" t="s">
        <v>23</v>
      </c>
      <c r="B470" t="s">
        <v>286</v>
      </c>
      <c r="C470" t="s">
        <v>1989</v>
      </c>
      <c r="D470" t="s">
        <v>2082</v>
      </c>
      <c r="E470" s="2">
        <v>45671.635773530092</v>
      </c>
      <c r="F470" t="s">
        <v>2075</v>
      </c>
      <c r="G470" t="s">
        <v>2106</v>
      </c>
      <c r="H470" t="s">
        <v>2077</v>
      </c>
      <c r="I470" t="s">
        <v>287</v>
      </c>
      <c r="J470" t="s">
        <v>30</v>
      </c>
      <c r="K470" t="s">
        <v>70</v>
      </c>
      <c r="L470" t="s">
        <v>44</v>
      </c>
      <c r="M470" t="s">
        <v>28</v>
      </c>
      <c r="N470">
        <v>1</v>
      </c>
      <c r="O470" s="2">
        <v>45615.208333333336</v>
      </c>
      <c r="P470" s="2">
        <v>45678.208333333336</v>
      </c>
      <c r="Q470" t="s">
        <v>48</v>
      </c>
      <c r="R470" t="s">
        <v>54</v>
      </c>
    </row>
    <row r="471" spans="1:19" x14ac:dyDescent="0.35">
      <c r="A471" t="s">
        <v>23</v>
      </c>
      <c r="B471" t="s">
        <v>286</v>
      </c>
      <c r="C471" t="s">
        <v>1989</v>
      </c>
      <c r="D471" t="s">
        <v>2082</v>
      </c>
      <c r="E471" s="2">
        <v>45671.638870486109</v>
      </c>
      <c r="F471" t="s">
        <v>2080</v>
      </c>
      <c r="G471" t="s">
        <v>2081</v>
      </c>
      <c r="H471" t="s">
        <v>2077</v>
      </c>
      <c r="I471" t="s">
        <v>287</v>
      </c>
      <c r="J471" t="s">
        <v>30</v>
      </c>
      <c r="K471" t="s">
        <v>70</v>
      </c>
      <c r="L471" t="s">
        <v>44</v>
      </c>
      <c r="M471" t="s">
        <v>28</v>
      </c>
      <c r="N471">
        <v>1</v>
      </c>
      <c r="O471" s="2">
        <v>45615.208333333336</v>
      </c>
      <c r="P471" s="2">
        <v>45678.208333333336</v>
      </c>
      <c r="Q471" t="s">
        <v>48</v>
      </c>
      <c r="R471" t="s">
        <v>54</v>
      </c>
    </row>
    <row r="472" spans="1:19" x14ac:dyDescent="0.35">
      <c r="A472" t="s">
        <v>23</v>
      </c>
      <c r="B472" t="s">
        <v>295</v>
      </c>
      <c r="C472" t="s">
        <v>1988</v>
      </c>
      <c r="D472" t="s">
        <v>461</v>
      </c>
      <c r="E472" s="2">
        <v>45685.778902627317</v>
      </c>
      <c r="F472" t="s">
        <v>2085</v>
      </c>
      <c r="G472" t="s">
        <v>2086</v>
      </c>
      <c r="H472" t="s">
        <v>2077</v>
      </c>
      <c r="I472" t="s">
        <v>296</v>
      </c>
      <c r="J472" t="s">
        <v>30</v>
      </c>
      <c r="K472" t="s">
        <v>70</v>
      </c>
      <c r="L472" t="s">
        <v>44</v>
      </c>
      <c r="M472" t="s">
        <v>28</v>
      </c>
      <c r="N472">
        <v>1</v>
      </c>
      <c r="O472" s="2">
        <v>45615.208333333336</v>
      </c>
      <c r="P472" s="2">
        <v>45686.208333333336</v>
      </c>
      <c r="Q472" t="s">
        <v>48</v>
      </c>
      <c r="R472" t="s">
        <v>36</v>
      </c>
    </row>
    <row r="473" spans="1:19" x14ac:dyDescent="0.35">
      <c r="A473" t="s">
        <v>23</v>
      </c>
      <c r="B473" t="s">
        <v>295</v>
      </c>
      <c r="C473" t="s">
        <v>1989</v>
      </c>
      <c r="D473" t="s">
        <v>2087</v>
      </c>
      <c r="E473" s="2">
        <v>45686.607199108796</v>
      </c>
      <c r="F473" t="s">
        <v>2080</v>
      </c>
      <c r="G473" t="s">
        <v>2081</v>
      </c>
      <c r="H473" t="s">
        <v>2077</v>
      </c>
      <c r="I473" t="s">
        <v>296</v>
      </c>
      <c r="J473" t="s">
        <v>30</v>
      </c>
      <c r="K473" t="s">
        <v>70</v>
      </c>
      <c r="L473" t="s">
        <v>44</v>
      </c>
      <c r="M473" t="s">
        <v>28</v>
      </c>
      <c r="N473">
        <v>1</v>
      </c>
      <c r="O473" s="2">
        <v>45615.208333333336</v>
      </c>
      <c r="P473" s="2">
        <v>45686.208333333336</v>
      </c>
      <c r="Q473" t="s">
        <v>48</v>
      </c>
      <c r="R473" t="s">
        <v>36</v>
      </c>
    </row>
    <row r="474" spans="1:19" x14ac:dyDescent="0.35">
      <c r="A474" t="s">
        <v>23</v>
      </c>
      <c r="B474" t="s">
        <v>292</v>
      </c>
      <c r="C474" t="s">
        <v>1988</v>
      </c>
      <c r="D474" t="s">
        <v>269</v>
      </c>
      <c r="E474" s="2">
        <v>45671.912164328707</v>
      </c>
      <c r="F474" t="s">
        <v>2075</v>
      </c>
      <c r="G474" t="s">
        <v>2093</v>
      </c>
      <c r="H474" t="s">
        <v>2077</v>
      </c>
      <c r="I474" t="s">
        <v>293</v>
      </c>
      <c r="J474" t="s">
        <v>30</v>
      </c>
      <c r="K474" t="s">
        <v>208</v>
      </c>
      <c r="L474" t="s">
        <v>44</v>
      </c>
      <c r="M474" t="s">
        <v>28</v>
      </c>
      <c r="N474">
        <v>1</v>
      </c>
      <c r="O474" s="2">
        <v>45615.208333333336</v>
      </c>
      <c r="P474" s="2">
        <v>45685.208333333336</v>
      </c>
      <c r="Q474" t="s">
        <v>48</v>
      </c>
      <c r="R474" t="s">
        <v>54</v>
      </c>
      <c r="S474" t="s">
        <v>33</v>
      </c>
    </row>
    <row r="475" spans="1:19" x14ac:dyDescent="0.35">
      <c r="A475" t="s">
        <v>23</v>
      </c>
      <c r="B475" t="s">
        <v>292</v>
      </c>
      <c r="C475" t="s">
        <v>1989</v>
      </c>
      <c r="D475" t="s">
        <v>2119</v>
      </c>
      <c r="E475" s="2">
        <v>45681.746003287037</v>
      </c>
      <c r="F475" t="s">
        <v>2080</v>
      </c>
      <c r="G475" t="s">
        <v>2094</v>
      </c>
      <c r="H475" t="s">
        <v>2077</v>
      </c>
      <c r="I475" t="s">
        <v>293</v>
      </c>
      <c r="J475" t="s">
        <v>30</v>
      </c>
      <c r="K475" t="s">
        <v>208</v>
      </c>
      <c r="L475" t="s">
        <v>44</v>
      </c>
      <c r="M475" t="s">
        <v>28</v>
      </c>
      <c r="N475">
        <v>1</v>
      </c>
      <c r="O475" s="2">
        <v>45615.208333333336</v>
      </c>
      <c r="P475" s="2">
        <v>45685.208333333336</v>
      </c>
      <c r="Q475" t="s">
        <v>48</v>
      </c>
      <c r="R475" t="s">
        <v>54</v>
      </c>
      <c r="S475" t="s">
        <v>33</v>
      </c>
    </row>
    <row r="476" spans="1:19" x14ac:dyDescent="0.35">
      <c r="A476" t="s">
        <v>23</v>
      </c>
      <c r="B476" t="s">
        <v>298</v>
      </c>
      <c r="C476" t="s">
        <v>1989</v>
      </c>
      <c r="D476" t="s">
        <v>2087</v>
      </c>
      <c r="E476" s="2">
        <v>45685.760258310183</v>
      </c>
      <c r="F476" t="s">
        <v>2088</v>
      </c>
      <c r="G476" t="s">
        <v>2089</v>
      </c>
      <c r="H476" t="s">
        <v>2077</v>
      </c>
      <c r="I476" t="s">
        <v>299</v>
      </c>
      <c r="J476" t="s">
        <v>30</v>
      </c>
      <c r="K476" t="s">
        <v>300</v>
      </c>
      <c r="L476" t="s">
        <v>44</v>
      </c>
      <c r="M476" t="s">
        <v>28</v>
      </c>
      <c r="N476">
        <v>1</v>
      </c>
      <c r="O476" s="2">
        <v>45664.208333333336</v>
      </c>
      <c r="P476" s="2">
        <v>45687.208333333336</v>
      </c>
      <c r="Q476" t="s">
        <v>48</v>
      </c>
      <c r="R476" t="s">
        <v>36</v>
      </c>
    </row>
    <row r="477" spans="1:19" x14ac:dyDescent="0.35">
      <c r="A477" t="s">
        <v>23</v>
      </c>
      <c r="B477" t="s">
        <v>632</v>
      </c>
      <c r="C477" t="s">
        <v>1982</v>
      </c>
      <c r="D477" t="s">
        <v>2074</v>
      </c>
      <c r="E477" s="2">
        <v>45705.706205567127</v>
      </c>
      <c r="F477" t="s">
        <v>2075</v>
      </c>
      <c r="G477" t="s">
        <v>2092</v>
      </c>
      <c r="H477" t="s">
        <v>2083</v>
      </c>
      <c r="I477" t="s">
        <v>633</v>
      </c>
      <c r="J477" t="s">
        <v>30</v>
      </c>
      <c r="K477" t="s">
        <v>208</v>
      </c>
      <c r="L477" t="s">
        <v>44</v>
      </c>
      <c r="M477" t="s">
        <v>28</v>
      </c>
      <c r="N477">
        <v>10</v>
      </c>
      <c r="O477" s="2">
        <v>45672.208333333336</v>
      </c>
      <c r="P477" s="2">
        <v>45737.166666666664</v>
      </c>
      <c r="Q477" t="s">
        <v>48</v>
      </c>
      <c r="R477" t="s">
        <v>76</v>
      </c>
    </row>
    <row r="478" spans="1:19" x14ac:dyDescent="0.35">
      <c r="A478" t="s">
        <v>23</v>
      </c>
      <c r="B478" t="s">
        <v>632</v>
      </c>
      <c r="C478" t="s">
        <v>1982</v>
      </c>
      <c r="D478" t="s">
        <v>2074</v>
      </c>
      <c r="E478" s="2">
        <v>45706.711466643515</v>
      </c>
      <c r="F478" t="s">
        <v>2075</v>
      </c>
      <c r="G478" t="s">
        <v>2076</v>
      </c>
      <c r="H478" t="s">
        <v>2083</v>
      </c>
      <c r="I478" t="s">
        <v>633</v>
      </c>
      <c r="J478" t="s">
        <v>30</v>
      </c>
      <c r="K478" t="s">
        <v>208</v>
      </c>
      <c r="L478" t="s">
        <v>44</v>
      </c>
      <c r="M478" t="s">
        <v>28</v>
      </c>
      <c r="N478">
        <v>10</v>
      </c>
      <c r="O478" s="2">
        <v>45672.208333333336</v>
      </c>
      <c r="P478" s="2">
        <v>45737.166666666664</v>
      </c>
      <c r="Q478" t="s">
        <v>48</v>
      </c>
      <c r="R478" t="s">
        <v>76</v>
      </c>
    </row>
    <row r="479" spans="1:19" x14ac:dyDescent="0.35">
      <c r="A479" t="s">
        <v>23</v>
      </c>
      <c r="B479" t="s">
        <v>1314</v>
      </c>
      <c r="C479" t="s">
        <v>1989</v>
      </c>
      <c r="D479" t="s">
        <v>2087</v>
      </c>
      <c r="E479" s="2">
        <v>45694.837833321762</v>
      </c>
      <c r="F479" t="s">
        <v>2078</v>
      </c>
      <c r="G479" t="s">
        <v>2108</v>
      </c>
      <c r="H479" t="s">
        <v>2077</v>
      </c>
      <c r="I479" t="s">
        <v>1315</v>
      </c>
      <c r="J479" t="s">
        <v>30</v>
      </c>
      <c r="K479" t="s">
        <v>300</v>
      </c>
      <c r="L479" t="s">
        <v>44</v>
      </c>
      <c r="M479" t="s">
        <v>28</v>
      </c>
      <c r="O479" s="2">
        <v>45677.208333333336</v>
      </c>
      <c r="P479" s="2">
        <v>45709.208333333336</v>
      </c>
      <c r="Q479" t="s">
        <v>38</v>
      </c>
      <c r="R479" t="s">
        <v>36</v>
      </c>
      <c r="S479" t="s">
        <v>33</v>
      </c>
    </row>
    <row r="480" spans="1:19" x14ac:dyDescent="0.35">
      <c r="A480" t="s">
        <v>23</v>
      </c>
      <c r="B480" t="s">
        <v>1314</v>
      </c>
      <c r="C480" t="s">
        <v>1989</v>
      </c>
      <c r="D480" t="s">
        <v>2087</v>
      </c>
      <c r="E480" s="2">
        <v>45694.838152430559</v>
      </c>
      <c r="F480" t="s">
        <v>2080</v>
      </c>
      <c r="G480" t="s">
        <v>2094</v>
      </c>
      <c r="H480" t="s">
        <v>2077</v>
      </c>
      <c r="I480" t="s">
        <v>1315</v>
      </c>
      <c r="J480" t="s">
        <v>30</v>
      </c>
      <c r="K480" t="s">
        <v>300</v>
      </c>
      <c r="L480" t="s">
        <v>44</v>
      </c>
      <c r="M480" t="s">
        <v>28</v>
      </c>
      <c r="O480" s="2">
        <v>45677.208333333336</v>
      </c>
      <c r="P480" s="2">
        <v>45709.208333333336</v>
      </c>
      <c r="Q480" t="s">
        <v>38</v>
      </c>
      <c r="R480" t="s">
        <v>36</v>
      </c>
      <c r="S480" t="s">
        <v>33</v>
      </c>
    </row>
    <row r="481" spans="1:19" x14ac:dyDescent="0.35">
      <c r="A481" t="s">
        <v>23</v>
      </c>
      <c r="B481" t="s">
        <v>68</v>
      </c>
      <c r="C481" t="s">
        <v>1989</v>
      </c>
      <c r="D481" t="s">
        <v>2082</v>
      </c>
      <c r="E481" s="2">
        <v>45835.810598946759</v>
      </c>
      <c r="F481" t="s">
        <v>2080</v>
      </c>
      <c r="G481" t="s">
        <v>2081</v>
      </c>
      <c r="H481" t="s">
        <v>2083</v>
      </c>
      <c r="I481" t="s">
        <v>69</v>
      </c>
      <c r="J481" t="s">
        <v>30</v>
      </c>
      <c r="K481" t="s">
        <v>70</v>
      </c>
      <c r="L481" t="s">
        <v>44</v>
      </c>
      <c r="M481" t="s">
        <v>46</v>
      </c>
      <c r="N481">
        <v>1</v>
      </c>
      <c r="O481" s="2">
        <v>45679.208333333336</v>
      </c>
      <c r="P481" s="2">
        <v>45838.166666666664</v>
      </c>
      <c r="Q481" t="s">
        <v>38</v>
      </c>
      <c r="R481" t="s">
        <v>54</v>
      </c>
      <c r="S481" t="s">
        <v>33</v>
      </c>
    </row>
    <row r="482" spans="1:19" x14ac:dyDescent="0.35">
      <c r="A482" t="s">
        <v>23</v>
      </c>
      <c r="B482" t="s">
        <v>68</v>
      </c>
      <c r="C482" t="s">
        <v>1989</v>
      </c>
      <c r="D482" t="s">
        <v>2082</v>
      </c>
      <c r="E482" s="2">
        <v>45835.811430335649</v>
      </c>
      <c r="F482" t="s">
        <v>2080</v>
      </c>
      <c r="G482" t="s">
        <v>2081</v>
      </c>
      <c r="H482" t="s">
        <v>2083</v>
      </c>
      <c r="I482" t="s">
        <v>69</v>
      </c>
      <c r="J482" t="s">
        <v>30</v>
      </c>
      <c r="K482" t="s">
        <v>70</v>
      </c>
      <c r="L482" t="s">
        <v>44</v>
      </c>
      <c r="M482" t="s">
        <v>46</v>
      </c>
      <c r="N482">
        <v>1</v>
      </c>
      <c r="O482" s="2">
        <v>45679.208333333336</v>
      </c>
      <c r="P482" s="2">
        <v>45838.166666666664</v>
      </c>
      <c r="Q482" t="s">
        <v>38</v>
      </c>
      <c r="R482" t="s">
        <v>54</v>
      </c>
      <c r="S482" t="s">
        <v>33</v>
      </c>
    </row>
    <row r="483" spans="1:19" x14ac:dyDescent="0.35">
      <c r="A483" t="s">
        <v>23</v>
      </c>
      <c r="B483" t="s">
        <v>1323</v>
      </c>
      <c r="C483" t="s">
        <v>1989</v>
      </c>
      <c r="D483" t="s">
        <v>2087</v>
      </c>
      <c r="E483" s="2">
        <v>45698.857737129627</v>
      </c>
      <c r="F483" t="s">
        <v>2085</v>
      </c>
      <c r="G483" t="s">
        <v>2086</v>
      </c>
      <c r="H483" t="s">
        <v>2077</v>
      </c>
      <c r="I483" t="s">
        <v>1324</v>
      </c>
      <c r="J483" t="s">
        <v>30</v>
      </c>
      <c r="K483" t="s">
        <v>300</v>
      </c>
      <c r="L483" t="s">
        <v>44</v>
      </c>
      <c r="M483" t="s">
        <v>28</v>
      </c>
      <c r="O483" s="2">
        <v>45680.208333333336</v>
      </c>
      <c r="P483" s="2">
        <v>45714.208333333336</v>
      </c>
      <c r="Q483" t="s">
        <v>38</v>
      </c>
      <c r="R483" t="s">
        <v>36</v>
      </c>
      <c r="S483" t="s">
        <v>33</v>
      </c>
    </row>
    <row r="484" spans="1:19" x14ac:dyDescent="0.35">
      <c r="A484" t="s">
        <v>23</v>
      </c>
      <c r="B484" t="s">
        <v>1364</v>
      </c>
      <c r="C484" t="s">
        <v>1989</v>
      </c>
      <c r="D484" t="s">
        <v>2087</v>
      </c>
      <c r="E484" s="2">
        <v>45742.594017743053</v>
      </c>
      <c r="F484" t="s">
        <v>2088</v>
      </c>
      <c r="G484" t="s">
        <v>2089</v>
      </c>
      <c r="H484" t="s">
        <v>2077</v>
      </c>
      <c r="I484" t="s">
        <v>1365</v>
      </c>
      <c r="J484" t="s">
        <v>30</v>
      </c>
      <c r="K484" t="s">
        <v>70</v>
      </c>
      <c r="L484" t="s">
        <v>44</v>
      </c>
      <c r="M484" t="s">
        <v>28</v>
      </c>
      <c r="O484" s="2">
        <v>45712.208333333336</v>
      </c>
      <c r="P484" s="2">
        <v>45737.166666666664</v>
      </c>
      <c r="Q484" t="s">
        <v>48</v>
      </c>
      <c r="R484" t="s">
        <v>36</v>
      </c>
      <c r="S484" t="s">
        <v>33</v>
      </c>
    </row>
    <row r="485" spans="1:19" x14ac:dyDescent="0.35">
      <c r="A485" t="s">
        <v>23</v>
      </c>
      <c r="B485" t="s">
        <v>1364</v>
      </c>
      <c r="C485" t="s">
        <v>1989</v>
      </c>
      <c r="D485" t="s">
        <v>2087</v>
      </c>
      <c r="E485" s="2">
        <v>45742.595996249998</v>
      </c>
      <c r="F485" t="s">
        <v>2085</v>
      </c>
      <c r="G485" t="s">
        <v>2086</v>
      </c>
      <c r="H485" t="s">
        <v>2077</v>
      </c>
      <c r="I485" t="s">
        <v>1365</v>
      </c>
      <c r="J485" t="s">
        <v>30</v>
      </c>
      <c r="K485" t="s">
        <v>70</v>
      </c>
      <c r="L485" t="s">
        <v>44</v>
      </c>
      <c r="M485" t="s">
        <v>28</v>
      </c>
      <c r="O485" s="2">
        <v>45712.208333333336</v>
      </c>
      <c r="P485" s="2">
        <v>45737.166666666664</v>
      </c>
      <c r="Q485" t="s">
        <v>48</v>
      </c>
      <c r="R485" t="s">
        <v>36</v>
      </c>
      <c r="S485" t="s">
        <v>33</v>
      </c>
    </row>
    <row r="486" spans="1:19" x14ac:dyDescent="0.35">
      <c r="A486" t="s">
        <v>23</v>
      </c>
      <c r="B486" t="s">
        <v>1197</v>
      </c>
      <c r="C486" t="s">
        <v>1989</v>
      </c>
      <c r="D486" t="s">
        <v>2175</v>
      </c>
      <c r="E486" s="2">
        <v>45737.805037199076</v>
      </c>
      <c r="F486" t="s">
        <v>2085</v>
      </c>
      <c r="G486" t="s">
        <v>2101</v>
      </c>
      <c r="H486" t="s">
        <v>2077</v>
      </c>
      <c r="I486" t="s">
        <v>1198</v>
      </c>
      <c r="J486" t="s">
        <v>30</v>
      </c>
      <c r="K486" t="s">
        <v>300</v>
      </c>
      <c r="L486" t="s">
        <v>44</v>
      </c>
      <c r="M486" t="s">
        <v>28</v>
      </c>
      <c r="O486" s="2">
        <v>45721.208333333336</v>
      </c>
      <c r="P486" s="2">
        <v>45742.166666666664</v>
      </c>
      <c r="Q486" t="s">
        <v>38</v>
      </c>
      <c r="R486" t="s">
        <v>36</v>
      </c>
      <c r="S486" t="s">
        <v>33</v>
      </c>
    </row>
    <row r="487" spans="1:19" x14ac:dyDescent="0.35">
      <c r="A487" t="s">
        <v>23</v>
      </c>
      <c r="B487" t="s">
        <v>1197</v>
      </c>
      <c r="C487" t="s">
        <v>1989</v>
      </c>
      <c r="D487" t="s">
        <v>2175</v>
      </c>
      <c r="E487" s="2">
        <v>45743.827396574074</v>
      </c>
      <c r="F487" t="s">
        <v>2080</v>
      </c>
      <c r="G487" t="s">
        <v>2095</v>
      </c>
      <c r="H487" t="s">
        <v>2083</v>
      </c>
      <c r="I487" t="s">
        <v>1198</v>
      </c>
      <c r="J487" t="s">
        <v>30</v>
      </c>
      <c r="K487" t="s">
        <v>300</v>
      </c>
      <c r="L487" t="s">
        <v>44</v>
      </c>
      <c r="M487" t="s">
        <v>28</v>
      </c>
      <c r="O487" s="2">
        <v>45721.208333333336</v>
      </c>
      <c r="P487" s="2">
        <v>45742.166666666664</v>
      </c>
      <c r="Q487" t="s">
        <v>38</v>
      </c>
      <c r="R487" t="s">
        <v>36</v>
      </c>
      <c r="S487" t="s">
        <v>33</v>
      </c>
    </row>
    <row r="488" spans="1:19" x14ac:dyDescent="0.35">
      <c r="A488" t="s">
        <v>23</v>
      </c>
      <c r="B488" t="s">
        <v>497</v>
      </c>
      <c r="C488" t="s">
        <v>1988</v>
      </c>
      <c r="D488" t="s">
        <v>269</v>
      </c>
      <c r="E488" s="2">
        <v>45834.553505300923</v>
      </c>
      <c r="F488" t="s">
        <v>2078</v>
      </c>
      <c r="G488" t="s">
        <v>2108</v>
      </c>
      <c r="H488" t="s">
        <v>2077</v>
      </c>
      <c r="I488" t="s">
        <v>498</v>
      </c>
      <c r="J488" t="s">
        <v>30</v>
      </c>
      <c r="K488" t="s">
        <v>70</v>
      </c>
      <c r="L488" t="s">
        <v>44</v>
      </c>
      <c r="M488" t="s">
        <v>28</v>
      </c>
      <c r="N488">
        <v>6</v>
      </c>
      <c r="O488" s="2">
        <v>45726.166666666664</v>
      </c>
      <c r="P488" s="2">
        <v>45852.166666666664</v>
      </c>
      <c r="Q488" t="s">
        <v>48</v>
      </c>
      <c r="R488" t="s">
        <v>54</v>
      </c>
      <c r="S488" t="s">
        <v>33</v>
      </c>
    </row>
    <row r="489" spans="1:19" x14ac:dyDescent="0.35">
      <c r="A489" t="s">
        <v>23</v>
      </c>
      <c r="B489" t="s">
        <v>497</v>
      </c>
      <c r="C489" t="s">
        <v>1988</v>
      </c>
      <c r="D489" t="s">
        <v>269</v>
      </c>
      <c r="E489" s="2">
        <v>45834.554298020834</v>
      </c>
      <c r="F489" t="s">
        <v>2080</v>
      </c>
      <c r="G489" t="s">
        <v>2100</v>
      </c>
      <c r="H489" t="s">
        <v>2077</v>
      </c>
      <c r="I489" t="s">
        <v>498</v>
      </c>
      <c r="J489" t="s">
        <v>30</v>
      </c>
      <c r="K489" t="s">
        <v>70</v>
      </c>
      <c r="L489" t="s">
        <v>44</v>
      </c>
      <c r="M489" t="s">
        <v>28</v>
      </c>
      <c r="N489">
        <v>6</v>
      </c>
      <c r="O489" s="2">
        <v>45726.166666666664</v>
      </c>
      <c r="P489" s="2">
        <v>45852.166666666664</v>
      </c>
      <c r="Q489" t="s">
        <v>48</v>
      </c>
      <c r="R489" t="s">
        <v>54</v>
      </c>
      <c r="S489" t="s">
        <v>33</v>
      </c>
    </row>
    <row r="490" spans="1:19" x14ac:dyDescent="0.35">
      <c r="A490" t="s">
        <v>23</v>
      </c>
      <c r="B490" t="s">
        <v>497</v>
      </c>
      <c r="C490" t="s">
        <v>1988</v>
      </c>
      <c r="D490" t="s">
        <v>269</v>
      </c>
      <c r="E490" s="2">
        <v>45834.554869467589</v>
      </c>
      <c r="F490" t="s">
        <v>2075</v>
      </c>
      <c r="G490" t="s">
        <v>2076</v>
      </c>
      <c r="H490" t="s">
        <v>2077</v>
      </c>
      <c r="I490" t="s">
        <v>498</v>
      </c>
      <c r="J490" t="s">
        <v>30</v>
      </c>
      <c r="K490" t="s">
        <v>70</v>
      </c>
      <c r="L490" t="s">
        <v>44</v>
      </c>
      <c r="M490" t="s">
        <v>28</v>
      </c>
      <c r="N490">
        <v>6</v>
      </c>
      <c r="O490" s="2">
        <v>45726.166666666664</v>
      </c>
      <c r="P490" s="2">
        <v>45852.166666666664</v>
      </c>
      <c r="Q490" t="s">
        <v>48</v>
      </c>
      <c r="R490" t="s">
        <v>54</v>
      </c>
      <c r="S490" t="s">
        <v>33</v>
      </c>
    </row>
    <row r="491" spans="1:19" x14ac:dyDescent="0.35">
      <c r="A491" t="s">
        <v>23</v>
      </c>
      <c r="B491" t="s">
        <v>574</v>
      </c>
      <c r="C491" t="s">
        <v>1982</v>
      </c>
      <c r="D491" t="s">
        <v>269</v>
      </c>
      <c r="E491" s="2">
        <v>45800.710674120368</v>
      </c>
      <c r="F491" t="s">
        <v>2085</v>
      </c>
      <c r="G491" t="s">
        <v>2086</v>
      </c>
      <c r="H491" t="s">
        <v>2077</v>
      </c>
      <c r="I491" t="s">
        <v>575</v>
      </c>
      <c r="J491" t="s">
        <v>30</v>
      </c>
      <c r="K491" t="s">
        <v>70</v>
      </c>
      <c r="L491" t="s">
        <v>44</v>
      </c>
      <c r="M491" t="s">
        <v>28</v>
      </c>
      <c r="N491">
        <v>9</v>
      </c>
      <c r="O491" s="2">
        <v>45734.166666666664</v>
      </c>
      <c r="P491" s="2">
        <v>45856.166666666664</v>
      </c>
      <c r="Q491" t="s">
        <v>48</v>
      </c>
      <c r="R491" t="s">
        <v>54</v>
      </c>
      <c r="S491" t="s">
        <v>33</v>
      </c>
    </row>
    <row r="492" spans="1:19" x14ac:dyDescent="0.35">
      <c r="A492" t="s">
        <v>23</v>
      </c>
      <c r="B492" t="s">
        <v>574</v>
      </c>
      <c r="C492" t="s">
        <v>1988</v>
      </c>
      <c r="D492" t="s">
        <v>269</v>
      </c>
      <c r="E492" s="2">
        <v>45834.739465810184</v>
      </c>
      <c r="F492" t="s">
        <v>2078</v>
      </c>
      <c r="G492" t="s">
        <v>2108</v>
      </c>
      <c r="H492" t="s">
        <v>2077</v>
      </c>
      <c r="I492" t="s">
        <v>575</v>
      </c>
      <c r="J492" t="s">
        <v>30</v>
      </c>
      <c r="K492" t="s">
        <v>70</v>
      </c>
      <c r="L492" t="s">
        <v>44</v>
      </c>
      <c r="M492" t="s">
        <v>28</v>
      </c>
      <c r="N492">
        <v>9</v>
      </c>
      <c r="O492" s="2">
        <v>45734.166666666664</v>
      </c>
      <c r="P492" s="2">
        <v>45856.166666666664</v>
      </c>
      <c r="Q492" t="s">
        <v>48</v>
      </c>
      <c r="R492" t="s">
        <v>54</v>
      </c>
      <c r="S492" t="s">
        <v>33</v>
      </c>
    </row>
    <row r="493" spans="1:19" x14ac:dyDescent="0.35">
      <c r="A493" t="s">
        <v>23</v>
      </c>
      <c r="B493" t="s">
        <v>79</v>
      </c>
      <c r="C493" t="s">
        <v>1989</v>
      </c>
      <c r="D493" t="s">
        <v>2082</v>
      </c>
      <c r="E493" s="2">
        <v>45782.735191979169</v>
      </c>
      <c r="F493" t="s">
        <v>2085</v>
      </c>
      <c r="G493" t="s">
        <v>2086</v>
      </c>
      <c r="H493" t="s">
        <v>2077</v>
      </c>
      <c r="I493" t="s">
        <v>80</v>
      </c>
      <c r="J493" t="s">
        <v>30</v>
      </c>
      <c r="K493" t="s">
        <v>31</v>
      </c>
      <c r="L493" t="s">
        <v>44</v>
      </c>
      <c r="M493" t="s">
        <v>46</v>
      </c>
      <c r="N493">
        <v>2</v>
      </c>
      <c r="O493" s="2">
        <v>45739.166666666664</v>
      </c>
      <c r="P493" s="2">
        <v>45782.166666666664</v>
      </c>
      <c r="Q493" t="s">
        <v>38</v>
      </c>
      <c r="R493" t="s">
        <v>54</v>
      </c>
      <c r="S493" t="s">
        <v>81</v>
      </c>
    </row>
    <row r="494" spans="1:19" x14ac:dyDescent="0.35">
      <c r="A494" t="s">
        <v>23</v>
      </c>
      <c r="B494" t="s">
        <v>79</v>
      </c>
      <c r="C494" t="s">
        <v>1989</v>
      </c>
      <c r="D494" t="s">
        <v>2082</v>
      </c>
      <c r="E494" s="2">
        <v>45782.737382129628</v>
      </c>
      <c r="F494" t="s">
        <v>2085</v>
      </c>
      <c r="G494" t="s">
        <v>2086</v>
      </c>
      <c r="H494" t="s">
        <v>2077</v>
      </c>
      <c r="I494" t="s">
        <v>80</v>
      </c>
      <c r="J494" t="s">
        <v>30</v>
      </c>
      <c r="K494" t="s">
        <v>31</v>
      </c>
      <c r="L494" t="s">
        <v>44</v>
      </c>
      <c r="M494" t="s">
        <v>46</v>
      </c>
      <c r="N494">
        <v>2</v>
      </c>
      <c r="O494" s="2">
        <v>45739.166666666664</v>
      </c>
      <c r="P494" s="2">
        <v>45782.166666666664</v>
      </c>
      <c r="Q494" t="s">
        <v>38</v>
      </c>
      <c r="R494" t="s">
        <v>54</v>
      </c>
      <c r="S494" t="s">
        <v>81</v>
      </c>
    </row>
    <row r="495" spans="1:19" x14ac:dyDescent="0.35">
      <c r="A495" t="s">
        <v>23</v>
      </c>
      <c r="B495" t="s">
        <v>1395</v>
      </c>
      <c r="C495" t="s">
        <v>1989</v>
      </c>
      <c r="D495" t="s">
        <v>2171</v>
      </c>
      <c r="E495" s="2">
        <v>45775.620772546295</v>
      </c>
      <c r="F495" t="s">
        <v>2085</v>
      </c>
      <c r="G495" t="s">
        <v>2086</v>
      </c>
      <c r="H495" t="s">
        <v>2077</v>
      </c>
      <c r="I495" t="s">
        <v>1396</v>
      </c>
      <c r="J495" t="s">
        <v>30</v>
      </c>
      <c r="K495" t="s">
        <v>31</v>
      </c>
      <c r="L495" t="s">
        <v>44</v>
      </c>
      <c r="M495" t="s">
        <v>28</v>
      </c>
      <c r="O495" s="2">
        <v>45756.166666666664</v>
      </c>
      <c r="P495" s="2">
        <v>45807.166666666664</v>
      </c>
      <c r="Q495" t="s">
        <v>38</v>
      </c>
      <c r="R495" t="s">
        <v>36</v>
      </c>
      <c r="S495" t="s">
        <v>33</v>
      </c>
    </row>
    <row r="496" spans="1:19" x14ac:dyDescent="0.35">
      <c r="A496" t="s">
        <v>23</v>
      </c>
      <c r="B496" t="s">
        <v>408</v>
      </c>
      <c r="C496" t="s">
        <v>1982</v>
      </c>
      <c r="D496" t="s">
        <v>2074</v>
      </c>
      <c r="E496" s="2">
        <v>45854.609193784723</v>
      </c>
      <c r="F496" t="s">
        <v>2075</v>
      </c>
      <c r="G496" t="s">
        <v>2092</v>
      </c>
      <c r="H496" t="s">
        <v>2083</v>
      </c>
      <c r="I496" t="s">
        <v>410</v>
      </c>
      <c r="J496" t="s">
        <v>30</v>
      </c>
      <c r="K496" t="s">
        <v>70</v>
      </c>
      <c r="L496" t="s">
        <v>44</v>
      </c>
      <c r="M496" t="s">
        <v>28</v>
      </c>
      <c r="N496">
        <v>4</v>
      </c>
      <c r="O496" s="2">
        <v>45798.166666666664</v>
      </c>
      <c r="P496" s="2">
        <v>45877.166666666664</v>
      </c>
      <c r="Q496" t="s">
        <v>48</v>
      </c>
      <c r="R496" t="s">
        <v>409</v>
      </c>
      <c r="S496" t="s">
        <v>33</v>
      </c>
    </row>
    <row r="497" spans="1:19" x14ac:dyDescent="0.35">
      <c r="A497" t="s">
        <v>23</v>
      </c>
      <c r="B497" t="s">
        <v>408</v>
      </c>
      <c r="C497" t="s">
        <v>1982</v>
      </c>
      <c r="D497" t="s">
        <v>2074</v>
      </c>
      <c r="E497" s="2">
        <v>45854.609600821757</v>
      </c>
      <c r="F497" t="s">
        <v>2075</v>
      </c>
      <c r="G497" t="s">
        <v>2076</v>
      </c>
      <c r="H497" t="s">
        <v>2077</v>
      </c>
      <c r="I497" t="s">
        <v>410</v>
      </c>
      <c r="J497" t="s">
        <v>30</v>
      </c>
      <c r="K497" t="s">
        <v>70</v>
      </c>
      <c r="L497" t="s">
        <v>44</v>
      </c>
      <c r="M497" t="s">
        <v>28</v>
      </c>
      <c r="N497">
        <v>4</v>
      </c>
      <c r="O497" s="2">
        <v>45798.166666666664</v>
      </c>
      <c r="P497" s="2">
        <v>45877.166666666664</v>
      </c>
      <c r="Q497" t="s">
        <v>48</v>
      </c>
      <c r="R497" t="s">
        <v>409</v>
      </c>
      <c r="S497" t="s">
        <v>33</v>
      </c>
    </row>
    <row r="498" spans="1:19" x14ac:dyDescent="0.35">
      <c r="A498" t="s">
        <v>23</v>
      </c>
      <c r="B498" t="s">
        <v>301</v>
      </c>
      <c r="C498" t="s">
        <v>1989</v>
      </c>
      <c r="D498" t="s">
        <v>2188</v>
      </c>
      <c r="E498" s="2">
        <v>45694.558530694441</v>
      </c>
      <c r="F498" t="s">
        <v>2085</v>
      </c>
      <c r="G498" t="s">
        <v>2086</v>
      </c>
      <c r="H498" t="s">
        <v>2077</v>
      </c>
      <c r="I498" t="s">
        <v>302</v>
      </c>
      <c r="J498" t="s">
        <v>30</v>
      </c>
      <c r="K498" t="s">
        <v>70</v>
      </c>
      <c r="L498" t="s">
        <v>44</v>
      </c>
      <c r="M498" t="s">
        <v>28</v>
      </c>
      <c r="N498">
        <v>2</v>
      </c>
      <c r="O498" s="2">
        <v>45002.166666666664</v>
      </c>
      <c r="P498" s="2">
        <v>45695.208333333336</v>
      </c>
      <c r="Q498" t="s">
        <v>48</v>
      </c>
      <c r="R498" t="s">
        <v>36</v>
      </c>
    </row>
    <row r="499" spans="1:19" s="194" customFormat="1" x14ac:dyDescent="0.35"/>
  </sheetData>
  <autoFilter ref="A1:S1" xr:uid="{169AC665-B835-42FD-B269-0A8382D59B0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AA22-BD03-40C1-81BE-225ECD0FE26E}">
  <sheetPr>
    <tabColor rgb="FF92D050"/>
  </sheetPr>
  <dimension ref="A2:AE36"/>
  <sheetViews>
    <sheetView workbookViewId="0">
      <selection activeCell="I22" sqref="I22"/>
    </sheetView>
  </sheetViews>
  <sheetFormatPr defaultRowHeight="14.5" x14ac:dyDescent="0.35"/>
  <cols>
    <col min="1" max="1" width="18.90625" bestFit="1" customWidth="1"/>
    <col min="2" max="2" width="15.6328125" bestFit="1" customWidth="1"/>
    <col min="3" max="3" width="10.7265625" bestFit="1" customWidth="1"/>
    <col min="4" max="4" width="6.08984375" bestFit="1" customWidth="1"/>
    <col min="5" max="5" width="5.6328125" bestFit="1" customWidth="1"/>
    <col min="6" max="6" width="6.26953125" bestFit="1" customWidth="1"/>
    <col min="7" max="7" width="5.453125" bestFit="1" customWidth="1"/>
    <col min="8" max="8" width="4.90625" bestFit="1" customWidth="1"/>
    <col min="9" max="9" width="5.81640625" bestFit="1" customWidth="1"/>
    <col min="10" max="10" width="10.7265625" bestFit="1" customWidth="1"/>
    <col min="11" max="11" width="10.7265625" customWidth="1"/>
    <col min="12" max="12" width="38.81640625" bestFit="1" customWidth="1"/>
    <col min="13" max="13" width="15.6328125" bestFit="1" customWidth="1"/>
    <col min="14" max="14" width="5.7265625" bestFit="1" customWidth="1"/>
    <col min="15" max="15" width="6.08984375" bestFit="1" customWidth="1"/>
    <col min="16" max="16" width="5.6328125" bestFit="1" customWidth="1"/>
    <col min="17" max="17" width="6.26953125" bestFit="1" customWidth="1"/>
    <col min="18" max="18" width="5.453125" bestFit="1" customWidth="1"/>
    <col min="19" max="19" width="4.90625" bestFit="1" customWidth="1"/>
    <col min="20" max="20" width="5.81640625" bestFit="1" customWidth="1"/>
    <col min="21" max="21" width="10.7265625" bestFit="1" customWidth="1"/>
    <col min="22" max="22" width="10.7265625" customWidth="1"/>
    <col min="23" max="23" width="42.453125" bestFit="1" customWidth="1"/>
    <col min="24" max="24" width="15.6328125" bestFit="1" customWidth="1"/>
    <col min="25" max="25" width="5.7265625" bestFit="1" customWidth="1"/>
    <col min="26" max="26" width="6.08984375" bestFit="1" customWidth="1"/>
    <col min="27" max="27" width="5.6328125" bestFit="1" customWidth="1"/>
    <col min="28" max="28" width="6.26953125" bestFit="1" customWidth="1"/>
    <col min="29" max="29" width="5.453125" bestFit="1" customWidth="1"/>
    <col min="30" max="30" width="4.90625" bestFit="1" customWidth="1"/>
    <col min="31" max="84" width="10.7265625" bestFit="1" customWidth="1"/>
    <col min="85" max="85" width="8.7265625" bestFit="1" customWidth="1"/>
    <col min="86" max="86" width="6.1796875" bestFit="1" customWidth="1"/>
    <col min="87" max="87" width="6.453125" bestFit="1" customWidth="1"/>
    <col min="88" max="88" width="6" bestFit="1" customWidth="1"/>
    <col min="89" max="89" width="6.7265625" bestFit="1" customWidth="1"/>
    <col min="90" max="90" width="5.81640625" bestFit="1" customWidth="1"/>
    <col min="91" max="91" width="5.26953125" bestFit="1" customWidth="1"/>
    <col min="92" max="92" width="11.26953125" bestFit="1" customWidth="1"/>
    <col min="93" max="472" width="10.7265625" bestFit="1" customWidth="1"/>
    <col min="473" max="473" width="11.26953125" bestFit="1" customWidth="1"/>
  </cols>
  <sheetData>
    <row r="2" spans="1:31" x14ac:dyDescent="0.35">
      <c r="K2" s="42"/>
    </row>
    <row r="3" spans="1:31" x14ac:dyDescent="0.35">
      <c r="A3" s="85" t="s">
        <v>2236</v>
      </c>
      <c r="B3" s="86" t="s">
        <v>2046</v>
      </c>
      <c r="C3" s="27"/>
      <c r="D3" s="87"/>
      <c r="E3" s="79"/>
      <c r="F3" s="79"/>
      <c r="G3" s="79"/>
      <c r="H3" s="79"/>
      <c r="I3" s="79"/>
      <c r="J3" s="74"/>
      <c r="K3" s="42"/>
      <c r="L3" s="85" t="s">
        <v>2236</v>
      </c>
      <c r="M3" s="86" t="s">
        <v>2046</v>
      </c>
      <c r="N3" s="27"/>
      <c r="O3" s="87"/>
      <c r="P3" s="79"/>
      <c r="Q3" s="79"/>
      <c r="R3" s="79"/>
      <c r="S3" s="79"/>
      <c r="T3" s="79"/>
      <c r="U3" s="74"/>
      <c r="V3" s="42"/>
      <c r="W3" s="85" t="s">
        <v>2236</v>
      </c>
      <c r="X3" s="86" t="s">
        <v>2046</v>
      </c>
      <c r="Y3" s="27"/>
      <c r="Z3" s="87"/>
      <c r="AA3" s="79"/>
      <c r="AB3" s="79"/>
      <c r="AC3" s="79"/>
      <c r="AD3" s="79"/>
      <c r="AE3" s="74"/>
    </row>
    <row r="4" spans="1:31" x14ac:dyDescent="0.35">
      <c r="A4" s="80"/>
      <c r="B4" s="87" t="s">
        <v>595</v>
      </c>
      <c r="C4" s="79" t="s">
        <v>1114</v>
      </c>
      <c r="D4" s="79" t="s">
        <v>236</v>
      </c>
      <c r="E4" s="79" t="s">
        <v>198</v>
      </c>
      <c r="F4" s="79" t="s">
        <v>226</v>
      </c>
      <c r="G4" s="79" t="s">
        <v>1538</v>
      </c>
      <c r="H4" s="74" t="s">
        <v>2026</v>
      </c>
      <c r="I4" s="213" t="s">
        <v>239</v>
      </c>
      <c r="J4" s="71" t="s">
        <v>2043</v>
      </c>
      <c r="K4" s="42"/>
      <c r="L4" s="80"/>
      <c r="M4" s="27" t="s">
        <v>595</v>
      </c>
      <c r="N4" s="74" t="s">
        <v>1114</v>
      </c>
      <c r="O4" s="74" t="s">
        <v>236</v>
      </c>
      <c r="P4" s="74" t="s">
        <v>198</v>
      </c>
      <c r="Q4" s="74" t="s">
        <v>226</v>
      </c>
      <c r="R4" s="74" t="s">
        <v>1538</v>
      </c>
      <c r="S4" s="74" t="s">
        <v>2026</v>
      </c>
      <c r="T4" s="213" t="s">
        <v>239</v>
      </c>
      <c r="U4" s="71" t="s">
        <v>2043</v>
      </c>
      <c r="V4" s="81"/>
      <c r="W4" s="80"/>
      <c r="X4" s="27" t="s">
        <v>595</v>
      </c>
      <c r="Y4" s="74" t="s">
        <v>1114</v>
      </c>
      <c r="Z4" s="74" t="s">
        <v>236</v>
      </c>
      <c r="AA4" s="74" t="s">
        <v>198</v>
      </c>
      <c r="AB4" s="74" t="s">
        <v>226</v>
      </c>
      <c r="AC4" s="74" t="s">
        <v>1538</v>
      </c>
      <c r="AD4" s="74" t="s">
        <v>2026</v>
      </c>
      <c r="AE4" s="71" t="s">
        <v>2043</v>
      </c>
    </row>
    <row r="5" spans="1:31" x14ac:dyDescent="0.35">
      <c r="A5" s="86" t="s">
        <v>2042</v>
      </c>
      <c r="B5" s="42"/>
      <c r="C5" s="42"/>
      <c r="D5" s="42"/>
      <c r="E5" s="42"/>
      <c r="F5" s="42"/>
      <c r="G5" s="42"/>
      <c r="H5" s="42"/>
      <c r="I5" s="42"/>
      <c r="J5" s="80"/>
      <c r="K5" s="42"/>
      <c r="L5" s="86" t="s">
        <v>2042</v>
      </c>
      <c r="M5" s="42"/>
      <c r="N5" s="42"/>
      <c r="O5" s="42"/>
      <c r="P5" s="42"/>
      <c r="Q5" s="42"/>
      <c r="R5" s="42"/>
      <c r="S5" s="42"/>
      <c r="T5" s="42"/>
      <c r="U5" s="80"/>
      <c r="V5" s="81"/>
      <c r="W5" s="82" t="s">
        <v>2042</v>
      </c>
      <c r="X5" s="42"/>
      <c r="Y5" s="42"/>
      <c r="Z5" s="42"/>
      <c r="AA5" s="42"/>
      <c r="AB5" s="42"/>
      <c r="AC5" s="42"/>
      <c r="AD5" s="42"/>
      <c r="AE5" s="80"/>
    </row>
    <row r="6" spans="1:31" x14ac:dyDescent="0.35">
      <c r="A6" s="190" t="s">
        <v>1988</v>
      </c>
      <c r="B6" s="187">
        <v>12</v>
      </c>
      <c r="C6" s="208">
        <v>15</v>
      </c>
      <c r="D6" s="208">
        <v>21</v>
      </c>
      <c r="E6" s="208">
        <v>19</v>
      </c>
      <c r="F6" s="208">
        <v>41</v>
      </c>
      <c r="G6" s="208">
        <v>20</v>
      </c>
      <c r="H6" s="208">
        <v>31</v>
      </c>
      <c r="I6" s="208">
        <v>2</v>
      </c>
      <c r="J6" s="76">
        <v>161</v>
      </c>
      <c r="K6" s="206"/>
      <c r="L6" s="193" t="s">
        <v>2078</v>
      </c>
      <c r="M6" s="75">
        <v>10</v>
      </c>
      <c r="N6" s="76">
        <v>4</v>
      </c>
      <c r="O6" s="76">
        <v>6</v>
      </c>
      <c r="P6" s="76">
        <v>5</v>
      </c>
      <c r="Q6" s="76">
        <v>16</v>
      </c>
      <c r="R6" s="76">
        <v>6</v>
      </c>
      <c r="S6" s="76">
        <v>11</v>
      </c>
      <c r="T6" s="76"/>
      <c r="U6" s="76">
        <v>58</v>
      </c>
      <c r="V6" s="206"/>
      <c r="W6" s="83" t="s">
        <v>2078</v>
      </c>
      <c r="X6" s="75">
        <v>10</v>
      </c>
      <c r="Y6" s="76">
        <v>4</v>
      </c>
      <c r="Z6" s="76">
        <v>6</v>
      </c>
      <c r="AA6" s="76">
        <v>5</v>
      </c>
      <c r="AB6" s="76">
        <v>16</v>
      </c>
      <c r="AC6" s="76">
        <v>6</v>
      </c>
      <c r="AD6" s="76">
        <v>11</v>
      </c>
      <c r="AE6" s="76">
        <v>58</v>
      </c>
    </row>
    <row r="7" spans="1:31" x14ac:dyDescent="0.35">
      <c r="A7" s="191" t="s">
        <v>1989</v>
      </c>
      <c r="B7" s="188">
        <v>51</v>
      </c>
      <c r="C7" s="206">
        <v>19</v>
      </c>
      <c r="D7" s="206">
        <v>20</v>
      </c>
      <c r="E7" s="206">
        <v>27</v>
      </c>
      <c r="F7" s="206">
        <v>26</v>
      </c>
      <c r="G7" s="206">
        <v>24</v>
      </c>
      <c r="H7" s="206">
        <v>35</v>
      </c>
      <c r="I7" s="206"/>
      <c r="J7" s="77">
        <v>202</v>
      </c>
      <c r="K7" s="77"/>
      <c r="L7" s="209" t="s">
        <v>1988</v>
      </c>
      <c r="M7" s="72"/>
      <c r="N7" s="77">
        <v>1</v>
      </c>
      <c r="O7" s="77">
        <v>4</v>
      </c>
      <c r="P7" s="77">
        <v>1</v>
      </c>
      <c r="Q7" s="77">
        <v>10</v>
      </c>
      <c r="R7" s="77">
        <v>3</v>
      </c>
      <c r="S7" s="77">
        <v>3</v>
      </c>
      <c r="T7" s="77"/>
      <c r="U7" s="77">
        <v>22</v>
      </c>
      <c r="V7" s="206"/>
      <c r="W7" s="84" t="s">
        <v>2116</v>
      </c>
      <c r="X7" s="72">
        <v>1</v>
      </c>
      <c r="Y7" s="77"/>
      <c r="Z7" s="77">
        <v>1</v>
      </c>
      <c r="AA7" s="77"/>
      <c r="AB7" s="77"/>
      <c r="AC7" s="77">
        <v>2</v>
      </c>
      <c r="AD7" s="77"/>
      <c r="AE7" s="77">
        <v>4</v>
      </c>
    </row>
    <row r="8" spans="1:31" x14ac:dyDescent="0.35">
      <c r="A8" s="191" t="s">
        <v>1982</v>
      </c>
      <c r="B8" s="188">
        <v>9</v>
      </c>
      <c r="C8" s="206">
        <v>14</v>
      </c>
      <c r="D8" s="206">
        <v>10</v>
      </c>
      <c r="E8" s="206">
        <v>13</v>
      </c>
      <c r="F8" s="206">
        <v>5</v>
      </c>
      <c r="G8" s="206">
        <v>12</v>
      </c>
      <c r="H8" s="206">
        <v>20</v>
      </c>
      <c r="I8" s="206"/>
      <c r="J8" s="77">
        <v>83</v>
      </c>
      <c r="K8" s="77"/>
      <c r="L8" s="210" t="s">
        <v>1989</v>
      </c>
      <c r="M8" s="72">
        <v>9</v>
      </c>
      <c r="N8" s="77">
        <v>3</v>
      </c>
      <c r="O8" s="77">
        <v>2</v>
      </c>
      <c r="P8" s="77">
        <v>4</v>
      </c>
      <c r="Q8" s="77">
        <v>4</v>
      </c>
      <c r="R8" s="77">
        <v>3</v>
      </c>
      <c r="S8" s="77">
        <v>5</v>
      </c>
      <c r="T8" s="77"/>
      <c r="U8" s="77">
        <v>30</v>
      </c>
      <c r="V8" s="206"/>
      <c r="W8" s="84" t="s">
        <v>2109</v>
      </c>
      <c r="X8" s="72"/>
      <c r="Y8" s="77"/>
      <c r="Z8" s="77"/>
      <c r="AA8" s="77">
        <v>1</v>
      </c>
      <c r="AB8" s="77">
        <v>1</v>
      </c>
      <c r="AC8" s="77"/>
      <c r="AD8" s="77">
        <v>3</v>
      </c>
      <c r="AE8" s="77">
        <v>5</v>
      </c>
    </row>
    <row r="9" spans="1:31" x14ac:dyDescent="0.35">
      <c r="A9" s="191" t="s">
        <v>1977</v>
      </c>
      <c r="B9" s="188"/>
      <c r="C9" s="206"/>
      <c r="D9" s="206"/>
      <c r="E9" s="206"/>
      <c r="F9" s="206">
        <v>1</v>
      </c>
      <c r="G9" s="206"/>
      <c r="H9" s="206"/>
      <c r="I9" s="206"/>
      <c r="J9" s="77">
        <v>1</v>
      </c>
      <c r="K9" s="77"/>
      <c r="L9" s="210" t="s">
        <v>1982</v>
      </c>
      <c r="M9" s="72">
        <v>1</v>
      </c>
      <c r="N9" s="77"/>
      <c r="O9" s="77"/>
      <c r="P9" s="77"/>
      <c r="Q9" s="77">
        <v>1</v>
      </c>
      <c r="R9" s="77"/>
      <c r="S9" s="77">
        <v>3</v>
      </c>
      <c r="T9" s="77"/>
      <c r="U9" s="77">
        <v>5</v>
      </c>
      <c r="V9" s="206"/>
      <c r="W9" s="84" t="s">
        <v>2079</v>
      </c>
      <c r="X9" s="72">
        <v>2</v>
      </c>
      <c r="Y9" s="77">
        <v>2</v>
      </c>
      <c r="Z9" s="77">
        <v>2</v>
      </c>
      <c r="AA9" s="77"/>
      <c r="AB9" s="77">
        <v>6</v>
      </c>
      <c r="AC9" s="77"/>
      <c r="AD9" s="77">
        <v>2</v>
      </c>
      <c r="AE9" s="77">
        <v>14</v>
      </c>
    </row>
    <row r="10" spans="1:31" x14ac:dyDescent="0.35">
      <c r="A10" s="191" t="s">
        <v>1980</v>
      </c>
      <c r="B10" s="188">
        <v>2</v>
      </c>
      <c r="C10" s="206">
        <v>1</v>
      </c>
      <c r="D10" s="206"/>
      <c r="E10" s="206"/>
      <c r="F10" s="206">
        <v>2</v>
      </c>
      <c r="G10" s="206">
        <v>3</v>
      </c>
      <c r="H10" s="206">
        <v>3</v>
      </c>
      <c r="I10" s="206"/>
      <c r="J10" s="77">
        <v>11</v>
      </c>
      <c r="K10" s="77"/>
      <c r="L10" s="211" t="s">
        <v>1980</v>
      </c>
      <c r="M10" s="72"/>
      <c r="N10" s="77"/>
      <c r="O10" s="77"/>
      <c r="P10" s="77"/>
      <c r="Q10" s="77">
        <v>1</v>
      </c>
      <c r="R10" s="77"/>
      <c r="S10" s="77"/>
      <c r="T10" s="77"/>
      <c r="U10" s="77">
        <v>1</v>
      </c>
      <c r="V10" s="206"/>
      <c r="W10" s="84" t="s">
        <v>2115</v>
      </c>
      <c r="X10" s="72"/>
      <c r="Y10" s="77"/>
      <c r="Z10" s="77">
        <v>1</v>
      </c>
      <c r="AA10" s="77">
        <v>1</v>
      </c>
      <c r="AB10" s="77"/>
      <c r="AC10" s="77"/>
      <c r="AD10" s="77">
        <v>1</v>
      </c>
      <c r="AE10" s="77">
        <v>3</v>
      </c>
    </row>
    <row r="11" spans="1:31" x14ac:dyDescent="0.35">
      <c r="A11" s="192" t="s">
        <v>1973</v>
      </c>
      <c r="B11" s="188">
        <v>1</v>
      </c>
      <c r="C11" s="206">
        <v>1</v>
      </c>
      <c r="D11" s="206">
        <v>3</v>
      </c>
      <c r="E11" s="206"/>
      <c r="F11" s="206">
        <v>5</v>
      </c>
      <c r="G11" s="206"/>
      <c r="H11" s="206">
        <v>1</v>
      </c>
      <c r="I11" s="206"/>
      <c r="J11" s="77">
        <v>11</v>
      </c>
      <c r="K11" s="77"/>
      <c r="L11" s="193" t="s">
        <v>2088</v>
      </c>
      <c r="M11" s="72">
        <v>3</v>
      </c>
      <c r="N11" s="77">
        <v>7</v>
      </c>
      <c r="O11" s="77">
        <v>6</v>
      </c>
      <c r="P11" s="77">
        <v>5</v>
      </c>
      <c r="Q11" s="77">
        <v>4</v>
      </c>
      <c r="R11" s="77">
        <v>7</v>
      </c>
      <c r="S11" s="77">
        <v>16</v>
      </c>
      <c r="T11" s="77"/>
      <c r="U11" s="77">
        <v>48</v>
      </c>
      <c r="V11" s="206"/>
      <c r="W11" s="84" t="s">
        <v>2104</v>
      </c>
      <c r="X11" s="72">
        <v>2</v>
      </c>
      <c r="Y11" s="77">
        <v>1</v>
      </c>
      <c r="Z11" s="77"/>
      <c r="AA11" s="77"/>
      <c r="AB11" s="77">
        <v>2</v>
      </c>
      <c r="AC11" s="77">
        <v>3</v>
      </c>
      <c r="AD11" s="77">
        <v>1</v>
      </c>
      <c r="AE11" s="77">
        <v>9</v>
      </c>
    </row>
    <row r="12" spans="1:31" x14ac:dyDescent="0.35">
      <c r="A12" s="193" t="s">
        <v>2043</v>
      </c>
      <c r="B12" s="189">
        <v>75</v>
      </c>
      <c r="C12" s="207">
        <v>50</v>
      </c>
      <c r="D12" s="207">
        <v>54</v>
      </c>
      <c r="E12" s="207">
        <v>59</v>
      </c>
      <c r="F12" s="207">
        <v>80</v>
      </c>
      <c r="G12" s="207">
        <v>59</v>
      </c>
      <c r="H12" s="207">
        <v>90</v>
      </c>
      <c r="I12" s="207">
        <v>2</v>
      </c>
      <c r="J12" s="78">
        <v>469</v>
      </c>
      <c r="K12" s="77"/>
      <c r="L12" s="209" t="s">
        <v>1989</v>
      </c>
      <c r="M12" s="72"/>
      <c r="N12" s="77"/>
      <c r="O12" s="77">
        <v>1</v>
      </c>
      <c r="P12" s="77"/>
      <c r="Q12" s="77"/>
      <c r="R12" s="77"/>
      <c r="S12" s="77"/>
      <c r="T12" s="77"/>
      <c r="U12" s="77">
        <v>1</v>
      </c>
      <c r="V12" s="206"/>
      <c r="W12" s="84" t="s">
        <v>2173</v>
      </c>
      <c r="X12" s="72"/>
      <c r="Y12" s="77"/>
      <c r="Z12" s="77"/>
      <c r="AA12" s="77">
        <v>1</v>
      </c>
      <c r="AB12" s="77">
        <v>4</v>
      </c>
      <c r="AC12" s="77"/>
      <c r="AD12" s="77"/>
      <c r="AE12" s="77">
        <v>5</v>
      </c>
    </row>
    <row r="13" spans="1:31" x14ac:dyDescent="0.35">
      <c r="L13" s="210" t="s">
        <v>1982</v>
      </c>
      <c r="M13" s="72">
        <v>3</v>
      </c>
      <c r="N13" s="77">
        <v>6</v>
      </c>
      <c r="O13" s="77">
        <v>5</v>
      </c>
      <c r="P13" s="77">
        <v>5</v>
      </c>
      <c r="Q13" s="77">
        <v>4</v>
      </c>
      <c r="R13" s="77">
        <v>7</v>
      </c>
      <c r="S13" s="77">
        <v>13</v>
      </c>
      <c r="T13" s="77"/>
      <c r="U13" s="77">
        <v>43</v>
      </c>
      <c r="V13" s="206"/>
      <c r="W13" s="84" t="s">
        <v>2108</v>
      </c>
      <c r="X13" s="72">
        <v>5</v>
      </c>
      <c r="Y13" s="77">
        <v>1</v>
      </c>
      <c r="Z13" s="77">
        <v>2</v>
      </c>
      <c r="AA13" s="77">
        <v>2</v>
      </c>
      <c r="AB13" s="77">
        <v>3</v>
      </c>
      <c r="AC13" s="77">
        <v>1</v>
      </c>
      <c r="AD13" s="77">
        <v>4</v>
      </c>
      <c r="AE13" s="77">
        <v>18</v>
      </c>
    </row>
    <row r="14" spans="1:31" x14ac:dyDescent="0.35">
      <c r="L14" s="210" t="s">
        <v>1980</v>
      </c>
      <c r="M14" s="72"/>
      <c r="N14" s="77">
        <v>1</v>
      </c>
      <c r="O14" s="77"/>
      <c r="P14" s="77"/>
      <c r="Q14" s="77"/>
      <c r="R14" s="77"/>
      <c r="S14" s="77">
        <v>2</v>
      </c>
      <c r="T14" s="77"/>
      <c r="U14" s="77">
        <v>3</v>
      </c>
      <c r="V14" s="206"/>
      <c r="W14" s="83" t="s">
        <v>2080</v>
      </c>
      <c r="X14" s="72">
        <v>24</v>
      </c>
      <c r="Y14" s="77">
        <v>11</v>
      </c>
      <c r="Z14" s="77">
        <v>7</v>
      </c>
      <c r="AA14" s="77">
        <v>14</v>
      </c>
      <c r="AB14" s="77">
        <v>24</v>
      </c>
      <c r="AC14" s="77">
        <v>15</v>
      </c>
      <c r="AD14" s="77">
        <v>19</v>
      </c>
      <c r="AE14" s="77">
        <v>114</v>
      </c>
    </row>
    <row r="15" spans="1:31" x14ac:dyDescent="0.35">
      <c r="A15" s="86" t="s">
        <v>2236</v>
      </c>
      <c r="B15" s="86" t="s">
        <v>2046</v>
      </c>
      <c r="C15" s="27"/>
      <c r="L15" s="211" t="s">
        <v>1973</v>
      </c>
      <c r="M15" s="72"/>
      <c r="N15" s="77"/>
      <c r="O15" s="77"/>
      <c r="P15" s="77"/>
      <c r="Q15" s="77"/>
      <c r="R15" s="77"/>
      <c r="S15" s="77">
        <v>1</v>
      </c>
      <c r="T15" s="77"/>
      <c r="U15" s="77">
        <v>1</v>
      </c>
      <c r="V15" s="206"/>
      <c r="W15" s="84" t="s">
        <v>2100</v>
      </c>
      <c r="X15" s="72">
        <v>2</v>
      </c>
      <c r="Y15" s="77"/>
      <c r="Z15" s="77"/>
      <c r="AA15" s="77">
        <v>2</v>
      </c>
      <c r="AB15" s="77">
        <v>7</v>
      </c>
      <c r="AC15" s="77"/>
      <c r="AD15" s="77">
        <v>1</v>
      </c>
      <c r="AE15" s="77">
        <v>12</v>
      </c>
    </row>
    <row r="16" spans="1:31" x14ac:dyDescent="0.35">
      <c r="A16" s="86" t="s">
        <v>2042</v>
      </c>
      <c r="B16" s="27" t="s">
        <v>2026</v>
      </c>
      <c r="C16" s="27" t="s">
        <v>2043</v>
      </c>
      <c r="L16" s="193" t="s">
        <v>2085</v>
      </c>
      <c r="M16" s="72">
        <v>18</v>
      </c>
      <c r="N16" s="77">
        <v>11</v>
      </c>
      <c r="O16" s="77">
        <v>17</v>
      </c>
      <c r="P16" s="77">
        <v>18</v>
      </c>
      <c r="Q16" s="77">
        <v>13</v>
      </c>
      <c r="R16" s="77">
        <v>10</v>
      </c>
      <c r="S16" s="77">
        <v>17</v>
      </c>
      <c r="T16" s="77"/>
      <c r="U16" s="77">
        <v>104</v>
      </c>
      <c r="V16" s="206"/>
      <c r="W16" s="84" t="s">
        <v>2103</v>
      </c>
      <c r="X16" s="72"/>
      <c r="Y16" s="77">
        <v>1</v>
      </c>
      <c r="Z16" s="77"/>
      <c r="AA16" s="77"/>
      <c r="AB16" s="77"/>
      <c r="AC16" s="77"/>
      <c r="AD16" s="77"/>
      <c r="AE16" s="77">
        <v>1</v>
      </c>
    </row>
    <row r="17" spans="1:31" x14ac:dyDescent="0.35">
      <c r="A17" s="190" t="s">
        <v>2078</v>
      </c>
      <c r="B17" s="187">
        <v>11</v>
      </c>
      <c r="C17" s="76">
        <v>11</v>
      </c>
      <c r="L17" s="209" t="s">
        <v>1988</v>
      </c>
      <c r="M17" s="72">
        <v>10</v>
      </c>
      <c r="N17" s="77">
        <v>8</v>
      </c>
      <c r="O17" s="77">
        <v>10</v>
      </c>
      <c r="P17" s="77">
        <v>9</v>
      </c>
      <c r="Q17" s="77">
        <v>8</v>
      </c>
      <c r="R17" s="77">
        <v>4</v>
      </c>
      <c r="S17" s="77">
        <v>9</v>
      </c>
      <c r="T17" s="77"/>
      <c r="U17" s="77">
        <v>58</v>
      </c>
      <c r="V17" s="206"/>
      <c r="W17" s="84" t="s">
        <v>2081</v>
      </c>
      <c r="X17" s="72">
        <v>18</v>
      </c>
      <c r="Y17" s="77">
        <v>8</v>
      </c>
      <c r="Z17" s="77">
        <v>5</v>
      </c>
      <c r="AA17" s="77">
        <v>8</v>
      </c>
      <c r="AB17" s="77">
        <v>10</v>
      </c>
      <c r="AC17" s="77">
        <v>11</v>
      </c>
      <c r="AD17" s="77">
        <v>13</v>
      </c>
      <c r="AE17" s="77">
        <v>73</v>
      </c>
    </row>
    <row r="18" spans="1:31" x14ac:dyDescent="0.35">
      <c r="A18" s="191" t="s">
        <v>2088</v>
      </c>
      <c r="B18" s="188">
        <v>16</v>
      </c>
      <c r="C18" s="77">
        <v>16</v>
      </c>
      <c r="L18" s="210" t="s">
        <v>1989</v>
      </c>
      <c r="M18" s="72">
        <v>6</v>
      </c>
      <c r="N18" s="77">
        <v>3</v>
      </c>
      <c r="O18" s="77">
        <v>6</v>
      </c>
      <c r="P18" s="77">
        <v>6</v>
      </c>
      <c r="Q18" s="77">
        <v>4</v>
      </c>
      <c r="R18" s="77">
        <v>4</v>
      </c>
      <c r="S18" s="77">
        <v>7</v>
      </c>
      <c r="T18" s="77"/>
      <c r="U18" s="77">
        <v>36</v>
      </c>
      <c r="V18" s="206"/>
      <c r="W18" s="84" t="s">
        <v>2095</v>
      </c>
      <c r="X18" s="72">
        <v>1</v>
      </c>
      <c r="Y18" s="77">
        <v>1</v>
      </c>
      <c r="Z18" s="77"/>
      <c r="AA18" s="77">
        <v>2</v>
      </c>
      <c r="AB18" s="77"/>
      <c r="AC18" s="77"/>
      <c r="AD18" s="77"/>
      <c r="AE18" s="77">
        <v>4</v>
      </c>
    </row>
    <row r="19" spans="1:31" x14ac:dyDescent="0.35">
      <c r="A19" s="191" t="s">
        <v>2085</v>
      </c>
      <c r="B19" s="188">
        <v>17</v>
      </c>
      <c r="C19" s="77">
        <v>17</v>
      </c>
      <c r="L19" s="210" t="s">
        <v>1982</v>
      </c>
      <c r="M19" s="72"/>
      <c r="N19" s="77"/>
      <c r="O19" s="77">
        <v>1</v>
      </c>
      <c r="P19" s="77">
        <v>3</v>
      </c>
      <c r="Q19" s="77"/>
      <c r="R19" s="77"/>
      <c r="S19" s="77">
        <v>1</v>
      </c>
      <c r="T19" s="77"/>
      <c r="U19" s="77">
        <v>5</v>
      </c>
      <c r="V19" s="206"/>
      <c r="W19" s="84" t="s">
        <v>2094</v>
      </c>
      <c r="X19" s="72">
        <v>3</v>
      </c>
      <c r="Y19" s="77">
        <v>1</v>
      </c>
      <c r="Z19" s="77">
        <v>2</v>
      </c>
      <c r="AA19" s="77">
        <v>2</v>
      </c>
      <c r="AB19" s="77">
        <v>7</v>
      </c>
      <c r="AC19" s="77">
        <v>4</v>
      </c>
      <c r="AD19" s="77">
        <v>5</v>
      </c>
      <c r="AE19" s="77">
        <v>24</v>
      </c>
    </row>
    <row r="20" spans="1:31" x14ac:dyDescent="0.35">
      <c r="A20" s="191" t="s">
        <v>2080</v>
      </c>
      <c r="B20" s="188">
        <v>19</v>
      </c>
      <c r="C20" s="77">
        <v>19</v>
      </c>
      <c r="L20" s="211" t="s">
        <v>1980</v>
      </c>
      <c r="M20" s="72">
        <v>2</v>
      </c>
      <c r="N20" s="77"/>
      <c r="O20" s="77"/>
      <c r="P20" s="77"/>
      <c r="Q20" s="77">
        <v>1</v>
      </c>
      <c r="R20" s="77">
        <v>2</v>
      </c>
      <c r="S20" s="77"/>
      <c r="T20" s="77"/>
      <c r="U20" s="77">
        <v>5</v>
      </c>
      <c r="V20" s="206"/>
      <c r="W20" s="193" t="s">
        <v>2043</v>
      </c>
      <c r="X20" s="73">
        <v>34</v>
      </c>
      <c r="Y20" s="78">
        <v>15</v>
      </c>
      <c r="Z20" s="78">
        <v>13</v>
      </c>
      <c r="AA20" s="78">
        <v>19</v>
      </c>
      <c r="AB20" s="78">
        <v>40</v>
      </c>
      <c r="AC20" s="78">
        <v>21</v>
      </c>
      <c r="AD20" s="78">
        <v>30</v>
      </c>
      <c r="AE20" s="78">
        <v>172</v>
      </c>
    </row>
    <row r="21" spans="1:31" x14ac:dyDescent="0.35">
      <c r="A21" s="192" t="s">
        <v>2075</v>
      </c>
      <c r="B21" s="188">
        <v>27</v>
      </c>
      <c r="C21" s="77">
        <v>27</v>
      </c>
      <c r="L21" s="193" t="s">
        <v>2125</v>
      </c>
      <c r="M21" s="72"/>
      <c r="N21" s="77"/>
      <c r="O21" s="77">
        <v>1</v>
      </c>
      <c r="P21" s="77"/>
      <c r="Q21" s="77">
        <v>3</v>
      </c>
      <c r="R21" s="77">
        <v>1</v>
      </c>
      <c r="S21" s="77"/>
      <c r="T21" s="77"/>
      <c r="U21" s="77">
        <v>5</v>
      </c>
      <c r="V21" s="206"/>
    </row>
    <row r="22" spans="1:31" x14ac:dyDescent="0.35">
      <c r="A22" s="193" t="s">
        <v>2043</v>
      </c>
      <c r="B22" s="189">
        <v>90</v>
      </c>
      <c r="C22" s="78">
        <v>90</v>
      </c>
      <c r="L22" s="209" t="s">
        <v>1988</v>
      </c>
      <c r="M22" s="72"/>
      <c r="N22" s="77"/>
      <c r="O22" s="77"/>
      <c r="P22" s="77"/>
      <c r="Q22" s="77"/>
      <c r="R22" s="77">
        <v>1</v>
      </c>
      <c r="S22" s="77"/>
      <c r="T22" s="77"/>
      <c r="U22" s="77">
        <v>1</v>
      </c>
      <c r="V22" s="206"/>
    </row>
    <row r="23" spans="1:31" x14ac:dyDescent="0.35">
      <c r="L23" s="211" t="s">
        <v>1973</v>
      </c>
      <c r="M23" s="72"/>
      <c r="N23" s="77"/>
      <c r="O23" s="77">
        <v>1</v>
      </c>
      <c r="P23" s="77"/>
      <c r="Q23" s="77">
        <v>3</v>
      </c>
      <c r="R23" s="77"/>
      <c r="S23" s="77"/>
      <c r="T23" s="77"/>
      <c r="U23" s="77">
        <v>4</v>
      </c>
      <c r="V23" s="206"/>
    </row>
    <row r="24" spans="1:31" x14ac:dyDescent="0.35">
      <c r="L24" s="193" t="s">
        <v>2113</v>
      </c>
      <c r="M24" s="72">
        <v>1</v>
      </c>
      <c r="N24" s="77">
        <v>1</v>
      </c>
      <c r="O24" s="77">
        <v>2</v>
      </c>
      <c r="P24" s="77"/>
      <c r="Q24" s="77">
        <v>2</v>
      </c>
      <c r="R24" s="77"/>
      <c r="S24" s="77"/>
      <c r="T24" s="77"/>
      <c r="U24" s="77">
        <v>6</v>
      </c>
      <c r="V24" s="206"/>
    </row>
    <row r="25" spans="1:31" x14ac:dyDescent="0.35">
      <c r="L25" s="212" t="s">
        <v>1973</v>
      </c>
      <c r="M25" s="72">
        <v>1</v>
      </c>
      <c r="N25" s="77">
        <v>1</v>
      </c>
      <c r="O25" s="77">
        <v>2</v>
      </c>
      <c r="P25" s="77"/>
      <c r="Q25" s="77">
        <v>2</v>
      </c>
      <c r="R25" s="77"/>
      <c r="S25" s="77"/>
      <c r="T25" s="77"/>
      <c r="U25" s="77">
        <v>6</v>
      </c>
      <c r="V25" s="206"/>
    </row>
    <row r="26" spans="1:31" x14ac:dyDescent="0.35">
      <c r="L26" s="193" t="s">
        <v>2080</v>
      </c>
      <c r="M26" s="72">
        <v>24</v>
      </c>
      <c r="N26" s="77">
        <v>11</v>
      </c>
      <c r="O26" s="77">
        <v>7</v>
      </c>
      <c r="P26" s="77">
        <v>14</v>
      </c>
      <c r="Q26" s="77">
        <v>24</v>
      </c>
      <c r="R26" s="77">
        <v>15</v>
      </c>
      <c r="S26" s="77">
        <v>19</v>
      </c>
      <c r="T26" s="77"/>
      <c r="U26" s="77">
        <v>114</v>
      </c>
      <c r="V26" s="206"/>
    </row>
    <row r="27" spans="1:31" x14ac:dyDescent="0.35">
      <c r="L27" s="209" t="s">
        <v>1988</v>
      </c>
      <c r="M27" s="72">
        <v>1</v>
      </c>
      <c r="N27" s="77">
        <v>3</v>
      </c>
      <c r="O27" s="77">
        <v>2</v>
      </c>
      <c r="P27" s="77">
        <v>4</v>
      </c>
      <c r="Q27" s="77">
        <v>18</v>
      </c>
      <c r="R27" s="77">
        <v>4</v>
      </c>
      <c r="S27" s="77">
        <v>7</v>
      </c>
      <c r="T27" s="77"/>
      <c r="U27" s="77">
        <v>39</v>
      </c>
      <c r="V27" s="206"/>
    </row>
    <row r="28" spans="1:31" x14ac:dyDescent="0.35">
      <c r="L28" s="210" t="s">
        <v>1989</v>
      </c>
      <c r="M28" s="72">
        <v>21</v>
      </c>
      <c r="N28" s="77">
        <v>5</v>
      </c>
      <c r="O28" s="77">
        <v>5</v>
      </c>
      <c r="P28" s="77">
        <v>9</v>
      </c>
      <c r="Q28" s="77">
        <v>6</v>
      </c>
      <c r="R28" s="77">
        <v>11</v>
      </c>
      <c r="S28" s="77">
        <v>12</v>
      </c>
      <c r="T28" s="77"/>
      <c r="U28" s="77">
        <v>69</v>
      </c>
      <c r="V28" s="206"/>
    </row>
    <row r="29" spans="1:31" x14ac:dyDescent="0.35">
      <c r="L29" s="211" t="s">
        <v>1982</v>
      </c>
      <c r="M29" s="72">
        <v>2</v>
      </c>
      <c r="N29" s="77">
        <v>3</v>
      </c>
      <c r="O29" s="77"/>
      <c r="P29" s="77">
        <v>1</v>
      </c>
      <c r="Q29" s="77"/>
      <c r="R29" s="77"/>
      <c r="S29" s="77"/>
      <c r="T29" s="77"/>
      <c r="U29" s="77">
        <v>6</v>
      </c>
      <c r="V29" s="206"/>
    </row>
    <row r="30" spans="1:31" x14ac:dyDescent="0.35">
      <c r="L30" s="193" t="s">
        <v>2075</v>
      </c>
      <c r="M30" s="72">
        <v>19</v>
      </c>
      <c r="N30" s="77">
        <v>16</v>
      </c>
      <c r="O30" s="77">
        <v>15</v>
      </c>
      <c r="P30" s="77">
        <v>17</v>
      </c>
      <c r="Q30" s="77">
        <v>18</v>
      </c>
      <c r="R30" s="77">
        <v>20</v>
      </c>
      <c r="S30" s="77">
        <v>27</v>
      </c>
      <c r="T30" s="77">
        <v>2</v>
      </c>
      <c r="U30" s="77">
        <v>134</v>
      </c>
      <c r="V30" s="206"/>
    </row>
    <row r="31" spans="1:31" x14ac:dyDescent="0.35">
      <c r="L31" s="209" t="s">
        <v>1988</v>
      </c>
      <c r="M31" s="72">
        <v>1</v>
      </c>
      <c r="N31" s="77">
        <v>3</v>
      </c>
      <c r="O31" s="77">
        <v>5</v>
      </c>
      <c r="P31" s="77">
        <v>5</v>
      </c>
      <c r="Q31" s="77">
        <v>5</v>
      </c>
      <c r="R31" s="77">
        <v>8</v>
      </c>
      <c r="S31" s="77">
        <v>12</v>
      </c>
      <c r="T31" s="77">
        <v>2</v>
      </c>
      <c r="U31" s="77">
        <v>41</v>
      </c>
      <c r="V31" s="206"/>
    </row>
    <row r="32" spans="1:31" x14ac:dyDescent="0.35">
      <c r="L32" s="210" t="s">
        <v>1989</v>
      </c>
      <c r="M32" s="72">
        <v>15</v>
      </c>
      <c r="N32" s="77">
        <v>8</v>
      </c>
      <c r="O32" s="77">
        <v>6</v>
      </c>
      <c r="P32" s="77">
        <v>8</v>
      </c>
      <c r="Q32" s="77">
        <v>12</v>
      </c>
      <c r="R32" s="77">
        <v>6</v>
      </c>
      <c r="S32" s="77">
        <v>11</v>
      </c>
      <c r="T32" s="77"/>
      <c r="U32" s="77">
        <v>66</v>
      </c>
      <c r="V32" s="206"/>
    </row>
    <row r="33" spans="12:22" x14ac:dyDescent="0.35">
      <c r="L33" s="210" t="s">
        <v>1982</v>
      </c>
      <c r="M33" s="72">
        <v>3</v>
      </c>
      <c r="N33" s="77">
        <v>5</v>
      </c>
      <c r="O33" s="77">
        <v>4</v>
      </c>
      <c r="P33" s="77">
        <v>4</v>
      </c>
      <c r="Q33" s="77"/>
      <c r="R33" s="77">
        <v>5</v>
      </c>
      <c r="S33" s="77">
        <v>3</v>
      </c>
      <c r="T33" s="77"/>
      <c r="U33" s="77">
        <v>24</v>
      </c>
      <c r="V33" s="206"/>
    </row>
    <row r="34" spans="12:22" x14ac:dyDescent="0.35">
      <c r="L34" s="210" t="s">
        <v>1977</v>
      </c>
      <c r="M34" s="72"/>
      <c r="N34" s="77"/>
      <c r="O34" s="77"/>
      <c r="P34" s="77"/>
      <c r="Q34" s="77">
        <v>1</v>
      </c>
      <c r="R34" s="77"/>
      <c r="S34" s="77"/>
      <c r="T34" s="77"/>
      <c r="U34" s="77">
        <v>1</v>
      </c>
      <c r="V34" s="206"/>
    </row>
    <row r="35" spans="12:22" x14ac:dyDescent="0.35">
      <c r="L35" s="211" t="s">
        <v>1980</v>
      </c>
      <c r="M35" s="72"/>
      <c r="N35" s="77"/>
      <c r="O35" s="77"/>
      <c r="P35" s="77"/>
      <c r="Q35" s="77"/>
      <c r="R35" s="77">
        <v>1</v>
      </c>
      <c r="S35" s="77">
        <v>1</v>
      </c>
      <c r="T35" s="77"/>
      <c r="U35" s="77">
        <v>2</v>
      </c>
      <c r="V35" s="206"/>
    </row>
    <row r="36" spans="12:22" x14ac:dyDescent="0.35">
      <c r="L36" s="193" t="s">
        <v>2043</v>
      </c>
      <c r="M36" s="73">
        <v>75</v>
      </c>
      <c r="N36" s="78">
        <v>50</v>
      </c>
      <c r="O36" s="78">
        <v>54</v>
      </c>
      <c r="P36" s="78">
        <v>59</v>
      </c>
      <c r="Q36" s="78">
        <v>80</v>
      </c>
      <c r="R36" s="78">
        <v>59</v>
      </c>
      <c r="S36" s="78">
        <v>90</v>
      </c>
      <c r="T36" s="78">
        <v>2</v>
      </c>
      <c r="U36" s="78">
        <v>469</v>
      </c>
      <c r="V36" s="20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9334E-9B6A-4FEF-827D-EAE30F8F9754}">
  <sheetPr>
    <tabColor rgb="FFFFC000"/>
  </sheetPr>
  <dimension ref="A1:AB54"/>
  <sheetViews>
    <sheetView workbookViewId="0">
      <selection activeCell="N14" sqref="N14"/>
    </sheetView>
  </sheetViews>
  <sheetFormatPr defaultRowHeight="14.5" x14ac:dyDescent="0.35"/>
  <cols>
    <col min="1" max="1" width="9.1796875" bestFit="1" customWidth="1"/>
    <col min="2" max="3" width="9.81640625" bestFit="1" customWidth="1"/>
    <col min="4" max="4" width="11.7265625" bestFit="1" customWidth="1"/>
    <col min="5" max="5" width="10.90625" customWidth="1"/>
    <col min="6" max="6" width="10.90625" bestFit="1" customWidth="1"/>
    <col min="8" max="8" width="13.453125" bestFit="1" customWidth="1"/>
    <col min="9" max="10" width="9.81640625" bestFit="1" customWidth="1"/>
    <col min="12" max="12" width="17.81640625" bestFit="1" customWidth="1"/>
    <col min="15" max="15" width="10.1796875" bestFit="1" customWidth="1"/>
    <col min="16" max="17" width="9.81640625" bestFit="1" customWidth="1"/>
    <col min="22" max="22" width="13.54296875" bestFit="1" customWidth="1"/>
    <col min="23" max="24" width="9.81640625" bestFit="1" customWidth="1"/>
  </cols>
  <sheetData>
    <row r="1" spans="1:28" s="8" customFormat="1" ht="15" thickBot="1" x14ac:dyDescent="0.4">
      <c r="A1" s="105" t="s">
        <v>2051</v>
      </c>
      <c r="B1" s="106" t="s">
        <v>2053</v>
      </c>
      <c r="C1" s="106" t="s">
        <v>2052</v>
      </c>
      <c r="D1" s="107" t="s">
        <v>2054</v>
      </c>
      <c r="E1" s="108" t="s">
        <v>34</v>
      </c>
      <c r="F1" s="109">
        <v>45839</v>
      </c>
      <c r="G1" s="100"/>
      <c r="H1" s="105" t="s">
        <v>10</v>
      </c>
      <c r="I1" s="106" t="s">
        <v>2053</v>
      </c>
      <c r="J1" s="106" t="s">
        <v>2052</v>
      </c>
      <c r="K1" s="107" t="s">
        <v>2054</v>
      </c>
      <c r="L1" s="108" t="s">
        <v>34</v>
      </c>
      <c r="M1" s="109">
        <v>45839</v>
      </c>
      <c r="N1" s="100"/>
      <c r="O1" s="105" t="s">
        <v>5</v>
      </c>
      <c r="P1" s="106" t="s">
        <v>2053</v>
      </c>
      <c r="Q1" s="106" t="s">
        <v>2052</v>
      </c>
      <c r="R1" s="107" t="s">
        <v>2054</v>
      </c>
      <c r="S1" s="108" t="s">
        <v>34</v>
      </c>
      <c r="T1" s="109">
        <v>45839</v>
      </c>
      <c r="U1" s="100"/>
      <c r="V1" s="105" t="s">
        <v>2065</v>
      </c>
      <c r="W1" s="106" t="s">
        <v>2053</v>
      </c>
      <c r="X1" s="106" t="s">
        <v>2052</v>
      </c>
      <c r="Y1" s="107" t="s">
        <v>2054</v>
      </c>
      <c r="Z1" s="108" t="s">
        <v>34</v>
      </c>
      <c r="AA1" s="109">
        <v>45839</v>
      </c>
      <c r="AB1" s="65"/>
    </row>
    <row r="2" spans="1:28" x14ac:dyDescent="0.35">
      <c r="A2" s="60" t="str" cm="1">
        <f t="array" ref="A2:A13">_xlfn.LET(
  _xlpm.data, AllTasks!L2:INDEX(AllTasks!L:L, COUNTA(AllTasks!L:L) + 1),
  _xlpm.uniqueVals, _xlfn._xlws.SORT(_xlfn.UNIQUE(_xlfn._xlws.FILTER(_xlpm.data, _xlpm.data&lt;&gt;""))),
  IF(COUNTBLANK(_xlpm.data)&gt;0,
     _xlfn.VSTACK(_xlpm.uniqueVals, ""),
     _xlpm.uniqueVals
  )
)</f>
        <v>17-24K</v>
      </c>
      <c r="B2" s="42">
        <f>COUNTIFS(
  AllTasks!L:L, A2,
  AllTasks!Q:Q, "&gt;=1/1/2024",
  AllTasks!Q:Q, "&lt;1/1/2025"
)</f>
        <v>7</v>
      </c>
      <c r="C2" s="42">
        <f>COUNTIFS(
  AllTasks!L:L, A2,
  AllTasks!Q:Q, "&gt;=1/1/2025",
  AllTasks!Q:Q, "&lt;1/1/2026"
)</f>
        <v>0</v>
      </c>
      <c r="D2" s="42">
        <f>SUM(B2+C2)</f>
        <v>7</v>
      </c>
      <c r="E2" s="42">
        <f>COUNTIFS(
  AllTasks!L:L, $A2,
  AllTasks!S:S, "*" &amp; $E$1 &amp; "*",
  AllTasks!Q:Q, "&lt;&gt;"
)</f>
        <v>0</v>
      </c>
      <c r="F2" s="61">
        <f>COUNTIFS(
  AllTasks!L:L, $A2,
  AllTasks!Q:Q, "&gt;=" &amp; DATE(YEAR(F$1), MONTH(F$1), 1),
  AllTasks!Q:Q, "&lt;" &amp; EDATE(DATE(YEAR(F$1), MONTH(F$1), 1), 1)
)</f>
        <v>0</v>
      </c>
      <c r="H2" s="60" t="str" cm="1">
        <f t="array" ref="H2:H8">_xlfn.LET(
  _xlpm.data, AllTasks!K2:INDEX(AllTasks!K:K, COUNTA(AllTasks!K:K) + 1),
  _xlpm.uniqueVals, _xlfn.UNIQUE(_xlfn._xlws.FILTER(_xlpm.data, _xlpm.data&lt;&gt;"")),
  IF(COUNTBLANK(_xlpm.data)&gt;0,
     _xlfn.VSTACK(_xlpm.uniqueVals, ""),
     _xlpm.uniqueVals
  )
)</f>
        <v>PW1000G</v>
      </c>
      <c r="I2" s="42">
        <f>COUNTIFS(
  AllTasks!K:K, H2,
  AllTasks!Q:Q, "&gt;=1/1/2024",
  AllTasks!Q:Q, "&lt;1/1/2025"
)</f>
        <v>176</v>
      </c>
      <c r="J2" s="42">
        <f>COUNTIFS(
  AllTasks!K:K, H2,
  AllTasks!Q:Q, "&gt;=1/1/2025",
  AllTasks!Q:Q, "&lt;1/1/2026"
)</f>
        <v>127</v>
      </c>
      <c r="K2" s="42">
        <f>SUM(I2+J2)</f>
        <v>303</v>
      </c>
      <c r="L2" s="42">
        <f>COUNTIFS(
  AllTasks!K:K, $H2,
  AllTasks!S:S, "*" &amp; $L$1 &amp; "*",
  AllTasks!Q:Q, "&lt;&gt;"
)</f>
        <v>10</v>
      </c>
      <c r="M2" s="61">
        <f>COUNTIFS(
  AllTasks!K:K, $H2,
  AllTasks!Q:Q, "&gt;=" &amp; DATE(YEAR(M$1), MONTH(M$1), 1),
  AllTasks!Q:Q, "&lt;" &amp; EDATE(DATE(YEAR(M$1), MONTH(M$1), 1), 1)
)</f>
        <v>15</v>
      </c>
      <c r="O2" s="60" t="str" cm="1">
        <f t="array" ref="O2:O8">_xlfn.LET(
  _xlpm.data, AllTasks!F2:INDEX(AllTasks!F:F, COUNTA(AllTasks!F:F) + 1),
  _xlpm.uniqueVals, _xlfn.UNIQUE(_xlfn._xlws.FILTER(_xlpm.data, _xlpm.data&lt;&gt;"")),
  IF(COUNTBLANK(_xlpm.data)&gt;0,
     _xlfn.VSTACK(_xlpm.uniqueVals, ""),
     _xlpm.uniqueVals
  )
)</f>
        <v>2-Routine</v>
      </c>
      <c r="P2" s="42">
        <f>COUNTIFS(
  AllTasks!F:F, O2,
  AllTasks!Q:Q, "&gt;=1/1/2024",
  AllTasks!Q:Q, "&lt;1/1/2025"
)</f>
        <v>276</v>
      </c>
      <c r="Q2" s="42">
        <f>COUNTIFS(
  AllTasks!F:F, O2,
  AllTasks!Q:Q, "&gt;=1/1/2025",
  AllTasks!Q:Q, "&lt;1/1/2026"
)</f>
        <v>297</v>
      </c>
      <c r="R2" s="42">
        <f>SUM(P2+Q2)</f>
        <v>573</v>
      </c>
      <c r="S2" s="42">
        <f>COUNTIFS(
  AllTasks!F:F, $O2,
  AllTasks!S:S, "*" &amp; $S$1 &amp; "*",
  AllTasks!Q:Q, "&lt;&gt;"
)</f>
        <v>19</v>
      </c>
      <c r="T2" s="61">
        <f>COUNTIFS(
  AllTasks!F:F, $O2,
  AllTasks!Q:Q, "&gt;=" &amp; DATE(YEAR(T$1), MONTH(T$1), 1),
  AllTasks!Q:Q, "&lt;" &amp; EDATE(DATE(YEAR(T$1), MONTH(T$1), 1), 1)
)</f>
        <v>36</v>
      </c>
      <c r="V2" s="60" t="str" cm="1">
        <f t="array" ref="V2:V6">_xlfn.LET(
  _xlpm.data, AllTasks!J2:INDEX(AllTasks!J:J, COUNTA(AllTasks!J:J) + 1),
  _xlpm.uniqueVals, _xlfn.UNIQUE(_xlfn._xlws.FILTER(_xlpm.data, _xlpm.data&lt;&gt;"")),
  IF(COUNTBLANK(_xlpm.data)&gt;0,
     _xlfn.VSTACK(_xlpm.uniqueVals, ""),
     _xlpm.uniqueVals
  )
)</f>
        <v>OTC</v>
      </c>
      <c r="W2" s="42">
        <f>COUNTIFS(
  AllTasks!J:J, V2,
  AllTasks!Q:Q, "&gt;=1/1/2024",
  AllTasks!Q:Q, "&lt;1/1/2025"
)</f>
        <v>382</v>
      </c>
      <c r="X2" s="42">
        <f>COUNTIFS(
  AllTasks!J:J, V2,
  AllTasks!Q:Q, "&gt;=1/1/2025",
  AllTasks!Q:Q, "&lt;1/1/2026"
)</f>
        <v>270</v>
      </c>
      <c r="Y2" s="42">
        <f>SUM(W2+X2)</f>
        <v>652</v>
      </c>
      <c r="Z2" s="42">
        <f>COUNTIFS(
  AllTasks!J:J, $V2,
  AllTasks!S:S, "*" &amp; $Z$1 &amp; "*",
  AllTasks!Q:Q, "&lt;&gt;"
)</f>
        <v>21</v>
      </c>
      <c r="AA2" s="61">
        <f>COUNTIFS(
  AllTasks!J:J, $V2,
  AllTasks!Q:Q, "&gt;=" &amp; DATE(YEAR(AA$1), MONTH(AA$1), 1),
  AllTasks!Q:Q, "&lt;" &amp; EDATE(DATE(YEAR(AA$1), MONTH(AA$1), 1), 1)
)</f>
        <v>36</v>
      </c>
    </row>
    <row r="3" spans="1:28" x14ac:dyDescent="0.35">
      <c r="A3" s="60" t="str">
        <v>24K</v>
      </c>
      <c r="B3" s="42">
        <f>COUNTIFS(
  AllTasks!L:L, A3,
  AllTasks!Q:Q, "&gt;=1/1/2024",
  AllTasks!Q:Q, "&lt;1/1/2025"
)</f>
        <v>55</v>
      </c>
      <c r="C3" s="42">
        <f>COUNTIFS(
  AllTasks!L:L, A3,
  AllTasks!Q:Q, "&gt;=1/1/2025",
  AllTasks!Q:Q, "&lt;1/1/2026"
)</f>
        <v>61</v>
      </c>
      <c r="D3" s="42">
        <f t="shared" ref="D3:D13" si="0">SUM(B3+C3)</f>
        <v>116</v>
      </c>
      <c r="E3" s="42">
        <f>COUNTIFS(
  AllTasks!L:L, $A3,
  AllTasks!S:S, "*" &amp; $E$1 &amp; "*",
  AllTasks!Q:Q, "&lt;&gt;"
)</f>
        <v>5</v>
      </c>
      <c r="F3" s="61">
        <f>COUNTIFS(
  AllTasks!L:L, $A3,
  AllTasks!Q:Q, "&gt;=" &amp; DATE(YEAR(F$1), MONTH(F$1), 1),
  AllTasks!Q:Q, "&lt;" &amp; EDATE(DATE(YEAR(F$1), MONTH(F$1), 1), 1)
)</f>
        <v>5</v>
      </c>
      <c r="H3" s="60" t="str">
        <v>PW4000</v>
      </c>
      <c r="I3" s="42">
        <f>COUNTIFS(
  AllTasks!K:K, H3,
  AllTasks!Q:Q, "&gt;=1/1/2024",
  AllTasks!Q:Q, "&lt;1/1/2025"
)</f>
        <v>174</v>
      </c>
      <c r="J3" s="42">
        <f>COUNTIFS(
  AllTasks!K:K, H3,
  AllTasks!Q:Q, "&gt;=1/1/2025",
  AllTasks!Q:Q, "&lt;1/1/2026"
)</f>
        <v>120</v>
      </c>
      <c r="K3" s="42">
        <f t="shared" ref="K3:K7" si="1">SUM(I3+J3)</f>
        <v>294</v>
      </c>
      <c r="L3" s="42">
        <f>COUNTIFS(
  AllTasks!K:K, $H3,
  AllTasks!S:S, "*" &amp; $L$1 &amp; "*",
  AllTasks!Q:Q, "&lt;&gt;"
)</f>
        <v>5</v>
      </c>
      <c r="M3" s="61">
        <f>COUNTIFS(
  AllTasks!K:K, $H3,
  AllTasks!Q:Q, "&gt;=" &amp; DATE(YEAR(M$1), MONTH(M$1), 1),
  AllTasks!Q:Q, "&lt;" &amp; EDATE(DATE(YEAR(M$1), MONTH(M$1), 1), 1)
)</f>
        <v>11</v>
      </c>
      <c r="O3" s="60" t="str">
        <v>1-Urgent</v>
      </c>
      <c r="P3" s="42">
        <f>COUNTIFS(
  AllTasks!F:F, O3,
  AllTasks!Q:Q, "&gt;=1/1/2024",
  AllTasks!Q:Q, "&lt;1/1/2025"
)</f>
        <v>27</v>
      </c>
      <c r="Q3" s="42">
        <f>COUNTIFS(
  AllTasks!F:F, O3,
  AllTasks!Q:Q, "&gt;=1/1/2025",
  AllTasks!Q:Q, "&lt;1/1/2026"
)</f>
        <v>42</v>
      </c>
      <c r="R3" s="42">
        <f t="shared" ref="R3:R7" si="2">SUM(P3+Q3)</f>
        <v>69</v>
      </c>
      <c r="S3" s="42">
        <f>COUNTIFS(
  AllTasks!F:F, $O3,
  AllTasks!S:S, "*" &amp; $S$1 &amp; "*",
  AllTasks!Q:Q, "&lt;&gt;"
)</f>
        <v>6</v>
      </c>
      <c r="T3" s="61">
        <f>COUNTIFS(
  AllTasks!F:F, $O3,
  AllTasks!Q:Q, "&gt;=" &amp; DATE(YEAR(T$1), MONTH(T$1), 1),
  AllTasks!Q:Q, "&lt;" &amp; EDATE(DATE(YEAR(T$1), MONTH(T$1), 1), 1)
)</f>
        <v>8</v>
      </c>
      <c r="V3" s="60" t="str">
        <v>EM</v>
      </c>
      <c r="W3" s="42">
        <f>COUNTIFS(
  AllTasks!J:J, V3,
  AllTasks!Q:Q, "&gt;=1/1/2024",
  AllTasks!Q:Q, "&lt;1/1/2025"
)</f>
        <v>121</v>
      </c>
      <c r="X3" s="42">
        <f>COUNTIFS(
  AllTasks!J:J, V3,
  AllTasks!Q:Q, "&gt;=1/1/2025",
  AllTasks!Q:Q, "&lt;1/1/2026"
)</f>
        <v>60</v>
      </c>
      <c r="Y3" s="42">
        <f t="shared" ref="Y3:Y5" si="3">SUM(W3+X3)</f>
        <v>181</v>
      </c>
      <c r="Z3" s="42">
        <f>COUNTIFS(
  AllTasks!J:J, $V3,
  AllTasks!S:S, "*" &amp; $Z$1 &amp; "*",
  AllTasks!Q:Q, "&lt;&gt;"
)</f>
        <v>4</v>
      </c>
      <c r="AA3" s="61">
        <f>COUNTIFS(
  AllTasks!J:J, $V3,
  AllTasks!Q:Q, "&gt;=" &amp; DATE(YEAR(AA$1), MONTH(AA$1), 1),
  AllTasks!Q:Q, "&lt;" &amp; EDATE(DATE(YEAR(AA$1), MONTH(AA$1), 1), 1)
)</f>
        <v>7</v>
      </c>
    </row>
    <row r="4" spans="1:28" x14ac:dyDescent="0.35">
      <c r="A4" s="60" t="str">
        <v>24K CIPT</v>
      </c>
      <c r="B4" s="42">
        <f>COUNTIFS(
  AllTasks!L:L, A4,
  AllTasks!Q:Q, "&gt;=1/1/2024",
  AllTasks!Q:Q, "&lt;1/1/2025"
)</f>
        <v>0</v>
      </c>
      <c r="C4" s="42">
        <f>COUNTIFS(
  AllTasks!L:L, A4,
  AllTasks!Q:Q, "&gt;=1/1/2025",
  AllTasks!Q:Q, "&lt;1/1/2026"
)</f>
        <v>14</v>
      </c>
      <c r="D4" s="42">
        <f t="shared" si="0"/>
        <v>14</v>
      </c>
      <c r="E4" s="42">
        <f>COUNTIFS(
  AllTasks!L:L, $A4,
  AllTasks!S:S, "*" &amp; $E$1 &amp; "*",
  AllTasks!Q:Q, "&lt;&gt;"
)</f>
        <v>0</v>
      </c>
      <c r="F4" s="61">
        <f>COUNTIFS(
  AllTasks!L:L, $A4,
  AllTasks!Q:Q, "&gt;=" &amp; DATE(YEAR(F$1), MONTH(F$1), 1),
  AllTasks!Q:Q, "&lt;" &amp; EDATE(DATE(YEAR(F$1), MONTH(F$1), 1), 1)
)</f>
        <v>1</v>
      </c>
      <c r="H4" s="60" t="str">
        <v>PW2000</v>
      </c>
      <c r="I4" s="42">
        <f>COUNTIFS(
  AllTasks!K:K, H4,
  AllTasks!Q:Q, "&gt;=1/1/2024",
  AllTasks!Q:Q, "&lt;1/1/2025"
)</f>
        <v>99</v>
      </c>
      <c r="J4" s="42">
        <f>COUNTIFS(
  AllTasks!K:K, H4,
  AllTasks!Q:Q, "&gt;=1/1/2025",
  AllTasks!Q:Q, "&lt;1/1/2026"
)</f>
        <v>57</v>
      </c>
      <c r="K4" s="42">
        <f t="shared" si="1"/>
        <v>156</v>
      </c>
      <c r="L4" s="42">
        <f>COUNTIFS(
  AllTasks!K:K, $H4,
  AllTasks!S:S, "*" &amp; $L$1 &amp; "*",
  AllTasks!Q:Q, "&lt;&gt;"
)</f>
        <v>6</v>
      </c>
      <c r="M4" s="61">
        <f>COUNTIFS(
  AllTasks!K:K, $H4,
  AllTasks!Q:Q, "&gt;=" &amp; DATE(YEAR(M$1), MONTH(M$1), 1),
  AllTasks!Q:Q, "&lt;" &amp; EDATE(DATE(YEAR(M$1), MONTH(M$1), 1), 1)
)</f>
        <v>9</v>
      </c>
      <c r="O4" s="60" t="str">
        <v>3-Medium</v>
      </c>
      <c r="P4" s="42">
        <f>COUNTIFS(
  AllTasks!F:F, O4,
  AllTasks!Q:Q, "&gt;=1/1/2024",
  AllTasks!Q:Q, "&lt;1/1/2025"
)</f>
        <v>86</v>
      </c>
      <c r="Q4" s="42">
        <f>COUNTIFS(
  AllTasks!F:F, O4,
  AllTasks!Q:Q, "&gt;=1/1/2025",
  AllTasks!Q:Q, "&lt;1/1/2026"
)</f>
        <v>1</v>
      </c>
      <c r="R4" s="42">
        <f t="shared" si="2"/>
        <v>87</v>
      </c>
      <c r="S4" s="42">
        <f>COUNTIFS(
  AllTasks!F:F, $O4,
  AllTasks!S:S, "*" &amp; $S$1 &amp; "*",
  AllTasks!Q:Q, "&lt;&gt;"
)</f>
        <v>0</v>
      </c>
      <c r="T4" s="61">
        <f>COUNTIFS(
  AllTasks!F:F, $O4,
  AllTasks!Q:Q, "&gt;=" &amp; DATE(YEAR(T$1), MONTH(T$1), 1),
  AllTasks!Q:Q, "&lt;" &amp; EDATE(DATE(YEAR(T$1), MONTH(T$1), 1), 1)
)</f>
        <v>0</v>
      </c>
      <c r="V4" s="60" t="str">
        <v>MR</v>
      </c>
      <c r="W4" s="42">
        <f>COUNTIFS(
  AllTasks!J:J, V4,
  AllTasks!Q:Q, "&gt;=1/1/2024",
  AllTasks!Q:Q, "&lt;1/1/2025"
)</f>
        <v>7</v>
      </c>
      <c r="X4" s="42">
        <f>COUNTIFS(
  AllTasks!J:J, V4,
  AllTasks!Q:Q, "&gt;=1/1/2025",
  AllTasks!Q:Q, "&lt;1/1/2026"
)</f>
        <v>11</v>
      </c>
      <c r="Y4" s="42">
        <f t="shared" si="3"/>
        <v>18</v>
      </c>
      <c r="Z4" s="42">
        <f>COUNTIFS(
  AllTasks!J:J, $V4,
  AllTasks!S:S, "*" &amp; $Z$1 &amp; "*",
  AllTasks!Q:Q, "&lt;&gt;"
)</f>
        <v>0</v>
      </c>
      <c r="AA4" s="61">
        <f>COUNTIFS(
  AllTasks!J:J, $V4,
  AllTasks!Q:Q, "&gt;=" &amp; DATE(YEAR(AA$1), MONTH(AA$1), 1),
  AllTasks!Q:Q, "&lt;" &amp; EDATE(DATE(YEAR(AA$1), MONTH(AA$1), 1), 1)
)</f>
        <v>0</v>
      </c>
    </row>
    <row r="5" spans="1:28" ht="15" thickBot="1" x14ac:dyDescent="0.4">
      <c r="A5" s="60" t="str">
        <v>30K</v>
      </c>
      <c r="B5" s="42">
        <f>COUNTIFS(
  AllTasks!L:L, A5,
  AllTasks!Q:Q, "&gt;=1/1/2024",
  AllTasks!Q:Q, "&lt;1/1/2025"
)</f>
        <v>59</v>
      </c>
      <c r="C5" s="42">
        <f>COUNTIFS(
  AllTasks!L:L, A5,
  AllTasks!Q:Q, "&gt;=1/1/2025",
  AllTasks!Q:Q, "&lt;1/1/2026"
)</f>
        <v>22</v>
      </c>
      <c r="D5" s="42">
        <f t="shared" si="0"/>
        <v>81</v>
      </c>
      <c r="E5" s="42">
        <f>COUNTIFS(
  AllTasks!L:L, $A5,
  AllTasks!S:S, "*" &amp; $E$1 &amp; "*",
  AllTasks!Q:Q, "&lt;&gt;"
)</f>
        <v>2</v>
      </c>
      <c r="F5" s="61">
        <f>COUNTIFS(
  AllTasks!L:L, $A5,
  AllTasks!Q:Q, "&gt;=" &amp; DATE(YEAR(F$1), MONTH(F$1), 1),
  AllTasks!Q:Q, "&lt;" &amp; EDATE(DATE(YEAR(F$1), MONTH(F$1), 1), 1)
)</f>
        <v>4</v>
      </c>
      <c r="H5" s="60" t="str">
        <v>V2500</v>
      </c>
      <c r="I5" s="42">
        <f>COUNTIFS(
  AllTasks!K:K, H5,
  AllTasks!Q:Q, "&gt;=1/1/2024",
  AllTasks!Q:Q, "&lt;1/1/2025"
)</f>
        <v>60</v>
      </c>
      <c r="J5" s="42">
        <f>COUNTIFS(
  AllTasks!K:K, H5,
  AllTasks!Q:Q, "&gt;=1/1/2025",
  AllTasks!Q:Q, "&lt;1/1/2026"
)</f>
        <v>31</v>
      </c>
      <c r="K5" s="42">
        <f t="shared" si="1"/>
        <v>91</v>
      </c>
      <c r="L5" s="42">
        <f>COUNTIFS(
  AllTasks!K:K, $H5,
  AllTasks!S:S, "*" &amp; $L$1 &amp; "*",
  AllTasks!Q:Q, "&lt;&gt;"
)</f>
        <v>2</v>
      </c>
      <c r="M5" s="61">
        <f>COUNTIFS(
  AllTasks!K:K, $H5,
  AllTasks!Q:Q, "&gt;=" &amp; DATE(YEAR(M$1), MONTH(M$1), 1),
  AllTasks!Q:Q, "&lt;" &amp; EDATE(DATE(YEAR(M$1), MONTH(M$1), 1), 1)
)</f>
        <v>4</v>
      </c>
      <c r="O5" s="60" t="str">
        <v>4-Low</v>
      </c>
      <c r="P5" s="42">
        <f>COUNTIFS(
  AllTasks!F:F, O5,
  AllTasks!Q:Q, "&gt;=1/1/2024",
  AllTasks!Q:Q, "&lt;1/1/2025"
)</f>
        <v>40</v>
      </c>
      <c r="Q5" s="42">
        <f>COUNTIFS(
  AllTasks!F:F, O5,
  AllTasks!Q:Q, "&gt;=1/1/2025",
  AllTasks!Q:Q, "&lt;1/1/2026"
)</f>
        <v>0</v>
      </c>
      <c r="R5" s="42">
        <f t="shared" si="2"/>
        <v>40</v>
      </c>
      <c r="S5" s="42">
        <f>COUNTIFS(
  AllTasks!F:F, $O5,
  AllTasks!S:S, "*" &amp; $S$1 &amp; "*",
  AllTasks!Q:Q, "&lt;&gt;"
)</f>
        <v>0</v>
      </c>
      <c r="T5" s="61">
        <f>COUNTIFS(
  AllTasks!F:F, $O5,
  AllTasks!Q:Q, "&gt;=" &amp; DATE(YEAR(T$1), MONTH(T$1), 1),
  AllTasks!Q:Q, "&lt;" &amp; EDATE(DATE(YEAR(T$1), MONTH(T$1), 1), 1)
)</f>
        <v>0</v>
      </c>
      <c r="V5" s="62" t="str">
        <v>Discretionary</v>
      </c>
      <c r="W5" s="63">
        <f>COUNTIFS(
  AllTasks!J:J, V5,
  AllTasks!Q:Q, "&gt;=1/1/2024",
  AllTasks!Q:Q, "&lt;1/1/2025"
)</f>
        <v>25</v>
      </c>
      <c r="X5" s="63">
        <f>COUNTIFS(
  AllTasks!J:J, V5,
  AllTasks!Q:Q, "&gt;=1/1/2025",
  AllTasks!Q:Q, "&lt;1/1/2026"
)</f>
        <v>11</v>
      </c>
      <c r="Y5" s="63">
        <f t="shared" si="3"/>
        <v>36</v>
      </c>
      <c r="Z5" s="63">
        <f>COUNTIFS(
  AllTasks!J:J, $V5,
  AllTasks!S:S, "*" &amp; $Z$1 &amp; "*",
  AllTasks!Q:Q, "&lt;&gt;"
)</f>
        <v>0</v>
      </c>
      <c r="AA5" s="64">
        <f>COUNTIFS(
  AllTasks!J:J, $V5,
  AllTasks!Q:Q, "&gt;=" &amp; DATE(YEAR(AA$1), MONTH(AA$1), 1),
  AllTasks!Q:Q, "&lt;" &amp; EDATE(DATE(YEAR(AA$1), MONTH(AA$1), 1), 1)
)</f>
        <v>1</v>
      </c>
    </row>
    <row r="6" spans="1:28" x14ac:dyDescent="0.35">
      <c r="A6" s="60" t="str">
        <v>30K CIPT</v>
      </c>
      <c r="B6" s="42">
        <f>COUNTIFS(
  AllTasks!L:L, A6,
  AllTasks!Q:Q, "&gt;=1/1/2024",
  AllTasks!Q:Q, "&lt;1/1/2025"
)</f>
        <v>19</v>
      </c>
      <c r="C6" s="42">
        <f>COUNTIFS(
  AllTasks!L:L, A6,
  AllTasks!Q:Q, "&gt;=1/1/2025",
  AllTasks!Q:Q, "&lt;1/1/2026"
)</f>
        <v>8</v>
      </c>
      <c r="D6" s="42">
        <f t="shared" si="0"/>
        <v>27</v>
      </c>
      <c r="E6" s="42">
        <f>COUNTIFS(
  AllTasks!L:L, $A6,
  AllTasks!S:S, "*" &amp; $E$1 &amp; "*",
  AllTasks!Q:Q, "&lt;&gt;"
)</f>
        <v>0</v>
      </c>
      <c r="F6" s="61">
        <f>COUNTIFS(
  AllTasks!L:L, $A6,
  AllTasks!Q:Q, "&gt;=" &amp; DATE(YEAR(F$1), MONTH(F$1), 1),
  AllTasks!Q:Q, "&lt;" &amp; EDATE(DATE(YEAR(F$1), MONTH(F$1), 1), 1)
)</f>
        <v>1</v>
      </c>
      <c r="H6" s="60" t="str">
        <v>GP7000</v>
      </c>
      <c r="I6" s="42">
        <f>COUNTIFS(
  AllTasks!K:K, H6,
  AllTasks!Q:Q, "&gt;=1/1/2024",
  AllTasks!Q:Q, "&lt;1/1/2025"
)</f>
        <v>18</v>
      </c>
      <c r="J6" s="42">
        <f>COUNTIFS(
  AllTasks!K:K, H6,
  AllTasks!Q:Q, "&gt;=1/1/2025",
  AllTasks!Q:Q, "&lt;1/1/2026"
)</f>
        <v>17</v>
      </c>
      <c r="K6" s="42">
        <f t="shared" si="1"/>
        <v>35</v>
      </c>
      <c r="L6" s="42">
        <f>COUNTIFS(
  AllTasks!K:K, $H6,
  AllTasks!S:S, "*" &amp; $L$1 &amp; "*",
  AllTasks!Q:Q, "&lt;&gt;"
)</f>
        <v>2</v>
      </c>
      <c r="M6" s="61">
        <f>COUNTIFS(
  AllTasks!K:K, $H6,
  AllTasks!Q:Q, "&gt;=" &amp; DATE(YEAR(M$1), MONTH(M$1), 1),
  AllTasks!Q:Q, "&lt;" &amp; EDATE(DATE(YEAR(M$1), MONTH(M$1), 1), 1)
)</f>
        <v>5</v>
      </c>
      <c r="O6" s="60" t="str">
        <v>Hold</v>
      </c>
      <c r="P6" s="42">
        <f>COUNTIFS(
  AllTasks!F:F, O6,
  AllTasks!Q:Q, "&gt;=1/1/2024",
  AllTasks!Q:Q, "&lt;1/1/2025"
)</f>
        <v>1</v>
      </c>
      <c r="Q6" s="42">
        <f>COUNTIFS(
  AllTasks!F:F, O6,
  AllTasks!Q:Q, "&gt;=1/1/2025",
  AllTasks!Q:Q, "&lt;1/1/2026"
)</f>
        <v>0</v>
      </c>
      <c r="R6" s="42">
        <f t="shared" si="2"/>
        <v>1</v>
      </c>
      <c r="S6" s="42">
        <f>COUNTIFS(
  AllTasks!F:F, $O6,
  AllTasks!S:S, "*" &amp; $S$1 &amp; "*",
  AllTasks!Q:Q, "&lt;&gt;"
)</f>
        <v>0</v>
      </c>
      <c r="T6" s="61">
        <f>COUNTIFS(
  AllTasks!F:F, $O6,
  AllTasks!Q:Q, "&gt;=" &amp; DATE(YEAR(T$1), MONTH(T$1), 1),
  AllTasks!Q:Q, "&lt;" &amp; EDATE(DATE(YEAR(T$1), MONTH(T$1), 1), 1)
)</f>
        <v>0</v>
      </c>
      <c r="V6" s="42" t="str">
        <v/>
      </c>
      <c r="W6" s="42"/>
      <c r="X6" s="42"/>
      <c r="Y6" s="42"/>
      <c r="Z6" s="42"/>
    </row>
    <row r="7" spans="1:28" ht="15" thickBot="1" x14ac:dyDescent="0.4">
      <c r="A7" s="60" t="str">
        <v>AMO</v>
      </c>
      <c r="B7" s="42">
        <f>COUNTIFS(
  AllTasks!L:L, A7,
  AllTasks!Q:Q, "&gt;=1/1/2024",
  AllTasks!Q:Q, "&lt;1/1/2025"
)</f>
        <v>230</v>
      </c>
      <c r="C7" s="42">
        <f>COUNTIFS(
  AllTasks!L:L, A7,
  AllTasks!Q:Q, "&gt;=1/1/2025",
  AllTasks!Q:Q, "&lt;1/1/2026"
)</f>
        <v>157</v>
      </c>
      <c r="D7" s="42">
        <f t="shared" si="0"/>
        <v>387</v>
      </c>
      <c r="E7" s="42">
        <f>COUNTIFS(
  AllTasks!L:L, $A7,
  AllTasks!S:S, "*" &amp; $E$1 &amp; "*",
  AllTasks!Q:Q, "&lt;&gt;"
)</f>
        <v>7</v>
      </c>
      <c r="F7" s="61">
        <f>COUNTIFS(
  AllTasks!L:L, $A7,
  AllTasks!Q:Q, "&gt;=" &amp; DATE(YEAR(F$1), MONTH(F$1), 1),
  AllTasks!Q:Q, "&lt;" &amp; EDATE(DATE(YEAR(F$1), MONTH(F$1), 1), 1)
)</f>
        <v>16</v>
      </c>
      <c r="H7" s="62" t="str">
        <v>PW800</v>
      </c>
      <c r="I7" s="63">
        <f>COUNTIFS(
  AllTasks!K:K, H7,
  AllTasks!Q:Q, "&gt;=1/1/2024",
  AllTasks!Q:Q, "&lt;1/1/2025"
)</f>
        <v>8</v>
      </c>
      <c r="J7" s="63">
        <f>COUNTIFS(
  AllTasks!K:K, H7,
  AllTasks!Q:Q, "&gt;=1/1/2025",
  AllTasks!Q:Q, "&lt;1/1/2026"
)</f>
        <v>0</v>
      </c>
      <c r="K7" s="63">
        <f t="shared" si="1"/>
        <v>8</v>
      </c>
      <c r="L7" s="63">
        <f>COUNTIFS(
  AllTasks!K:K, $H7,
  AllTasks!S:S, "*" &amp; $L$1 &amp; "*",
  AllTasks!Q:Q, "&lt;&gt;"
)</f>
        <v>0</v>
      </c>
      <c r="M7" s="64">
        <f>COUNTIFS(
  AllTasks!K:K, $H7,
  AllTasks!Q:Q, "&gt;=" &amp; DATE(YEAR(M$1), MONTH(M$1), 1),
  AllTasks!Q:Q, "&lt;" &amp; EDATE(DATE(YEAR(M$1), MONTH(M$1), 1), 1)
)</f>
        <v>0</v>
      </c>
      <c r="O7" s="62" t="str">
        <v>Backlog</v>
      </c>
      <c r="P7" s="63">
        <f>COUNTIFS(
  AllTasks!F:F, O7,
  AllTasks!Q:Q, "&gt;=1/1/2024",
  AllTasks!Q:Q, "&lt;1/1/2025"
)</f>
        <v>105</v>
      </c>
      <c r="Q7" s="63">
        <f>COUNTIFS(
  AllTasks!F:F, O7,
  AllTasks!Q:Q, "&gt;=1/1/2025",
  AllTasks!Q:Q, "&lt;1/1/2026"
)</f>
        <v>12</v>
      </c>
      <c r="R7" s="63">
        <f t="shared" si="2"/>
        <v>117</v>
      </c>
      <c r="S7" s="63">
        <f>COUNTIFS(
  AllTasks!F:F, $O7,
  AllTasks!S:S, "*" &amp; $S$1 &amp; "*",
  AllTasks!Q:Q, "&lt;&gt;"
)</f>
        <v>0</v>
      </c>
      <c r="T7" s="64">
        <f>COUNTIFS(
  AllTasks!F:F, $O7,
  AllTasks!Q:Q, "&gt;=" &amp; DATE(YEAR(T$1), MONTH(T$1), 1),
  AllTasks!Q:Q, "&lt;" &amp; EDATE(DATE(YEAR(T$1), MONTH(T$1), 1), 1)
)</f>
        <v>0</v>
      </c>
      <c r="V7" s="42"/>
      <c r="W7" s="42"/>
      <c r="X7" s="42"/>
      <c r="Y7" s="42"/>
      <c r="Z7" s="42"/>
    </row>
    <row r="8" spans="1:28" x14ac:dyDescent="0.35">
      <c r="A8" s="60" t="str">
        <v>F117</v>
      </c>
      <c r="B8" s="42">
        <f>COUNTIFS(
  AllTasks!L:L, A8,
  AllTasks!Q:Q, "&gt;=1/1/2024",
  AllTasks!Q:Q, "&lt;1/1/2025"
)</f>
        <v>20</v>
      </c>
      <c r="C8" s="42">
        <f>COUNTIFS(
  AllTasks!L:L, A8,
  AllTasks!Q:Q, "&gt;=1/1/2025",
  AllTasks!Q:Q, "&lt;1/1/2026"
)</f>
        <v>24</v>
      </c>
      <c r="D8" s="42">
        <f t="shared" si="0"/>
        <v>44</v>
      </c>
      <c r="E8" s="42">
        <f>COUNTIFS(
  AllTasks!L:L, $A8,
  AllTasks!S:S, "*" &amp; $E$1 &amp; "*",
  AllTasks!Q:Q, "&lt;&gt;"
)</f>
        <v>6</v>
      </c>
      <c r="F8" s="61">
        <f>COUNTIFS(
  AllTasks!L:L, $A8,
  AllTasks!Q:Q, "&gt;=" &amp; DATE(YEAR(F$1), MONTH(F$1), 1),
  AllTasks!Q:Q, "&lt;" &amp; EDATE(DATE(YEAR(F$1), MONTH(F$1), 1), 1)
)</f>
        <v>6</v>
      </c>
      <c r="H8" t="str">
        <v/>
      </c>
      <c r="O8" t="str">
        <v/>
      </c>
    </row>
    <row r="9" spans="1:28" x14ac:dyDescent="0.35">
      <c r="A9" s="60" t="str">
        <v>GP7000</v>
      </c>
      <c r="B9" s="42">
        <f>COUNTIFS(
  AllTasks!L:L, A9,
  AllTasks!Q:Q, "&gt;=1/1/2024",
  AllTasks!Q:Q, "&lt;1/1/2025"
)</f>
        <v>18</v>
      </c>
      <c r="C9" s="42">
        <f>COUNTIFS(
  AllTasks!L:L, A9,
  AllTasks!Q:Q, "&gt;=1/1/2025",
  AllTasks!Q:Q, "&lt;1/1/2026"
)</f>
        <v>16</v>
      </c>
      <c r="D9" s="42">
        <f t="shared" si="0"/>
        <v>34</v>
      </c>
      <c r="E9" s="42">
        <f>COUNTIFS(
  AllTasks!L:L, $A9,
  AllTasks!S:S, "*" &amp; $E$1 &amp; "*",
  AllTasks!Q:Q, "&lt;&gt;"
)</f>
        <v>2</v>
      </c>
      <c r="F9" s="61">
        <f>COUNTIFS(
  AllTasks!L:L, $A9,
  AllTasks!Q:Q, "&gt;=" &amp; DATE(YEAR(F$1), MONTH(F$1), 1),
  AllTasks!Q:Q, "&lt;" &amp; EDATE(DATE(YEAR(F$1), MONTH(F$1), 1), 1)
)</f>
        <v>4</v>
      </c>
    </row>
    <row r="10" spans="1:28" x14ac:dyDescent="0.35">
      <c r="A10" s="60" t="str">
        <v>OCE</v>
      </c>
      <c r="B10" s="42">
        <f>COUNTIFS(
  AllTasks!L:L, A10,
  AllTasks!Q:Q, "&gt;=1/1/2024",
  AllTasks!Q:Q, "&lt;1/1/2025"
)</f>
        <v>42</v>
      </c>
      <c r="C10" s="42">
        <f>COUNTIFS(
  AllTasks!L:L, A10,
  AllTasks!Q:Q, "&gt;=1/1/2025",
  AllTasks!Q:Q, "&lt;1/1/2026"
)</f>
        <v>8</v>
      </c>
      <c r="D10" s="42">
        <f t="shared" si="0"/>
        <v>50</v>
      </c>
      <c r="E10" s="42">
        <f>COUNTIFS(
  AllTasks!L:L, $A10,
  AllTasks!S:S, "*" &amp; $E$1 &amp; "*",
  AllTasks!Q:Q, "&lt;&gt;"
)</f>
        <v>1</v>
      </c>
      <c r="F10" s="61">
        <f>COUNTIFS(
  AllTasks!L:L, $A10,
  AllTasks!Q:Q, "&gt;=" &amp; DATE(YEAR(F$1), MONTH(F$1), 1),
  AllTasks!Q:Q, "&lt;" &amp; EDATE(DATE(YEAR(F$1), MONTH(F$1), 1), 1)
)</f>
        <v>2</v>
      </c>
    </row>
    <row r="11" spans="1:28" x14ac:dyDescent="0.35">
      <c r="A11" s="60" t="str">
        <v>PIP</v>
      </c>
      <c r="B11" s="42">
        <f>COUNTIFS(
  AllTasks!L:L, A11,
  AllTasks!Q:Q, "&gt;=1/1/2024",
  AllTasks!Q:Q, "&lt;1/1/2025"
)</f>
        <v>10</v>
      </c>
      <c r="C11" s="42">
        <f>COUNTIFS(
  AllTasks!L:L, A11,
  AllTasks!Q:Q, "&gt;=1/1/2025",
  AllTasks!Q:Q, "&lt;1/1/2026"
)</f>
        <v>14</v>
      </c>
      <c r="D11" s="42">
        <f t="shared" si="0"/>
        <v>24</v>
      </c>
      <c r="E11" s="42">
        <f>COUNTIFS(
  AllTasks!L:L, $A11,
  AllTasks!S:S, "*" &amp; $E$1 &amp; "*",
  AllTasks!Q:Q, "&lt;&gt;"
)</f>
        <v>1</v>
      </c>
      <c r="F11" s="61">
        <f>COUNTIFS(
  AllTasks!L:L, $A11,
  AllTasks!Q:Q, "&gt;=" &amp; DATE(YEAR(F$1), MONTH(F$1), 1),
  AllTasks!Q:Q, "&lt;" &amp; EDATE(DATE(YEAR(F$1), MONTH(F$1), 1), 1)
)</f>
        <v>2</v>
      </c>
    </row>
    <row r="12" spans="1:28" x14ac:dyDescent="0.35">
      <c r="A12" s="60" t="str">
        <v>V2500</v>
      </c>
      <c r="B12" s="42">
        <f>COUNTIFS(
  AllTasks!L:L, A12,
  AllTasks!Q:Q, "&gt;=1/1/2024",
  AllTasks!Q:Q, "&lt;1/1/2025"
)</f>
        <v>47</v>
      </c>
      <c r="C12" s="42">
        <f>COUNTIFS(
  AllTasks!L:L, A12,
  AllTasks!Q:Q, "&gt;=1/1/2025",
  AllTasks!Q:Q, "&lt;1/1/2026"
)</f>
        <v>24</v>
      </c>
      <c r="D12" s="42">
        <f t="shared" si="0"/>
        <v>71</v>
      </c>
      <c r="E12" s="42">
        <f>COUNTIFS(
  AllTasks!L:L, $A12,
  AllTasks!S:S, "*" &amp; $E$1 &amp; "*",
  AllTasks!Q:Q, "&lt;&gt;"
)</f>
        <v>1</v>
      </c>
      <c r="F12" s="61">
        <f>COUNTIFS(
  AllTasks!L:L, $A12,
  AllTasks!Q:Q, "&gt;=" &amp; DATE(YEAR(F$1), MONTH(F$1), 1),
  AllTasks!Q:Q, "&lt;" &amp; EDATE(DATE(YEAR(F$1), MONTH(F$1), 1), 1)
)</f>
        <v>3</v>
      </c>
    </row>
    <row r="13" spans="1:28" ht="15" thickBot="1" x14ac:dyDescent="0.4">
      <c r="A13" s="62" t="str">
        <v/>
      </c>
      <c r="B13" s="63">
        <f>COUNTIFS(
  AllTasks!L:L, A13,
  AllTasks!Q:Q, "&gt;=1/1/2024",
  AllTasks!Q:Q, "&lt;1/1/2025"
)</f>
        <v>28</v>
      </c>
      <c r="C13" s="63">
        <f>COUNTIFS(
  AllTasks!L:L, A13,
  AllTasks!Q:Q, "&gt;=1/1/2025",
  AllTasks!Q:Q, "&lt;1/1/2026"
)</f>
        <v>4</v>
      </c>
      <c r="D13" s="63">
        <f t="shared" si="0"/>
        <v>32</v>
      </c>
      <c r="E13" s="63">
        <f>COUNTIFS(
  AllTasks!L:L, $A13,
  AllTasks!S:S, "*" &amp; $E$1 &amp; "*",
  AllTasks!Q:Q, "&lt;&gt;"
)</f>
        <v>0</v>
      </c>
      <c r="F13" s="64">
        <f>COUNTIFS(
  AllTasks!L:L, $A13,
  AllTasks!Q:Q, "&gt;=" &amp; DATE(YEAR(F$1), MONTH(F$1), 1),
  AllTasks!Q:Q, "&lt;" &amp; EDATE(DATE(YEAR(F$1), MONTH(F$1), 1), 1)
)</f>
        <v>0</v>
      </c>
    </row>
    <row r="18" spans="1:3" x14ac:dyDescent="0.35">
      <c r="B18" s="42"/>
      <c r="C18" s="42"/>
    </row>
    <row r="19" spans="1:3" x14ac:dyDescent="0.35">
      <c r="A19" s="66" t="s">
        <v>2056</v>
      </c>
      <c r="B19" s="102"/>
      <c r="C19" s="102"/>
    </row>
    <row r="20" spans="1:3" x14ac:dyDescent="0.35">
      <c r="A20" s="67" t="s">
        <v>2055</v>
      </c>
      <c r="B20" s="102"/>
      <c r="C20" s="102"/>
    </row>
    <row r="21" spans="1:3" x14ac:dyDescent="0.35">
      <c r="A21" s="67" t="s">
        <v>2057</v>
      </c>
      <c r="B21" s="102"/>
      <c r="C21" s="102"/>
    </row>
    <row r="22" spans="1:3" x14ac:dyDescent="0.35">
      <c r="A22" s="67" t="s">
        <v>2058</v>
      </c>
      <c r="B22" s="102"/>
      <c r="C22" s="102"/>
    </row>
    <row r="23" spans="1:3" x14ac:dyDescent="0.35">
      <c r="A23" s="67" t="s">
        <v>2059</v>
      </c>
      <c r="B23" s="102"/>
      <c r="C23" s="102"/>
    </row>
    <row r="24" spans="1:3" x14ac:dyDescent="0.35">
      <c r="A24" s="67" t="s">
        <v>702</v>
      </c>
      <c r="B24" s="102"/>
      <c r="C24" s="102"/>
    </row>
    <row r="25" spans="1:3" x14ac:dyDescent="0.35">
      <c r="A25" s="67" t="s">
        <v>34</v>
      </c>
      <c r="B25" s="102"/>
      <c r="C25" s="102"/>
    </row>
    <row r="26" spans="1:3" x14ac:dyDescent="0.35">
      <c r="A26" s="67" t="s">
        <v>2060</v>
      </c>
      <c r="B26" s="102"/>
      <c r="C26" s="102"/>
    </row>
    <row r="27" spans="1:3" x14ac:dyDescent="0.35">
      <c r="A27" s="67" t="s">
        <v>2061</v>
      </c>
      <c r="B27" s="102"/>
      <c r="C27" s="102"/>
    </row>
    <row r="28" spans="1:3" x14ac:dyDescent="0.35">
      <c r="A28" s="67" t="s">
        <v>2062</v>
      </c>
      <c r="B28" s="102"/>
      <c r="C28" s="102"/>
    </row>
    <row r="29" spans="1:3" x14ac:dyDescent="0.35">
      <c r="A29" s="67" t="s">
        <v>2063</v>
      </c>
      <c r="B29" s="102"/>
      <c r="C29" s="102"/>
    </row>
    <row r="30" spans="1:3" x14ac:dyDescent="0.35">
      <c r="A30" s="68" t="s">
        <v>2064</v>
      </c>
      <c r="B30" s="102"/>
      <c r="C30" s="102"/>
    </row>
    <row r="31" spans="1:3" x14ac:dyDescent="0.35">
      <c r="A31" s="101">
        <v>45292</v>
      </c>
      <c r="B31" s="42"/>
      <c r="C31" s="42"/>
    </row>
    <row r="32" spans="1:3" x14ac:dyDescent="0.35">
      <c r="A32" s="103">
        <v>45323</v>
      </c>
      <c r="B32" s="42"/>
      <c r="C32" s="42"/>
    </row>
    <row r="33" spans="1:3" x14ac:dyDescent="0.35">
      <c r="A33" s="103">
        <v>45352</v>
      </c>
      <c r="B33" s="42"/>
      <c r="C33" s="42"/>
    </row>
    <row r="34" spans="1:3" x14ac:dyDescent="0.35">
      <c r="A34" s="103">
        <v>45383</v>
      </c>
    </row>
    <row r="35" spans="1:3" x14ac:dyDescent="0.35">
      <c r="A35" s="103">
        <v>45413</v>
      </c>
    </row>
    <row r="36" spans="1:3" x14ac:dyDescent="0.35">
      <c r="A36" s="103">
        <v>45444</v>
      </c>
    </row>
    <row r="37" spans="1:3" x14ac:dyDescent="0.35">
      <c r="A37" s="103">
        <v>45474</v>
      </c>
    </row>
    <row r="38" spans="1:3" x14ac:dyDescent="0.35">
      <c r="A38" s="103">
        <v>45505</v>
      </c>
    </row>
    <row r="39" spans="1:3" x14ac:dyDescent="0.35">
      <c r="A39" s="103">
        <v>45536</v>
      </c>
    </row>
    <row r="40" spans="1:3" x14ac:dyDescent="0.35">
      <c r="A40" s="103">
        <v>45566</v>
      </c>
    </row>
    <row r="41" spans="1:3" x14ac:dyDescent="0.35">
      <c r="A41" s="103">
        <v>45597</v>
      </c>
    </row>
    <row r="42" spans="1:3" x14ac:dyDescent="0.35">
      <c r="A42" s="104">
        <v>45627</v>
      </c>
    </row>
    <row r="43" spans="1:3" x14ac:dyDescent="0.35">
      <c r="A43" s="101">
        <v>45658</v>
      </c>
    </row>
    <row r="44" spans="1:3" x14ac:dyDescent="0.35">
      <c r="A44" s="103">
        <v>45689</v>
      </c>
    </row>
    <row r="45" spans="1:3" x14ac:dyDescent="0.35">
      <c r="A45" s="103">
        <v>45717</v>
      </c>
    </row>
    <row r="46" spans="1:3" x14ac:dyDescent="0.35">
      <c r="A46" s="103">
        <v>45748</v>
      </c>
    </row>
    <row r="47" spans="1:3" x14ac:dyDescent="0.35">
      <c r="A47" s="103">
        <v>45778</v>
      </c>
    </row>
    <row r="48" spans="1:3" x14ac:dyDescent="0.35">
      <c r="A48" s="103">
        <v>45809</v>
      </c>
    </row>
    <row r="49" spans="1:1" x14ac:dyDescent="0.35">
      <c r="A49" s="103">
        <v>45839</v>
      </c>
    </row>
    <row r="50" spans="1:1" x14ac:dyDescent="0.35">
      <c r="A50" s="103">
        <v>45870</v>
      </c>
    </row>
    <row r="51" spans="1:1" x14ac:dyDescent="0.35">
      <c r="A51" s="103">
        <v>45901</v>
      </c>
    </row>
    <row r="52" spans="1:1" x14ac:dyDescent="0.35">
      <c r="A52" s="103">
        <v>45931</v>
      </c>
    </row>
    <row r="53" spans="1:1" x14ac:dyDescent="0.35">
      <c r="A53" s="103">
        <v>45962</v>
      </c>
    </row>
    <row r="54" spans="1:1" x14ac:dyDescent="0.35">
      <c r="A54" s="104">
        <v>45992</v>
      </c>
    </row>
  </sheetData>
  <dataValidations count="2">
    <dataValidation type="list" allowBlank="1" showInputMessage="1" showErrorMessage="1" sqref="E1 L1 S1 Z1" xr:uid="{63755489-7A99-4925-88A8-6739AD3704CB}">
      <formula1>$A$19:$A$30</formula1>
    </dataValidation>
    <dataValidation type="list" allowBlank="1" showInputMessage="1" showErrorMessage="1" sqref="F1 M1 T1 AA1" xr:uid="{6604B7BA-BE49-4E3A-8AA0-251197BD7C86}">
      <formula1>$A$31:$A$54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5A32-2021-430C-9B74-541A2504B2F0}">
  <sheetPr>
    <tabColor rgb="FFFFC000"/>
  </sheetPr>
  <dimension ref="A1:AF353"/>
  <sheetViews>
    <sheetView topLeftCell="A27" zoomScale="90" zoomScaleNormal="90" workbookViewId="0">
      <selection activeCell="M53" sqref="M53"/>
    </sheetView>
  </sheetViews>
  <sheetFormatPr defaultRowHeight="14.5" x14ac:dyDescent="0.35"/>
  <cols>
    <col min="1" max="1" width="24.81640625" bestFit="1" customWidth="1"/>
    <col min="2" max="10" width="9.90625" bestFit="1" customWidth="1"/>
    <col min="11" max="13" width="11" bestFit="1" customWidth="1"/>
    <col min="14" max="14" width="19.26953125" bestFit="1" customWidth="1"/>
    <col min="15" max="16" width="9.1796875" style="50"/>
    <col min="18" max="18" width="16.453125" bestFit="1" customWidth="1"/>
  </cols>
  <sheetData>
    <row r="1" spans="1:32" x14ac:dyDescent="0.35">
      <c r="A1" s="13" t="s">
        <v>2011</v>
      </c>
      <c r="B1" s="14">
        <v>45658</v>
      </c>
      <c r="C1" s="14">
        <v>45689</v>
      </c>
      <c r="D1" s="14">
        <v>45717</v>
      </c>
      <c r="E1" s="14">
        <v>45748</v>
      </c>
      <c r="F1" s="14">
        <v>45778</v>
      </c>
      <c r="G1" s="14">
        <v>45809</v>
      </c>
      <c r="H1" s="14">
        <v>45839</v>
      </c>
      <c r="I1" s="14">
        <v>45870</v>
      </c>
      <c r="J1" s="14">
        <v>45901</v>
      </c>
      <c r="K1" s="14">
        <v>45931</v>
      </c>
      <c r="L1" s="14">
        <v>45962</v>
      </c>
      <c r="M1" s="14">
        <v>45992</v>
      </c>
      <c r="N1" s="88"/>
    </row>
    <row r="2" spans="1:32" x14ac:dyDescent="0.35">
      <c r="A2" s="13" t="s">
        <v>2012</v>
      </c>
      <c r="B2" s="14">
        <f>EOMONTH(B1, 0)</f>
        <v>45688</v>
      </c>
      <c r="C2" s="14">
        <f t="shared" ref="C2:M2" si="0">EOMONTH(C1, 0)</f>
        <v>45716</v>
      </c>
      <c r="D2" s="14">
        <f t="shared" si="0"/>
        <v>45747</v>
      </c>
      <c r="E2" s="14">
        <f t="shared" si="0"/>
        <v>45777</v>
      </c>
      <c r="F2" s="14">
        <f t="shared" si="0"/>
        <v>45808</v>
      </c>
      <c r="G2" s="14">
        <f t="shared" si="0"/>
        <v>45838</v>
      </c>
      <c r="H2" s="14">
        <f t="shared" si="0"/>
        <v>45869</v>
      </c>
      <c r="I2" s="14">
        <f t="shared" si="0"/>
        <v>45900</v>
      </c>
      <c r="J2" s="14">
        <f t="shared" si="0"/>
        <v>45930</v>
      </c>
      <c r="K2" s="14">
        <f t="shared" si="0"/>
        <v>45961</v>
      </c>
      <c r="L2" s="14">
        <f t="shared" si="0"/>
        <v>45991</v>
      </c>
      <c r="M2" s="14">
        <f t="shared" si="0"/>
        <v>46022</v>
      </c>
    </row>
    <row r="3" spans="1:32" x14ac:dyDescent="0.35">
      <c r="B3" s="23"/>
      <c r="C3" s="23"/>
      <c r="D3" s="23"/>
      <c r="E3" s="23"/>
      <c r="F3" s="23"/>
      <c r="G3" s="23"/>
      <c r="H3" s="23"/>
      <c r="I3" s="23"/>
      <c r="J3" s="24"/>
      <c r="K3" s="23"/>
      <c r="L3" s="23"/>
      <c r="M3" s="23"/>
      <c r="N3" s="23"/>
      <c r="O3" s="45"/>
      <c r="P3" s="45"/>
    </row>
    <row r="4" spans="1:32" x14ac:dyDescent="0.35">
      <c r="B4" s="224" t="s">
        <v>2024</v>
      </c>
      <c r="C4" s="224"/>
      <c r="D4" s="224"/>
      <c r="E4" s="224"/>
      <c r="F4" s="224"/>
      <c r="G4" s="224"/>
      <c r="H4" s="224"/>
      <c r="I4" s="224"/>
      <c r="J4" s="224"/>
      <c r="K4" s="224"/>
      <c r="L4" s="224"/>
      <c r="M4" s="224"/>
      <c r="N4" s="224"/>
      <c r="O4" s="45"/>
      <c r="P4" s="45"/>
    </row>
    <row r="5" spans="1:32" x14ac:dyDescent="0.35">
      <c r="A5" s="25" t="s">
        <v>2025</v>
      </c>
      <c r="B5" s="26" t="s">
        <v>595</v>
      </c>
      <c r="C5" s="26" t="s">
        <v>1114</v>
      </c>
      <c r="D5" s="26" t="s">
        <v>236</v>
      </c>
      <c r="E5" s="26" t="s">
        <v>198</v>
      </c>
      <c r="F5" s="26" t="s">
        <v>226</v>
      </c>
      <c r="G5" s="26" t="s">
        <v>1538</v>
      </c>
      <c r="H5" s="26" t="s">
        <v>2026</v>
      </c>
      <c r="I5" s="26" t="s">
        <v>239</v>
      </c>
      <c r="J5" s="26" t="s">
        <v>2027</v>
      </c>
      <c r="K5" s="26" t="s">
        <v>834</v>
      </c>
      <c r="L5" s="26" t="s">
        <v>751</v>
      </c>
      <c r="M5" s="26" t="s">
        <v>145</v>
      </c>
      <c r="N5" s="26" t="s">
        <v>2028</v>
      </c>
      <c r="O5" s="45"/>
      <c r="P5" s="45"/>
      <c r="Q5" s="94"/>
      <c r="R5" s="94"/>
      <c r="S5" s="94"/>
      <c r="T5" s="94"/>
      <c r="U5" s="94"/>
      <c r="V5" s="94"/>
      <c r="W5" s="94"/>
      <c r="X5" s="94"/>
      <c r="Y5" s="94"/>
      <c r="Z5" s="94"/>
      <c r="AA5" s="94"/>
      <c r="AB5" s="94"/>
      <c r="AC5" s="94"/>
      <c r="AD5" s="94"/>
      <c r="AE5" s="94"/>
      <c r="AF5" s="94"/>
    </row>
    <row r="6" spans="1:32" x14ac:dyDescent="0.35">
      <c r="A6" s="27" t="s">
        <v>409</v>
      </c>
      <c r="B6" s="28">
        <f>COUNTIFS(
  AllTasks!$C:$C, $A6,
  AllTasks!$AO:$AO, "&lt;=1",
  AllTasks!$AO:$AO, "&gt;=0",
  AllTasks!$Q:$Q, "&gt;=" &amp; B$1,
  AllTasks!$Q:$Q, "&lt;=" &amp; B$2
)</f>
        <v>0</v>
      </c>
      <c r="C6" s="28">
        <f>COUNTIFS(
  AllTasks!$C:$C, $A6,
  AllTasks!$AO:$AO, "&lt;=1",
  AllTasks!$AO:$AO, "&gt;=0",
  AllTasks!$Q:$Q, "&gt;=" &amp; C$1,
  AllTasks!$Q:$Q, "&lt;=" &amp; C$2
)</f>
        <v>0</v>
      </c>
      <c r="D6" s="28">
        <f>COUNTIFS(
  AllTasks!$C:$C, $A6,
  AllTasks!$AO:$AO, "&lt;=1",
  AllTasks!$AO:$AO, "&gt;=0",
  AllTasks!$Q:$Q, "&gt;=" &amp; D$1,
  AllTasks!$Q:$Q, "&lt;=" &amp; D$2
)</f>
        <v>1</v>
      </c>
      <c r="E6" s="28">
        <f>COUNTIFS(
  AllTasks!$C:$C, $A6,
  AllTasks!$AO:$AO, "&lt;=1",
  AllTasks!$AO:$AO, "&gt;=0",
  AllTasks!$Q:$Q, "&gt;=" &amp; E$1,
  AllTasks!$Q:$Q, "&lt;=" &amp; E$2
)</f>
        <v>9</v>
      </c>
      <c r="F6" s="28">
        <f>COUNTIFS(
  AllTasks!$C:$C, $A6,
  AllTasks!$AO:$AO, "&lt;=1",
  AllTasks!$AO:$AO, "&gt;=0",
  AllTasks!$Q:$Q, "&gt;=" &amp; F$1,
  AllTasks!$Q:$Q, "&lt;=" &amp; F$2
)</f>
        <v>2</v>
      </c>
      <c r="G6" s="28">
        <f>COUNTIFS(
  AllTasks!$C:$C, $A6,
  AllTasks!$AO:$AO, "&lt;=1",
  AllTasks!$AO:$AO, "&gt;=0",
  AllTasks!$Q:$Q, "&gt;=" &amp; G$1,
  AllTasks!$Q:$Q, "&lt;=" &amp; G$2
)</f>
        <v>12</v>
      </c>
      <c r="H6" s="28">
        <f>COUNTIFS(
  AllTasks!$C:$C, $A6,
  AllTasks!$AO:$AO, "&lt;=1",
  AllTasks!$AO:$AO, "&gt;=0",
  AllTasks!$Q:$Q, "&gt;=" &amp; H$1,
  AllTasks!$Q:$Q, "&lt;=" &amp; H$2
)</f>
        <v>9</v>
      </c>
      <c r="I6" s="28">
        <f>COUNTIFS(
  AllTasks!$C:$C, $A6,
  AllTasks!$AO:$AO, "&lt;=1",
  AllTasks!$AO:$AO, "&gt;=0",
  AllTasks!$Q:$Q, "&gt;=" &amp; I$1,
  AllTasks!$Q:$Q, "&lt;=" &amp; I$2
)</f>
        <v>0</v>
      </c>
      <c r="J6" s="28">
        <f>COUNTIFS(
  AllTasks!$C:$C, $A6,
  AllTasks!$AO:$AO, "&lt;=1",
  AllTasks!$AO:$AO, "&gt;=0",
  AllTasks!$Q:$Q, "&gt;=" &amp; J$1,
  AllTasks!$Q:$Q, "&lt;=" &amp; J$2
)</f>
        <v>0</v>
      </c>
      <c r="K6" s="28">
        <f>COUNTIFS(
  AllTasks!$C:$C, $A6,
  AllTasks!$AO:$AO, "&lt;=1",
  AllTasks!$AO:$AO, "&gt;=0",
  AllTasks!$Q:$Q, "&gt;=" &amp; K$1,
  AllTasks!$Q:$Q, "&lt;=" &amp; K$2
)</f>
        <v>0</v>
      </c>
      <c r="L6" s="28">
        <f>COUNTIFS(
  AllTasks!$C:$C, $A6,
  AllTasks!$AO:$AO, "&lt;=1",
  AllTasks!$AO:$AO, "&gt;=0",
  AllTasks!$Q:$Q, "&gt;=" &amp; L$1,
  AllTasks!$Q:$Q, "&lt;=" &amp; L$2
)</f>
        <v>0</v>
      </c>
      <c r="M6" s="28">
        <f>COUNTIFS(
  AllTasks!$C:$C, $A6,
  AllTasks!$AO:$AO, "&lt;=1",
  AllTasks!$AO:$AO, "&gt;=0",
  AllTasks!$Q:$Q, "&gt;=" &amp; M$1,
  AllTasks!$Q:$Q, "&lt;=" &amp; M$2
)</f>
        <v>0</v>
      </c>
      <c r="N6" s="51">
        <f>SUM(B6:M6)</f>
        <v>33</v>
      </c>
      <c r="O6" s="45"/>
      <c r="P6" s="45"/>
      <c r="Q6" s="94"/>
      <c r="S6" s="225" t="s">
        <v>2029</v>
      </c>
      <c r="T6" s="226"/>
      <c r="U6" s="226"/>
      <c r="V6" s="226"/>
      <c r="W6" s="226"/>
      <c r="X6" s="226"/>
      <c r="Y6" s="226"/>
      <c r="Z6" s="226"/>
      <c r="AA6" s="226"/>
      <c r="AB6" s="226"/>
      <c r="AC6" s="226"/>
      <c r="AD6" s="227"/>
      <c r="AE6" s="228" t="s">
        <v>2030</v>
      </c>
      <c r="AF6" s="94"/>
    </row>
    <row r="7" spans="1:32" ht="15.5" x14ac:dyDescent="0.35">
      <c r="A7" s="27" t="s">
        <v>98</v>
      </c>
      <c r="B7" s="28">
        <f>COUNTIFS(
  AllTasks!$C:$C, $A7,
  AllTasks!$AO:$AO, "&lt;=1",
  AllTasks!$AO:$AO, "&gt;=0",
  AllTasks!$Q:$Q, "&gt;=" &amp; B$1,
  AllTasks!$Q:$Q, "&lt;=" &amp; B$2
)</f>
        <v>0</v>
      </c>
      <c r="C7" s="28">
        <f>COUNTIFS(
  AllTasks!$C:$C, $A7,
  AllTasks!$AO:$AO, "&lt;=1",
  AllTasks!$AO:$AO, "&gt;=0",
  AllTasks!$Q:$Q, "&gt;=" &amp; C$1,
  AllTasks!$Q:$Q, "&lt;=" &amp; C$2
)</f>
        <v>0</v>
      </c>
      <c r="D7" s="28">
        <f>COUNTIFS(
  AllTasks!$C:$C, $A7,
  AllTasks!$AO:$AO, "&lt;=1",
  AllTasks!$AO:$AO, "&gt;=0",
  AllTasks!$Q:$Q, "&gt;=" &amp; D$1,
  AllTasks!$Q:$Q, "&lt;=" &amp; D$2
)</f>
        <v>0</v>
      </c>
      <c r="E7" s="28">
        <f>COUNTIFS(
  AllTasks!$C:$C, $A7,
  AllTasks!$AO:$AO, "&lt;=1",
  AllTasks!$AO:$AO, "&gt;=0",
  AllTasks!$Q:$Q, "&gt;=" &amp; E$1,
  AllTasks!$Q:$Q, "&lt;=" &amp; E$2
)</f>
        <v>0</v>
      </c>
      <c r="F7" s="28">
        <f>COUNTIFS(
  AllTasks!$C:$C, $A7,
  AllTasks!$AO:$AO, "&lt;=1",
  AllTasks!$AO:$AO, "&gt;=0",
  AllTasks!$Q:$Q, "&gt;=" &amp; F$1,
  AllTasks!$Q:$Q, "&lt;=" &amp; F$2
)</f>
        <v>0</v>
      </c>
      <c r="G7" s="28">
        <f>COUNTIFS(
  AllTasks!$C:$C, $A7,
  AllTasks!$AO:$AO, "&lt;=1",
  AllTasks!$AO:$AO, "&gt;=0",
  AllTasks!$Q:$Q, "&gt;=" &amp; G$1,
  AllTasks!$Q:$Q, "&lt;=" &amp; G$2
)</f>
        <v>1</v>
      </c>
      <c r="H7" s="28">
        <f>COUNTIFS(
  AllTasks!$C:$C, $A7,
  AllTasks!$AO:$AO, "&lt;=1",
  AllTasks!$AO:$AO, "&gt;=0",
  AllTasks!$Q:$Q, "&gt;=" &amp; H$1,
  AllTasks!$Q:$Q, "&lt;=" &amp; H$2
)</f>
        <v>5</v>
      </c>
      <c r="I7" s="28">
        <f>COUNTIFS(
  AllTasks!$C:$C, $A7,
  AllTasks!$AO:$AO, "&lt;=1",
  AllTasks!$AO:$AO, "&gt;=0",
  AllTasks!$Q:$Q, "&gt;=" &amp; I$1,
  AllTasks!$Q:$Q, "&lt;=" &amp; I$2
)</f>
        <v>0</v>
      </c>
      <c r="J7" s="28">
        <f>COUNTIFS(
  AllTasks!$C:$C, $A7,
  AllTasks!$AO:$AO, "&lt;=1",
  AllTasks!$AO:$AO, "&gt;=0",
  AllTasks!$Q:$Q, "&gt;=" &amp; J$1,
  AllTasks!$Q:$Q, "&lt;=" &amp; J$2
)</f>
        <v>0</v>
      </c>
      <c r="K7" s="28">
        <f>COUNTIFS(
  AllTasks!$C:$C, $A7,
  AllTasks!$AO:$AO, "&lt;=1",
  AllTasks!$AO:$AO, "&gt;=0",
  AllTasks!$Q:$Q, "&gt;=" &amp; K$1,
  AllTasks!$Q:$Q, "&lt;=" &amp; K$2
)</f>
        <v>0</v>
      </c>
      <c r="L7" s="28">
        <f>COUNTIFS(
  AllTasks!$C:$C, $A7,
  AllTasks!$AO:$AO, "&lt;=1",
  AllTasks!$AO:$AO, "&gt;=0",
  AllTasks!$Q:$Q, "&gt;=" &amp; L$1,
  AllTasks!$Q:$Q, "&lt;=" &amp; L$2
)</f>
        <v>0</v>
      </c>
      <c r="M7" s="28">
        <f>COUNTIFS(
  AllTasks!$C:$C, $A7,
  AllTasks!$AO:$AO, "&lt;=1",
  AllTasks!$AO:$AO, "&gt;=0",
  AllTasks!$Q:$Q, "&gt;=" &amp; M$1,
  AllTasks!$Q:$Q, "&lt;=" &amp; M$2
)</f>
        <v>0</v>
      </c>
      <c r="N7" s="51">
        <f t="shared" ref="N7:N13" si="1">SUM(B7:M7)</f>
        <v>6</v>
      </c>
      <c r="O7" s="45"/>
      <c r="P7" s="45"/>
      <c r="Q7" s="94"/>
      <c r="S7" s="29" t="s">
        <v>595</v>
      </c>
      <c r="T7" s="29" t="s">
        <v>1114</v>
      </c>
      <c r="U7" s="29" t="s">
        <v>236</v>
      </c>
      <c r="V7" s="29" t="s">
        <v>198</v>
      </c>
      <c r="W7" s="29" t="s">
        <v>226</v>
      </c>
      <c r="X7" s="29" t="s">
        <v>1538</v>
      </c>
      <c r="Y7" s="30" t="s">
        <v>215</v>
      </c>
      <c r="Z7" s="30" t="s">
        <v>239</v>
      </c>
      <c r="AA7" s="30" t="s">
        <v>231</v>
      </c>
      <c r="AB7" s="30" t="s">
        <v>834</v>
      </c>
      <c r="AC7" s="30" t="s">
        <v>751</v>
      </c>
      <c r="AD7" s="30" t="s">
        <v>145</v>
      </c>
      <c r="AE7" s="229"/>
      <c r="AF7" s="94"/>
    </row>
    <row r="8" spans="1:32" x14ac:dyDescent="0.35">
      <c r="A8" s="27" t="s">
        <v>461</v>
      </c>
      <c r="B8" s="28">
        <f>COUNTIFS(
  AllTasks!$C:$C, $A8,
  AllTasks!$AO:$AO, "&lt;=1",
  AllTasks!$AO:$AO, "&gt;=0",
  AllTasks!$Q:$Q, "&gt;=" &amp; B$1,
  AllTasks!$Q:$Q, "&lt;=" &amp; B$2
)</f>
        <v>1</v>
      </c>
      <c r="C8" s="28">
        <f>COUNTIFS(
  AllTasks!$C:$C, $A8,
  AllTasks!$AO:$AO, "&lt;=1",
  AllTasks!$AO:$AO, "&gt;=0",
  AllTasks!$Q:$Q, "&gt;=" &amp; C$1,
  AllTasks!$Q:$Q, "&lt;=" &amp; C$2
)</f>
        <v>0</v>
      </c>
      <c r="D8" s="28">
        <f>COUNTIFS(
  AllTasks!$C:$C, $A8,
  AllTasks!$AO:$AO, "&lt;=1",
  AllTasks!$AO:$AO, "&gt;=0",
  AllTasks!$Q:$Q, "&gt;=" &amp; D$1,
  AllTasks!$Q:$Q, "&lt;=" &amp; D$2
)</f>
        <v>0</v>
      </c>
      <c r="E8" s="28">
        <f>COUNTIFS(
  AllTasks!$C:$C, $A8,
  AllTasks!$AO:$AO, "&lt;=1",
  AllTasks!$AO:$AO, "&gt;=0",
  AllTasks!$Q:$Q, "&gt;=" &amp; E$1,
  AllTasks!$Q:$Q, "&lt;=" &amp; E$2
)</f>
        <v>0</v>
      </c>
      <c r="F8" s="28">
        <f>COUNTIFS(
  AllTasks!$C:$C, $A8,
  AllTasks!$AO:$AO, "&lt;=1",
  AllTasks!$AO:$AO, "&gt;=0",
  AllTasks!$Q:$Q, "&gt;=" &amp; F$1,
  AllTasks!$Q:$Q, "&lt;=" &amp; F$2
)</f>
        <v>0</v>
      </c>
      <c r="G8" s="28">
        <f>COUNTIFS(
  AllTasks!$C:$C, $A8,
  AllTasks!$AO:$AO, "&lt;=1",
  AllTasks!$AO:$AO, "&gt;=0",
  AllTasks!$Q:$Q, "&gt;=" &amp; G$1,
  AllTasks!$Q:$Q, "&lt;=" &amp; G$2
)</f>
        <v>0</v>
      </c>
      <c r="H8" s="28">
        <f>COUNTIFS(
  AllTasks!$C:$C, $A8,
  AllTasks!$AO:$AO, "&lt;=1",
  AllTasks!$AO:$AO, "&gt;=0",
  AllTasks!$Q:$Q, "&gt;=" &amp; H$1,
  AllTasks!$Q:$Q, "&lt;=" &amp; H$2
)</f>
        <v>0</v>
      </c>
      <c r="I8" s="28">
        <f>COUNTIFS(
  AllTasks!$C:$C, $A8,
  AllTasks!$AO:$AO, "&lt;=1",
  AllTasks!$AO:$AO, "&gt;=0",
  AllTasks!$Q:$Q, "&gt;=" &amp; I$1,
  AllTasks!$Q:$Q, "&lt;=" &amp; I$2
)</f>
        <v>0</v>
      </c>
      <c r="J8" s="28">
        <f>COUNTIFS(
  AllTasks!$C:$C, $A8,
  AllTasks!$AO:$AO, "&lt;=1",
  AllTasks!$AO:$AO, "&gt;=0",
  AllTasks!$Q:$Q, "&gt;=" &amp; J$1,
  AllTasks!$Q:$Q, "&lt;=" &amp; J$2
)</f>
        <v>0</v>
      </c>
      <c r="K8" s="28">
        <f>COUNTIFS(
  AllTasks!$C:$C, $A8,
  AllTasks!$AO:$AO, "&lt;=1",
  AllTasks!$AO:$AO, "&gt;=0",
  AllTasks!$Q:$Q, "&gt;=" &amp; K$1,
  AllTasks!$Q:$Q, "&lt;=" &amp; K$2
)</f>
        <v>0</v>
      </c>
      <c r="L8" s="28">
        <f>COUNTIFS(
  AllTasks!$C:$C, $A8,
  AllTasks!$AO:$AO, "&lt;=1",
  AllTasks!$AO:$AO, "&gt;=0",
  AllTasks!$Q:$Q, "&gt;=" &amp; L$1,
  AllTasks!$Q:$Q, "&lt;=" &amp; L$2
)</f>
        <v>0</v>
      </c>
      <c r="M8" s="28">
        <f>COUNTIFS(
  AllTasks!$C:$C, $A8,
  AllTasks!$AO:$AO, "&lt;=1",
  AllTasks!$AO:$AO, "&gt;=0",
  AllTasks!$Q:$Q, "&gt;=" &amp; M$1,
  AllTasks!$Q:$Q, "&lt;=" &amp; M$2
)</f>
        <v>0</v>
      </c>
      <c r="N8" s="51">
        <f t="shared" si="1"/>
        <v>1</v>
      </c>
      <c r="O8" s="45"/>
      <c r="P8" s="45"/>
      <c r="Q8" s="94"/>
      <c r="R8" s="8" t="s">
        <v>2031</v>
      </c>
      <c r="S8" s="184">
        <v>45</v>
      </c>
      <c r="T8" s="184">
        <v>38</v>
      </c>
      <c r="U8" s="184">
        <v>38</v>
      </c>
      <c r="V8" s="184">
        <v>37</v>
      </c>
      <c r="W8" s="184">
        <v>39</v>
      </c>
      <c r="X8" s="184">
        <v>40</v>
      </c>
      <c r="Y8" s="184">
        <v>33</v>
      </c>
      <c r="Z8" s="184">
        <v>41</v>
      </c>
      <c r="AA8" s="184">
        <v>42</v>
      </c>
      <c r="AB8" s="184">
        <v>38</v>
      </c>
      <c r="AC8" s="184">
        <v>39</v>
      </c>
      <c r="AD8" s="184">
        <v>29</v>
      </c>
      <c r="AE8" s="185">
        <v>459</v>
      </c>
      <c r="AF8" s="94"/>
    </row>
    <row r="9" spans="1:32" x14ac:dyDescent="0.35">
      <c r="A9" s="27" t="s">
        <v>54</v>
      </c>
      <c r="B9" s="28">
        <f>COUNTIFS(
  AllTasks!$C:$C, $A9,
  AllTasks!$AO:$AO, "&lt;=1",
  AllTasks!$AO:$AO, "&gt;=0",
  AllTasks!$Q:$Q, "&gt;=" &amp; B$1,
  AllTasks!$Q:$Q, "&lt;=" &amp; B$2
)</f>
        <v>7</v>
      </c>
      <c r="C9" s="28">
        <f>COUNTIFS(
  AllTasks!$C:$C, $A9,
  AllTasks!$AO:$AO, "&lt;=1",
  AllTasks!$AO:$AO, "&gt;=0",
  AllTasks!$Q:$Q, "&gt;=" &amp; C$1,
  AllTasks!$Q:$Q, "&lt;=" &amp; C$2
)</f>
        <v>6</v>
      </c>
      <c r="D9" s="28">
        <f>COUNTIFS(
  AllTasks!$C:$C, $A9,
  AllTasks!$AO:$AO, "&lt;=1",
  AllTasks!$AO:$AO, "&gt;=0",
  AllTasks!$Q:$Q, "&gt;=" &amp; D$1,
  AllTasks!$Q:$Q, "&lt;=" &amp; D$2
)</f>
        <v>9</v>
      </c>
      <c r="E9" s="28">
        <f>COUNTIFS(
  AllTasks!$C:$C, $A9,
  AllTasks!$AO:$AO, "&lt;=1",
  AllTasks!$AO:$AO, "&gt;=0",
  AllTasks!$Q:$Q, "&gt;=" &amp; E$1,
  AllTasks!$Q:$Q, "&lt;=" &amp; E$2
)</f>
        <v>6</v>
      </c>
      <c r="F9" s="28">
        <f>COUNTIFS(
  AllTasks!$C:$C, $A9,
  AllTasks!$AO:$AO, "&lt;=1",
  AllTasks!$AO:$AO, "&gt;=0",
  AllTasks!$Q:$Q, "&gt;=" &amp; F$1,
  AllTasks!$Q:$Q, "&lt;=" &amp; F$2
)</f>
        <v>11</v>
      </c>
      <c r="G9" s="28">
        <f>COUNTIFS(
  AllTasks!$C:$C, $A9,
  AllTasks!$AO:$AO, "&lt;=1",
  AllTasks!$AO:$AO, "&gt;=0",
  AllTasks!$Q:$Q, "&gt;=" &amp; G$1,
  AllTasks!$Q:$Q, "&lt;=" &amp; G$2
)</f>
        <v>8</v>
      </c>
      <c r="H9" s="28">
        <f>COUNTIFS(
  AllTasks!$C:$C, $A9,
  AllTasks!$AO:$AO, "&lt;=1",
  AllTasks!$AO:$AO, "&gt;=0",
  AllTasks!$Q:$Q, "&gt;=" &amp; H$1,
  AllTasks!$Q:$Q, "&lt;=" &amp; H$2
)</f>
        <v>9</v>
      </c>
      <c r="I9" s="28">
        <f>COUNTIFS(
  AllTasks!$C:$C, $A9,
  AllTasks!$AO:$AO, "&lt;=1",
  AllTasks!$AO:$AO, "&gt;=0",
  AllTasks!$Q:$Q, "&gt;=" &amp; I$1,
  AllTasks!$Q:$Q, "&lt;=" &amp; I$2
)</f>
        <v>0</v>
      </c>
      <c r="J9" s="28">
        <f>COUNTIFS(
  AllTasks!$C:$C, $A9,
  AllTasks!$AO:$AO, "&lt;=1",
  AllTasks!$AO:$AO, "&gt;=0",
  AllTasks!$Q:$Q, "&gt;=" &amp; J$1,
  AllTasks!$Q:$Q, "&lt;=" &amp; J$2
)</f>
        <v>0</v>
      </c>
      <c r="K9" s="28">
        <f>COUNTIFS(
  AllTasks!$C:$C, $A9,
  AllTasks!$AO:$AO, "&lt;=1",
  AllTasks!$AO:$AO, "&gt;=0",
  AllTasks!$Q:$Q, "&gt;=" &amp; K$1,
  AllTasks!$Q:$Q, "&lt;=" &amp; K$2
)</f>
        <v>0</v>
      </c>
      <c r="L9" s="28">
        <f>COUNTIFS(
  AllTasks!$C:$C, $A9,
  AllTasks!$AO:$AO, "&lt;=1",
  AllTasks!$AO:$AO, "&gt;=0",
  AllTasks!$Q:$Q, "&gt;=" &amp; L$1,
  AllTasks!$Q:$Q, "&lt;=" &amp; L$2
)</f>
        <v>0</v>
      </c>
      <c r="M9" s="28">
        <f>COUNTIFS(
  AllTasks!$C:$C, $A9,
  AllTasks!$AO:$AO, "&lt;=1",
  AllTasks!$AO:$AO, "&gt;=0",
  AllTasks!$Q:$Q, "&gt;=" &amp; M$1,
  AllTasks!$Q:$Q, "&lt;=" &amp; M$2
)</f>
        <v>0</v>
      </c>
      <c r="N9" s="51">
        <f t="shared" si="1"/>
        <v>56</v>
      </c>
      <c r="O9" s="45"/>
      <c r="P9" s="45"/>
      <c r="Q9" s="94"/>
      <c r="R9" s="8" t="s">
        <v>2032</v>
      </c>
      <c r="S9" s="34">
        <f>IF(COUNTA(B6:B13)=0,"",SUM(B6:B13))</f>
        <v>48</v>
      </c>
      <c r="T9" s="34">
        <f t="shared" ref="T9:AD9" si="2">IF(COUNTA(C6:C13)=0,"",SUM(C6:C13))</f>
        <v>57</v>
      </c>
      <c r="U9" s="34">
        <f t="shared" si="2"/>
        <v>38</v>
      </c>
      <c r="V9" s="34">
        <f t="shared" si="2"/>
        <v>42</v>
      </c>
      <c r="W9" s="34">
        <f t="shared" si="2"/>
        <v>35</v>
      </c>
      <c r="X9" s="34">
        <f t="shared" si="2"/>
        <v>45</v>
      </c>
      <c r="Y9" s="34">
        <f t="shared" si="2"/>
        <v>43</v>
      </c>
      <c r="Z9" s="34">
        <f t="shared" si="2"/>
        <v>3</v>
      </c>
      <c r="AA9" s="34">
        <f t="shared" si="2"/>
        <v>0</v>
      </c>
      <c r="AB9" s="34">
        <f t="shared" si="2"/>
        <v>0</v>
      </c>
      <c r="AC9" s="34">
        <f t="shared" si="2"/>
        <v>0</v>
      </c>
      <c r="AD9" s="34">
        <f t="shared" si="2"/>
        <v>0</v>
      </c>
      <c r="AE9" s="33">
        <f>SUM(S9:AD9)</f>
        <v>311</v>
      </c>
      <c r="AF9" s="94"/>
    </row>
    <row r="10" spans="1:32" x14ac:dyDescent="0.35">
      <c r="A10" s="27" t="s">
        <v>36</v>
      </c>
      <c r="B10" s="28">
        <f>COUNTIFS(
  AllTasks!$C:$C, $A10,
  AllTasks!$AO:$AO, "&lt;=1",
  AllTasks!$AO:$AO, "&gt;=0",
  AllTasks!$Q:$Q, "&gt;=" &amp; B$1,
  AllTasks!$Q:$Q, "&lt;=" &amp; B$2
)</f>
        <v>25</v>
      </c>
      <c r="C10" s="28">
        <f>COUNTIFS(
  AllTasks!$C:$C, $A10,
  AllTasks!$AO:$AO, "&lt;=1",
  AllTasks!$AO:$AO, "&gt;=0",
  AllTasks!$Q:$Q, "&gt;=" &amp; C$1,
  AllTasks!$Q:$Q, "&lt;=" &amp; C$2
)</f>
        <v>31</v>
      </c>
      <c r="D10" s="28">
        <f>COUNTIFS(
  AllTasks!$C:$C, $A10,
  AllTasks!$AO:$AO, "&lt;=1",
  AllTasks!$AO:$AO, "&gt;=0",
  AllTasks!$Q:$Q, "&gt;=" &amp; D$1,
  AllTasks!$Q:$Q, "&lt;=" &amp; D$2
)</f>
        <v>15</v>
      </c>
      <c r="E10" s="28">
        <f>COUNTIFS(
  AllTasks!$C:$C, $A10,
  AllTasks!$AO:$AO, "&lt;=1",
  AllTasks!$AO:$AO, "&gt;=0",
  AllTasks!$Q:$Q, "&gt;=" &amp; E$1,
  AllTasks!$Q:$Q, "&lt;=" &amp; E$2
)</f>
        <v>22</v>
      </c>
      <c r="F10" s="28">
        <f>COUNTIFS(
  AllTasks!$C:$C, $A10,
  AllTasks!$AO:$AO, "&lt;=1",
  AllTasks!$AO:$AO, "&gt;=0",
  AllTasks!$Q:$Q, "&gt;=" &amp; F$1,
  AllTasks!$Q:$Q, "&lt;=" &amp; F$2
)</f>
        <v>20</v>
      </c>
      <c r="G10" s="28">
        <f>COUNTIFS(
  AllTasks!$C:$C, $A10,
  AllTasks!$AO:$AO, "&lt;=1",
  AllTasks!$AO:$AO, "&gt;=0",
  AllTasks!$Q:$Q, "&gt;=" &amp; G$1,
  AllTasks!$Q:$Q, "&lt;=" &amp; G$2
)</f>
        <v>20</v>
      </c>
      <c r="H10" s="28">
        <f>COUNTIFS(
  AllTasks!$C:$C, $A10,
  AllTasks!$AO:$AO, "&lt;=1",
  AllTasks!$AO:$AO, "&gt;=0",
  AllTasks!$Q:$Q, "&gt;=" &amp; H$1,
  AllTasks!$Q:$Q, "&lt;=" &amp; H$2
)</f>
        <v>12</v>
      </c>
      <c r="I10" s="28">
        <f>COUNTIFS(
  AllTasks!$C:$C, $A10,
  AllTasks!$AO:$AO, "&lt;=1",
  AllTasks!$AO:$AO, "&gt;=0",
  AllTasks!$Q:$Q, "&gt;=" &amp; I$1,
  AllTasks!$Q:$Q, "&lt;=" &amp; I$2
)</f>
        <v>2</v>
      </c>
      <c r="J10" s="28">
        <f>COUNTIFS(
  AllTasks!$C:$C, $A10,
  AllTasks!$AO:$AO, "&lt;=1",
  AllTasks!$AO:$AO, "&gt;=0",
  AllTasks!$Q:$Q, "&gt;=" &amp; J$1,
  AllTasks!$Q:$Q, "&lt;=" &amp; J$2
)</f>
        <v>0</v>
      </c>
      <c r="K10" s="28">
        <f>COUNTIFS(
  AllTasks!$C:$C, $A10,
  AllTasks!$AO:$AO, "&lt;=1",
  AllTasks!$AO:$AO, "&gt;=0",
  AllTasks!$Q:$Q, "&gt;=" &amp; K$1,
  AllTasks!$Q:$Q, "&lt;=" &amp; K$2
)</f>
        <v>0</v>
      </c>
      <c r="L10" s="28">
        <f>COUNTIFS(
  AllTasks!$C:$C, $A10,
  AllTasks!$AO:$AO, "&lt;=1",
  AllTasks!$AO:$AO, "&gt;=0",
  AllTasks!$Q:$Q, "&gt;=" &amp; L$1,
  AllTasks!$Q:$Q, "&lt;=" &amp; L$2
)</f>
        <v>0</v>
      </c>
      <c r="M10" s="28">
        <f>COUNTIFS(
  AllTasks!$C:$C, $A10,
  AllTasks!$AO:$AO, "&lt;=1",
  AllTasks!$AO:$AO, "&gt;=0",
  AllTasks!$Q:$Q, "&gt;=" &amp; M$1,
  AllTasks!$Q:$Q, "&lt;=" &amp; M$2
)</f>
        <v>0</v>
      </c>
      <c r="N10" s="51">
        <f t="shared" si="1"/>
        <v>147</v>
      </c>
      <c r="O10" s="45"/>
      <c r="P10" s="45"/>
      <c r="Q10" s="94"/>
      <c r="R10" s="8" t="s">
        <v>2033</v>
      </c>
      <c r="S10" s="35">
        <f t="shared" ref="S10:AE10" si="3">IF(OR(TRIM(S8)="", TRIM(S9)=""), "", S9 - S8)</f>
        <v>3</v>
      </c>
      <c r="T10" s="35">
        <f t="shared" si="3"/>
        <v>19</v>
      </c>
      <c r="U10" s="35">
        <f t="shared" si="3"/>
        <v>0</v>
      </c>
      <c r="V10" s="35">
        <f t="shared" si="3"/>
        <v>5</v>
      </c>
      <c r="W10" s="35">
        <f t="shared" si="3"/>
        <v>-4</v>
      </c>
      <c r="X10" s="35">
        <f t="shared" si="3"/>
        <v>5</v>
      </c>
      <c r="Y10" s="35">
        <f t="shared" si="3"/>
        <v>10</v>
      </c>
      <c r="Z10" s="35">
        <f t="shared" si="3"/>
        <v>-38</v>
      </c>
      <c r="AA10" s="35">
        <f t="shared" si="3"/>
        <v>-42</v>
      </c>
      <c r="AB10" s="35">
        <f t="shared" si="3"/>
        <v>-38</v>
      </c>
      <c r="AC10" s="35">
        <f t="shared" si="3"/>
        <v>-39</v>
      </c>
      <c r="AD10" s="35">
        <f t="shared" si="3"/>
        <v>-29</v>
      </c>
      <c r="AE10" s="35">
        <f t="shared" si="3"/>
        <v>-148</v>
      </c>
      <c r="AF10" s="94"/>
    </row>
    <row r="11" spans="1:32" x14ac:dyDescent="0.35">
      <c r="A11" s="27" t="s">
        <v>76</v>
      </c>
      <c r="B11" s="28">
        <f>COUNTIFS(
  AllTasks!$C:$C, $A11,
  AllTasks!$AO:$AO, "&lt;=1",
  AllTasks!$AO:$AO, "&gt;=0",
  AllTasks!$Q:$Q, "&gt;=" &amp; B$1,
  AllTasks!$Q:$Q, "&lt;=" &amp; B$2
)</f>
        <v>12</v>
      </c>
      <c r="C11" s="28">
        <f>COUNTIFS(
  AllTasks!$C:$C, $A11,
  AllTasks!$AO:$AO, "&lt;=1",
  AllTasks!$AO:$AO, "&gt;=0",
  AllTasks!$Q:$Q, "&gt;=" &amp; C$1,
  AllTasks!$Q:$Q, "&lt;=" &amp; C$2
)</f>
        <v>15</v>
      </c>
      <c r="D11" s="28">
        <f>COUNTIFS(
  AllTasks!$C:$C, $A11,
  AllTasks!$AO:$AO, "&lt;=1",
  AllTasks!$AO:$AO, "&gt;=0",
  AllTasks!$Q:$Q, "&gt;=" &amp; D$1,
  AllTasks!$Q:$Q, "&lt;=" &amp; D$2
)</f>
        <v>11</v>
      </c>
      <c r="E11" s="28">
        <f>COUNTIFS(
  AllTasks!$C:$C, $A11,
  AllTasks!$AO:$AO, "&lt;=1",
  AllTasks!$AO:$AO, "&gt;=0",
  AllTasks!$Q:$Q, "&gt;=" &amp; E$1,
  AllTasks!$Q:$Q, "&lt;=" &amp; E$2
)</f>
        <v>0</v>
      </c>
      <c r="F11" s="28">
        <f>COUNTIFS(
  AllTasks!$C:$C, $A11,
  AllTasks!$AO:$AO, "&lt;=1",
  AllTasks!$AO:$AO, "&gt;=0",
  AllTasks!$Q:$Q, "&gt;=" &amp; F$1,
  AllTasks!$Q:$Q, "&lt;=" &amp; F$2
)</f>
        <v>0</v>
      </c>
      <c r="G11" s="28">
        <f>COUNTIFS(
  AllTasks!$C:$C, $A11,
  AllTasks!$AO:$AO, "&lt;=1",
  AllTasks!$AO:$AO, "&gt;=0",
  AllTasks!$Q:$Q, "&gt;=" &amp; G$1,
  AllTasks!$Q:$Q, "&lt;=" &amp; G$2
)</f>
        <v>0</v>
      </c>
      <c r="H11" s="28">
        <f>COUNTIFS(
  AllTasks!$C:$C, $A11,
  AllTasks!$AO:$AO, "&lt;=1",
  AllTasks!$AO:$AO, "&gt;=0",
  AllTasks!$Q:$Q, "&gt;=" &amp; H$1,
  AllTasks!$Q:$Q, "&lt;=" &amp; H$2
)</f>
        <v>4</v>
      </c>
      <c r="I11" s="28">
        <f>COUNTIFS(
  AllTasks!$C:$C, $A11,
  AllTasks!$AO:$AO, "&lt;=1",
  AllTasks!$AO:$AO, "&gt;=0",
  AllTasks!$Q:$Q, "&gt;=" &amp; I$1,
  AllTasks!$Q:$Q, "&lt;=" &amp; I$2
)</f>
        <v>1</v>
      </c>
      <c r="J11" s="28">
        <f>COUNTIFS(
  AllTasks!$C:$C, $A11,
  AllTasks!$AO:$AO, "&lt;=1",
  AllTasks!$AO:$AO, "&gt;=0",
  AllTasks!$Q:$Q, "&gt;=" &amp; J$1,
  AllTasks!$Q:$Q, "&lt;=" &amp; J$2
)</f>
        <v>0</v>
      </c>
      <c r="K11" s="28">
        <f>COUNTIFS(
  AllTasks!$C:$C, $A11,
  AllTasks!$AO:$AO, "&lt;=1",
  AllTasks!$AO:$AO, "&gt;=0",
  AllTasks!$Q:$Q, "&gt;=" &amp; K$1,
  AllTasks!$Q:$Q, "&lt;=" &amp; K$2
)</f>
        <v>0</v>
      </c>
      <c r="L11" s="28">
        <f>COUNTIFS(
  AllTasks!$C:$C, $A11,
  AllTasks!$AO:$AO, "&lt;=1",
  AllTasks!$AO:$AO, "&gt;=0",
  AllTasks!$Q:$Q, "&gt;=" &amp; L$1,
  AllTasks!$Q:$Q, "&lt;=" &amp; L$2
)</f>
        <v>0</v>
      </c>
      <c r="M11" s="28">
        <f>COUNTIFS(
  AllTasks!$C:$C, $A11,
  AllTasks!$AO:$AO, "&lt;=1",
  AllTasks!$AO:$AO, "&gt;=0",
  AllTasks!$Q:$Q, "&gt;=" &amp; M$1,
  AllTasks!$Q:$Q, "&lt;=" &amp; M$2
)</f>
        <v>0</v>
      </c>
      <c r="N11" s="51">
        <f t="shared" si="1"/>
        <v>43</v>
      </c>
      <c r="O11" s="45"/>
      <c r="P11" s="45"/>
      <c r="Q11" s="94"/>
      <c r="AF11" s="94"/>
    </row>
    <row r="12" spans="1:32" x14ac:dyDescent="0.35">
      <c r="A12" s="27" t="s">
        <v>25</v>
      </c>
      <c r="B12" s="28">
        <f>COUNTIFS(
  AllTasks!$C:$C, $A12,
  AllTasks!$AO:$AO, "&lt;=1",
  AllTasks!$AO:$AO, "&gt;=0",
  AllTasks!$Q:$Q, "&gt;=" &amp; B$1,
  AllTasks!$Q:$Q, "&lt;=" &amp; B$2
)</f>
        <v>0</v>
      </c>
      <c r="C12" s="28">
        <f>COUNTIFS(
  AllTasks!$C:$C, $A12,
  AllTasks!$AO:$AO, "&lt;=1",
  AllTasks!$AO:$AO, "&gt;=0",
  AllTasks!$Q:$Q, "&gt;=" &amp; C$1,
  AllTasks!$Q:$Q, "&lt;=" &amp; C$2
)</f>
        <v>0</v>
      </c>
      <c r="D12" s="28">
        <f>COUNTIFS(
  AllTasks!$C:$C, $A12,
  AllTasks!$AO:$AO, "&lt;=1",
  AllTasks!$AO:$AO, "&gt;=0",
  AllTasks!$Q:$Q, "&gt;=" &amp; D$1,
  AllTasks!$Q:$Q, "&lt;=" &amp; D$2
)</f>
        <v>0</v>
      </c>
      <c r="E12" s="28">
        <f>COUNTIFS(
  AllTasks!$C:$C, $A12,
  AllTasks!$AO:$AO, "&lt;=1",
  AllTasks!$AO:$AO, "&gt;=0",
  AllTasks!$Q:$Q, "&gt;=" &amp; E$1,
  AllTasks!$Q:$Q, "&lt;=" &amp; E$2
)</f>
        <v>0</v>
      </c>
      <c r="F12" s="28">
        <f>COUNTIFS(
  AllTasks!$C:$C, $A12,
  AllTasks!$AO:$AO, "&lt;=1",
  AllTasks!$AO:$AO, "&gt;=0",
  AllTasks!$Q:$Q, "&gt;=" &amp; F$1,
  AllTasks!$Q:$Q, "&lt;=" &amp; F$2
)</f>
        <v>0</v>
      </c>
      <c r="G12" s="28">
        <f>COUNTIFS(
  AllTasks!$C:$C, $A12,
  AllTasks!$AO:$AO, "&lt;=1",
  AllTasks!$AO:$AO, "&gt;=0",
  AllTasks!$Q:$Q, "&gt;=" &amp; G$1,
  AllTasks!$Q:$Q, "&lt;=" &amp; G$2
)</f>
        <v>0</v>
      </c>
      <c r="H12" s="28">
        <f>COUNTIFS(
  AllTasks!$C:$C, $A12,
  AllTasks!$AO:$AO, "&lt;=1",
  AllTasks!$AO:$AO, "&gt;=0",
  AllTasks!$Q:$Q, "&gt;=" &amp; H$1,
  AllTasks!$Q:$Q, "&lt;=" &amp; H$2
)</f>
        <v>2</v>
      </c>
      <c r="I12" s="28">
        <f>COUNTIFS(
  AllTasks!$C:$C, $A12,
  AllTasks!$AO:$AO, "&lt;=1",
  AllTasks!$AO:$AO, "&gt;=0",
  AllTasks!$Q:$Q, "&gt;=" &amp; I$1,
  AllTasks!$Q:$Q, "&lt;=" &amp; I$2
)</f>
        <v>0</v>
      </c>
      <c r="J12" s="28">
        <f>COUNTIFS(
  AllTasks!$C:$C, $A12,
  AllTasks!$AO:$AO, "&lt;=1",
  AllTasks!$AO:$AO, "&gt;=0",
  AllTasks!$Q:$Q, "&gt;=" &amp; J$1,
  AllTasks!$Q:$Q, "&lt;=" &amp; J$2
)</f>
        <v>0</v>
      </c>
      <c r="K12" s="28">
        <f>COUNTIFS(
  AllTasks!$C:$C, $A12,
  AllTasks!$AO:$AO, "&lt;=1",
  AllTasks!$AO:$AO, "&gt;=0",
  AllTasks!$Q:$Q, "&gt;=" &amp; K$1,
  AllTasks!$Q:$Q, "&lt;=" &amp; K$2
)</f>
        <v>0</v>
      </c>
      <c r="L12" s="28">
        <f>COUNTIFS(
  AllTasks!$C:$C, $A12,
  AllTasks!$AO:$AO, "&lt;=1",
  AllTasks!$AO:$AO, "&gt;=0",
  AllTasks!$Q:$Q, "&gt;=" &amp; L$1,
  AllTasks!$Q:$Q, "&lt;=" &amp; L$2
)</f>
        <v>0</v>
      </c>
      <c r="M12" s="28">
        <f>COUNTIFS(
  AllTasks!$C:$C, $A12,
  AllTasks!$AO:$AO, "&lt;=1",
  AllTasks!$AO:$AO, "&gt;=0",
  AllTasks!$Q:$Q, "&gt;=" &amp; M$1,
  AllTasks!$Q:$Q, "&lt;=" &amp; M$2
)</f>
        <v>0</v>
      </c>
      <c r="N12" s="51">
        <f t="shared" si="1"/>
        <v>2</v>
      </c>
      <c r="O12" s="45"/>
      <c r="P12" s="45"/>
      <c r="Q12" s="94"/>
      <c r="S12" s="225" t="s">
        <v>2034</v>
      </c>
      <c r="T12" s="226"/>
      <c r="U12" s="226"/>
      <c r="V12" s="226"/>
      <c r="W12" s="226"/>
      <c r="X12" s="226"/>
      <c r="Y12" s="226"/>
      <c r="Z12" s="226"/>
      <c r="AA12" s="226"/>
      <c r="AB12" s="226"/>
      <c r="AC12" s="226"/>
      <c r="AD12" s="227"/>
      <c r="AF12" s="94"/>
    </row>
    <row r="13" spans="1:32" ht="15.5" x14ac:dyDescent="0.35">
      <c r="A13" s="27" t="s">
        <v>135</v>
      </c>
      <c r="B13" s="28">
        <f>COUNTIFS(
  AllTasks!$C:$C, $A13,
  AllTasks!$AO:$AO, "&lt;=1",
  AllTasks!$AO:$AO, "&gt;=0",
  AllTasks!$Q:$Q, "&gt;=" &amp; B$1,
  AllTasks!$Q:$Q, "&lt;=" &amp; B$2
)</f>
        <v>3</v>
      </c>
      <c r="C13" s="28">
        <f>COUNTIFS(
  AllTasks!$C:$C, $A13,
  AllTasks!$AO:$AO, "&lt;=1",
  AllTasks!$AO:$AO, "&gt;=0",
  AllTasks!$Q:$Q, "&gt;=" &amp; C$1,
  AllTasks!$Q:$Q, "&lt;=" &amp; C$2
)</f>
        <v>5</v>
      </c>
      <c r="D13" s="28">
        <f>COUNTIFS(
  AllTasks!$C:$C, $A13,
  AllTasks!$AO:$AO, "&lt;=1",
  AllTasks!$AO:$AO, "&gt;=0",
  AllTasks!$Q:$Q, "&gt;=" &amp; D$1,
  AllTasks!$Q:$Q, "&lt;=" &amp; D$2
)</f>
        <v>2</v>
      </c>
      <c r="E13" s="28">
        <f>COUNTIFS(
  AllTasks!$C:$C, $A13,
  AllTasks!$AO:$AO, "&lt;=1",
  AllTasks!$AO:$AO, "&gt;=0",
  AllTasks!$Q:$Q, "&gt;=" &amp; E$1,
  AllTasks!$Q:$Q, "&lt;=" &amp; E$2
)</f>
        <v>5</v>
      </c>
      <c r="F13" s="28">
        <f>COUNTIFS(
  AllTasks!$C:$C, $A13,
  AllTasks!$AO:$AO, "&lt;=1",
  AllTasks!$AO:$AO, "&gt;=0",
  AllTasks!$Q:$Q, "&gt;=" &amp; F$1,
  AllTasks!$Q:$Q, "&lt;=" &amp; F$2
)</f>
        <v>2</v>
      </c>
      <c r="G13" s="28">
        <f>COUNTIFS(
  AllTasks!$C:$C, $A13,
  AllTasks!$AO:$AO, "&lt;=1",
  AllTasks!$AO:$AO, "&gt;=0",
  AllTasks!$Q:$Q, "&gt;=" &amp; G$1,
  AllTasks!$Q:$Q, "&lt;=" &amp; G$2
)</f>
        <v>4</v>
      </c>
      <c r="H13" s="28">
        <f>COUNTIFS(
  AllTasks!$C:$C, $A13,
  AllTasks!$AO:$AO, "&lt;=1",
  AllTasks!$AO:$AO, "&gt;=0",
  AllTasks!$Q:$Q, "&gt;=" &amp; H$1,
  AllTasks!$Q:$Q, "&lt;=" &amp; H$2
)</f>
        <v>2</v>
      </c>
      <c r="I13" s="28">
        <f>COUNTIFS(
  AllTasks!$C:$C, $A13,
  AllTasks!$AO:$AO, "&lt;=1",
  AllTasks!$AO:$AO, "&gt;=0",
  AllTasks!$Q:$Q, "&gt;=" &amp; I$1,
  AllTasks!$Q:$Q, "&lt;=" &amp; I$2
)</f>
        <v>0</v>
      </c>
      <c r="J13" s="28">
        <f>COUNTIFS(
  AllTasks!$C:$C, $A13,
  AllTasks!$AO:$AO, "&lt;=1",
  AllTasks!$AO:$AO, "&gt;=0",
  AllTasks!$Q:$Q, "&gt;=" &amp; J$1,
  AllTasks!$Q:$Q, "&lt;=" &amp; J$2
)</f>
        <v>0</v>
      </c>
      <c r="K13" s="28">
        <f>COUNTIFS(
  AllTasks!$C:$C, $A13,
  AllTasks!$AO:$AO, "&lt;=1",
  AllTasks!$AO:$AO, "&gt;=0",
  AllTasks!$Q:$Q, "&gt;=" &amp; K$1,
  AllTasks!$Q:$Q, "&lt;=" &amp; K$2
)</f>
        <v>0</v>
      </c>
      <c r="L13" s="28">
        <f>COUNTIFS(
  AllTasks!$C:$C, $A13,
  AllTasks!$AO:$AO, "&lt;=1",
  AllTasks!$AO:$AO, "&gt;=0",
  AllTasks!$Q:$Q, "&gt;=" &amp; L$1,
  AllTasks!$Q:$Q, "&lt;=" &amp; L$2
)</f>
        <v>0</v>
      </c>
      <c r="M13" s="28">
        <f>COUNTIFS(
  AllTasks!$C:$C, $A13,
  AllTasks!$AO:$AO, "&lt;=1",
  AllTasks!$AO:$AO, "&gt;=0",
  AllTasks!$Q:$Q, "&gt;=" &amp; M$1,
  AllTasks!$Q:$Q, "&lt;=" &amp; M$2
)</f>
        <v>0</v>
      </c>
      <c r="N13" s="51">
        <f t="shared" si="1"/>
        <v>23</v>
      </c>
      <c r="O13" s="45"/>
      <c r="P13" s="45"/>
      <c r="Q13" s="94"/>
      <c r="S13" s="29" t="s">
        <v>595</v>
      </c>
      <c r="T13" s="29" t="s">
        <v>1114</v>
      </c>
      <c r="U13" s="29" t="s">
        <v>236</v>
      </c>
      <c r="V13" s="29" t="s">
        <v>198</v>
      </c>
      <c r="W13" s="29" t="s">
        <v>226</v>
      </c>
      <c r="X13" s="29" t="s">
        <v>1538</v>
      </c>
      <c r="Y13" s="30" t="s">
        <v>215</v>
      </c>
      <c r="Z13" s="30" t="s">
        <v>239</v>
      </c>
      <c r="AA13" s="30" t="s">
        <v>231</v>
      </c>
      <c r="AB13" s="30" t="s">
        <v>834</v>
      </c>
      <c r="AC13" s="30" t="s">
        <v>751</v>
      </c>
      <c r="AD13" s="30" t="s">
        <v>145</v>
      </c>
      <c r="AF13" s="94"/>
    </row>
    <row r="14" spans="1:32" x14ac:dyDescent="0.35">
      <c r="B14" s="23">
        <f>SUM(B6:B13)</f>
        <v>48</v>
      </c>
      <c r="C14" s="23">
        <f t="shared" ref="C14:M14" si="4">SUM(C6:C13)</f>
        <v>57</v>
      </c>
      <c r="D14" s="23">
        <f t="shared" si="4"/>
        <v>38</v>
      </c>
      <c r="E14" s="23">
        <f t="shared" si="4"/>
        <v>42</v>
      </c>
      <c r="F14" s="23">
        <f t="shared" si="4"/>
        <v>35</v>
      </c>
      <c r="G14" s="23">
        <f t="shared" si="4"/>
        <v>45</v>
      </c>
      <c r="H14" s="23">
        <f t="shared" si="4"/>
        <v>43</v>
      </c>
      <c r="I14" s="23">
        <f t="shared" si="4"/>
        <v>3</v>
      </c>
      <c r="J14" s="23">
        <f t="shared" si="4"/>
        <v>0</v>
      </c>
      <c r="K14" s="23">
        <f t="shared" si="4"/>
        <v>0</v>
      </c>
      <c r="L14" s="23">
        <f t="shared" si="4"/>
        <v>0</v>
      </c>
      <c r="M14" s="23">
        <f t="shared" si="4"/>
        <v>0</v>
      </c>
      <c r="N14" s="36">
        <f>SUM(N6:N13)</f>
        <v>311</v>
      </c>
      <c r="O14" s="45"/>
      <c r="P14" s="45"/>
      <c r="Q14" s="94"/>
      <c r="R14" s="8" t="s">
        <v>2031</v>
      </c>
      <c r="S14" s="31">
        <f>S8</f>
        <v>45</v>
      </c>
      <c r="T14" s="31">
        <f>S8+T8</f>
        <v>83</v>
      </c>
      <c r="U14" s="31">
        <f>S8+T8+U8</f>
        <v>121</v>
      </c>
      <c r="V14" s="31">
        <f>S8+T8+U8+V8</f>
        <v>158</v>
      </c>
      <c r="W14" s="31">
        <f>S8+T8+U8+V8+W8</f>
        <v>197</v>
      </c>
      <c r="X14" s="31">
        <f>S8+T8+U8+V8+W8+X8</f>
        <v>237</v>
      </c>
      <c r="Y14" s="31">
        <f>S8+T8+U8+V8+W8+X8+Y8</f>
        <v>270</v>
      </c>
      <c r="Z14" s="31">
        <f>S8+T8+U8+V8+W8+X8+Y8+Z8</f>
        <v>311</v>
      </c>
      <c r="AA14" s="31">
        <f>S8+T8+U8+V8+W8+X8+Y8+Z8+AA8</f>
        <v>353</v>
      </c>
      <c r="AB14" s="31">
        <f>S8+T8+U8+V8+W8+X8+Y8+Z8+AA8+AB8</f>
        <v>391</v>
      </c>
      <c r="AC14" s="31">
        <f>S8+T8+U8+V8+W8+X8+Y8+Z8+AA8+AB8+AC8</f>
        <v>430</v>
      </c>
      <c r="AD14" s="31">
        <f>S8+T8+U8+V8+W8+X8+Y8+Z8+AA8+AB8+AC8+AD8</f>
        <v>459</v>
      </c>
      <c r="AF14" s="94"/>
    </row>
    <row r="15" spans="1:32" x14ac:dyDescent="0.35">
      <c r="B15" s="23"/>
      <c r="C15" s="23"/>
      <c r="D15" s="23"/>
      <c r="E15" s="23"/>
      <c r="F15" s="23"/>
      <c r="G15" s="23"/>
      <c r="H15" s="23"/>
      <c r="I15" s="23"/>
      <c r="J15" s="24"/>
      <c r="K15" s="23"/>
      <c r="L15" s="23"/>
      <c r="M15" s="23"/>
      <c r="N15" s="23"/>
      <c r="O15" s="45"/>
      <c r="P15" s="45"/>
      <c r="Q15" s="94"/>
      <c r="R15" s="8" t="s">
        <v>2032</v>
      </c>
      <c r="S15" s="52">
        <f>IF(COUNTA(S9:S9)=0,"",SUM(S9:S9))</f>
        <v>48</v>
      </c>
      <c r="T15" s="52">
        <f>IF(COUNTA(S9:T9)=0,"",SUM(S9:T9))</f>
        <v>105</v>
      </c>
      <c r="U15" s="52">
        <f>IF(COUNTA(S9:U9)=0,"",SUM(S9:U9))</f>
        <v>143</v>
      </c>
      <c r="V15" s="52">
        <f>IF(COUNTA(S9:V9)=0,"",SUM(S9:V9))</f>
        <v>185</v>
      </c>
      <c r="W15" s="52">
        <f>IF(COUNTA(S9:W9)=0,"",SUM(S9:W9))</f>
        <v>220</v>
      </c>
      <c r="X15" s="52">
        <f>IF(COUNTA(S9:X9)=0,"",SUM(S9:X9))</f>
        <v>265</v>
      </c>
      <c r="Y15" s="52">
        <f>IF(COUNTA(S9:Y9)=0,"",SUM(S9:Y9))</f>
        <v>308</v>
      </c>
      <c r="Z15" s="52">
        <f>IF(COUNTA(S9:Z9)=0,"",SUM(S9:Z9))</f>
        <v>311</v>
      </c>
      <c r="AA15" s="52">
        <f>IF(COUNTA(S9:AA9)=0,"",SUM(S9:AA9))</f>
        <v>311</v>
      </c>
      <c r="AB15" s="52">
        <f>IF(COUNTA(S9:AB9)=0,"",SUM(S9:AB9))</f>
        <v>311</v>
      </c>
      <c r="AC15" s="52">
        <f>IF(COUNTA(S9:AC9)=0,"",SUM(S9:AC9))</f>
        <v>311</v>
      </c>
      <c r="AD15" s="52">
        <f>IF(COUNTA(S9:AD9)=0,"",SUM(S9:AD9))</f>
        <v>311</v>
      </c>
      <c r="AF15" s="94"/>
    </row>
    <row r="16" spans="1:32" x14ac:dyDescent="0.35">
      <c r="O16" s="45"/>
      <c r="P16" s="45"/>
      <c r="Q16" s="94"/>
      <c r="R16" s="8" t="s">
        <v>2036</v>
      </c>
      <c r="S16" s="53">
        <f>S15/AE8</f>
        <v>0.10457516339869281</v>
      </c>
      <c r="T16" s="53">
        <f>T15/AE8</f>
        <v>0.22875816993464052</v>
      </c>
      <c r="U16" s="53">
        <f>U15/AE8</f>
        <v>0.31154684095860569</v>
      </c>
      <c r="V16" s="53">
        <f>V15/AE8</f>
        <v>0.40305010893246185</v>
      </c>
      <c r="W16" s="53">
        <f>W15/AE8</f>
        <v>0.47930283224400871</v>
      </c>
      <c r="X16" s="53">
        <f>X15/AE8</f>
        <v>0.57734204793028321</v>
      </c>
      <c r="Y16" s="53">
        <f>Y15/AE8</f>
        <v>0.67102396514161222</v>
      </c>
      <c r="Z16" s="53">
        <f>Z15/AE8</f>
        <v>0.6775599128540305</v>
      </c>
      <c r="AA16" s="53">
        <f>AA15/AE8</f>
        <v>0.6775599128540305</v>
      </c>
      <c r="AB16" s="53">
        <f>AB15/AE8</f>
        <v>0.6775599128540305</v>
      </c>
      <c r="AC16" s="53">
        <f>AC15/AE8</f>
        <v>0.6775599128540305</v>
      </c>
      <c r="AD16" s="53">
        <f>AD15/AE8</f>
        <v>0.6775599128540305</v>
      </c>
      <c r="AF16" s="94"/>
    </row>
    <row r="17" spans="1:32" x14ac:dyDescent="0.35">
      <c r="B17" s="224" t="s">
        <v>2038</v>
      </c>
      <c r="C17" s="224"/>
      <c r="D17" s="224"/>
      <c r="E17" s="224"/>
      <c r="F17" s="224"/>
      <c r="G17" s="224"/>
      <c r="H17" s="224"/>
      <c r="I17" s="224"/>
      <c r="J17" s="224"/>
      <c r="K17" s="224"/>
      <c r="L17" s="224"/>
      <c r="M17" s="224"/>
      <c r="N17" s="224"/>
      <c r="O17" s="45"/>
      <c r="P17" s="45"/>
      <c r="Q17" s="94"/>
      <c r="R17" s="94"/>
      <c r="S17" s="94"/>
      <c r="T17" s="94"/>
      <c r="U17" s="94"/>
      <c r="V17" s="94"/>
      <c r="W17" s="94"/>
      <c r="X17" s="94"/>
      <c r="Y17" s="94"/>
      <c r="Z17" s="94"/>
      <c r="AA17" s="94"/>
      <c r="AB17" s="94"/>
      <c r="AC17" s="94"/>
      <c r="AD17" s="94"/>
      <c r="AE17" s="94"/>
      <c r="AF17" s="94"/>
    </row>
    <row r="18" spans="1:32" x14ac:dyDescent="0.35">
      <c r="A18" s="25" t="s">
        <v>2025</v>
      </c>
      <c r="B18" s="26" t="s">
        <v>595</v>
      </c>
      <c r="C18" s="26" t="s">
        <v>1114</v>
      </c>
      <c r="D18" s="26" t="s">
        <v>236</v>
      </c>
      <c r="E18" s="26" t="s">
        <v>198</v>
      </c>
      <c r="F18" s="26" t="s">
        <v>226</v>
      </c>
      <c r="G18" s="26" t="s">
        <v>1538</v>
      </c>
      <c r="H18" s="26" t="s">
        <v>2026</v>
      </c>
      <c r="I18" s="26" t="s">
        <v>239</v>
      </c>
      <c r="J18" s="26" t="s">
        <v>2027</v>
      </c>
      <c r="K18" s="26" t="s">
        <v>834</v>
      </c>
      <c r="L18" s="26" t="s">
        <v>751</v>
      </c>
      <c r="M18" s="26" t="s">
        <v>145</v>
      </c>
      <c r="N18" s="26" t="s">
        <v>2028</v>
      </c>
      <c r="O18" s="45"/>
      <c r="P18" s="45"/>
    </row>
    <row r="19" spans="1:32" x14ac:dyDescent="0.35">
      <c r="A19" s="27" t="s">
        <v>409</v>
      </c>
      <c r="B19" s="28">
        <f>SUMIFS(
  AllTasks!$AO:$AO,
  AllTasks!$C:$C, $A19,
  AllTasks!$Q:$Q, "&gt;=" &amp; B$1,
  AllTasks!$Q:$Q, "&lt;=" &amp; B$2
)</f>
        <v>0</v>
      </c>
      <c r="C19" s="28">
        <f>SUMIFS(
  AllTasks!$AO:$AO,
  AllTasks!$C:$C, $A19,
  AllTasks!$Q:$Q, "&gt;=" &amp; C$1,
  AllTasks!$Q:$Q, "&lt;=" &amp; C$2
)</f>
        <v>0</v>
      </c>
      <c r="D19" s="28">
        <f>SUMIFS(
  AllTasks!$AO:$AO,
  AllTasks!$C:$C, $A19,
  AllTasks!$Q:$Q, "&gt;=" &amp; D$1,
  AllTasks!$Q:$Q, "&lt;=" &amp; D$2
)</f>
        <v>1</v>
      </c>
      <c r="E19" s="28">
        <f>SUMIFS(
  AllTasks!$AO:$AO,
  AllTasks!$C:$C, $A19,
  AllTasks!$Q:$Q, "&gt;=" &amp; E$1,
  AllTasks!$Q:$Q, "&lt;=" &amp; E$2
)</f>
        <v>5</v>
      </c>
      <c r="F19" s="28">
        <f>SUMIFS(
  AllTasks!$AO:$AO,
  AllTasks!$C:$C, $A19,
  AllTasks!$Q:$Q, "&gt;=" &amp; F$1,
  AllTasks!$Q:$Q, "&lt;=" &amp; F$2
)</f>
        <v>1</v>
      </c>
      <c r="G19" s="28">
        <f>SUMIFS(
  AllTasks!$AO:$AO,
  AllTasks!$C:$C, $A19,
  AllTasks!$Q:$Q, "&gt;=" &amp; G$1,
  AllTasks!$Q:$Q, "&lt;=" &amp; G$2
)</f>
        <v>5</v>
      </c>
      <c r="H19" s="28">
        <f>SUMIFS(
  AllTasks!$AO:$AO,
  AllTasks!$C:$C, $A19,
  AllTasks!$Q:$Q, "&gt;=" &amp; H$1,
  AllTasks!$Q:$Q, "&lt;=" &amp; H$2
)</f>
        <v>6</v>
      </c>
      <c r="I19" s="28">
        <f>SUMIFS(
  AllTasks!$AO:$AO,
  AllTasks!$C:$C, $A19,
  AllTasks!$Q:$Q, "&gt;=" &amp; I$1,
  AllTasks!$Q:$Q, "&lt;=" &amp; I$2
)</f>
        <v>0</v>
      </c>
      <c r="J19" s="28">
        <f>SUMIFS(
  AllTasks!$AO:$AO,
  AllTasks!$C:$C, $A19,
  AllTasks!$Q:$Q, "&gt;=" &amp; J$1,
  AllTasks!$Q:$Q, "&lt;=" &amp; J$2
)</f>
        <v>0</v>
      </c>
      <c r="K19" s="28">
        <f>SUMIFS(
  AllTasks!$AO:$AO,
  AllTasks!$C:$C, $A19,
  AllTasks!$Q:$Q, "&gt;=" &amp; K$1,
  AllTasks!$Q:$Q, "&lt;=" &amp; K$2
)</f>
        <v>0</v>
      </c>
      <c r="L19" s="28">
        <f>SUMIFS(
  AllTasks!$AO:$AO,
  AllTasks!$C:$C, $A19,
  AllTasks!$Q:$Q, "&gt;=" &amp; L$1,
  AllTasks!$Q:$Q, "&lt;=" &amp; L$2
)</f>
        <v>0</v>
      </c>
      <c r="M19" s="28">
        <f>SUMIFS(
  AllTasks!$AO:$AO,
  AllTasks!$C:$C, $A19,
  AllTasks!$Q:$Q, "&gt;=" &amp; M$1,
  AllTasks!$Q:$Q, "&lt;=" &amp; M$2
)</f>
        <v>0</v>
      </c>
      <c r="N19" s="51">
        <f>SUM(B19:M19)</f>
        <v>18</v>
      </c>
      <c r="O19" s="45"/>
      <c r="P19" s="45"/>
    </row>
    <row r="20" spans="1:32" x14ac:dyDescent="0.35">
      <c r="A20" s="27" t="s">
        <v>98</v>
      </c>
      <c r="B20" s="28">
        <f>SUMIFS(
  AllTasks!$AO:$AO,
  AllTasks!$C:$C, $A20,
  AllTasks!$Q:$Q, "&gt;=" &amp; B$1,
  AllTasks!$Q:$Q, "&lt;=" &amp; B$2
)</f>
        <v>0</v>
      </c>
      <c r="C20" s="28">
        <f>SUMIFS(
  AllTasks!$AO:$AO,
  AllTasks!$C:$C, $A20,
  AllTasks!$Q:$Q, "&gt;=" &amp; C$1,
  AllTasks!$Q:$Q, "&lt;=" &amp; C$2
)</f>
        <v>0</v>
      </c>
      <c r="D20" s="28">
        <f>SUMIFS(
  AllTasks!$AO:$AO,
  AllTasks!$C:$C, $A20,
  AllTasks!$Q:$Q, "&gt;=" &amp; D$1,
  AllTasks!$Q:$Q, "&lt;=" &amp; D$2
)</f>
        <v>0</v>
      </c>
      <c r="E20" s="28">
        <f>SUMIFS(
  AllTasks!$AO:$AO,
  AllTasks!$C:$C, $A20,
  AllTasks!$Q:$Q, "&gt;=" &amp; E$1,
  AllTasks!$Q:$Q, "&lt;=" &amp; E$2
)</f>
        <v>0</v>
      </c>
      <c r="F20" s="28">
        <f>SUMIFS(
  AllTasks!$AO:$AO,
  AllTasks!$C:$C, $A20,
  AllTasks!$Q:$Q, "&gt;=" &amp; F$1,
  AllTasks!$Q:$Q, "&lt;=" &amp; F$2
)</f>
        <v>0</v>
      </c>
      <c r="G20" s="28">
        <f>SUMIFS(
  AllTasks!$AO:$AO,
  AllTasks!$C:$C, $A20,
  AllTasks!$Q:$Q, "&gt;=" &amp; G$1,
  AllTasks!$Q:$Q, "&lt;=" &amp; G$2
)</f>
        <v>1</v>
      </c>
      <c r="H20" s="28">
        <f>SUMIFS(
  AllTasks!$AO:$AO,
  AllTasks!$C:$C, $A20,
  AllTasks!$Q:$Q, "&gt;=" &amp; H$1,
  AllTasks!$Q:$Q, "&lt;=" &amp; H$2
)</f>
        <v>5</v>
      </c>
      <c r="I20" s="28">
        <f>SUMIFS(
  AllTasks!$AO:$AO,
  AllTasks!$C:$C, $A20,
  AllTasks!$Q:$Q, "&gt;=" &amp; I$1,
  AllTasks!$Q:$Q, "&lt;=" &amp; I$2
)</f>
        <v>0</v>
      </c>
      <c r="J20" s="28">
        <f>SUMIFS(
  AllTasks!$AO:$AO,
  AllTasks!$C:$C, $A20,
  AllTasks!$Q:$Q, "&gt;=" &amp; J$1,
  AllTasks!$Q:$Q, "&lt;=" &amp; J$2
)</f>
        <v>0</v>
      </c>
      <c r="K20" s="28">
        <f>SUMIFS(
  AllTasks!$AO:$AO,
  AllTasks!$C:$C, $A20,
  AllTasks!$Q:$Q, "&gt;=" &amp; K$1,
  AllTasks!$Q:$Q, "&lt;=" &amp; K$2
)</f>
        <v>0</v>
      </c>
      <c r="L20" s="28">
        <f>SUMIFS(
  AllTasks!$AO:$AO,
  AllTasks!$C:$C, $A20,
  AllTasks!$Q:$Q, "&gt;=" &amp; L$1,
  AllTasks!$Q:$Q, "&lt;=" &amp; L$2
)</f>
        <v>0</v>
      </c>
      <c r="M20" s="28">
        <f>SUMIFS(
  AllTasks!$AO:$AO,
  AllTasks!$C:$C, $A20,
  AllTasks!$Q:$Q, "&gt;=" &amp; M$1,
  AllTasks!$Q:$Q, "&lt;=" &amp; M$2
)</f>
        <v>0</v>
      </c>
      <c r="N20" s="51">
        <f t="shared" ref="N20:N26" si="5">SUM(B20:M20)</f>
        <v>6</v>
      </c>
      <c r="O20" s="45"/>
      <c r="P20" s="45"/>
    </row>
    <row r="21" spans="1:32" x14ac:dyDescent="0.35">
      <c r="A21" s="27" t="s">
        <v>461</v>
      </c>
      <c r="B21" s="28">
        <f>SUMIFS(
  AllTasks!$AO:$AO,
  AllTasks!$C:$C, $A21,
  AllTasks!$Q:$Q, "&gt;=" &amp; B$1,
  AllTasks!$Q:$Q, "&lt;=" &amp; B$2
)</f>
        <v>1</v>
      </c>
      <c r="C21" s="28">
        <f>SUMIFS(
  AllTasks!$AO:$AO,
  AllTasks!$C:$C, $A21,
  AllTasks!$Q:$Q, "&gt;=" &amp; C$1,
  AllTasks!$Q:$Q, "&lt;=" &amp; C$2
)</f>
        <v>0</v>
      </c>
      <c r="D21" s="28">
        <f>SUMIFS(
  AllTasks!$AO:$AO,
  AllTasks!$C:$C, $A21,
  AllTasks!$Q:$Q, "&gt;=" &amp; D$1,
  AllTasks!$Q:$Q, "&lt;=" &amp; D$2
)</f>
        <v>0</v>
      </c>
      <c r="E21" s="28">
        <f>SUMIFS(
  AllTasks!$AO:$AO,
  AllTasks!$C:$C, $A21,
  AllTasks!$Q:$Q, "&gt;=" &amp; E$1,
  AllTasks!$Q:$Q, "&lt;=" &amp; E$2
)</f>
        <v>0</v>
      </c>
      <c r="F21" s="28">
        <f>SUMIFS(
  AllTasks!$AO:$AO,
  AllTasks!$C:$C, $A21,
  AllTasks!$Q:$Q, "&gt;=" &amp; F$1,
  AllTasks!$Q:$Q, "&lt;=" &amp; F$2
)</f>
        <v>0</v>
      </c>
      <c r="G21" s="28">
        <f>SUMIFS(
  AllTasks!$AO:$AO,
  AllTasks!$C:$C, $A21,
  AllTasks!$Q:$Q, "&gt;=" &amp; G$1,
  AllTasks!$Q:$Q, "&lt;=" &amp; G$2
)</f>
        <v>0</v>
      </c>
      <c r="H21" s="28">
        <f>SUMIFS(
  AllTasks!$AO:$AO,
  AllTasks!$C:$C, $A21,
  AllTasks!$Q:$Q, "&gt;=" &amp; H$1,
  AllTasks!$Q:$Q, "&lt;=" &amp; H$2
)</f>
        <v>0</v>
      </c>
      <c r="I21" s="28">
        <f>SUMIFS(
  AllTasks!$AO:$AO,
  AllTasks!$C:$C, $A21,
  AllTasks!$Q:$Q, "&gt;=" &amp; I$1,
  AllTasks!$Q:$Q, "&lt;=" &amp; I$2
)</f>
        <v>0</v>
      </c>
      <c r="J21" s="28">
        <f>SUMIFS(
  AllTasks!$AO:$AO,
  AllTasks!$C:$C, $A21,
  AllTasks!$Q:$Q, "&gt;=" &amp; J$1,
  AllTasks!$Q:$Q, "&lt;=" &amp; J$2
)</f>
        <v>0</v>
      </c>
      <c r="K21" s="28">
        <f>SUMIFS(
  AllTasks!$AO:$AO,
  AllTasks!$C:$C, $A21,
  AllTasks!$Q:$Q, "&gt;=" &amp; K$1,
  AllTasks!$Q:$Q, "&lt;=" &amp; K$2
)</f>
        <v>0</v>
      </c>
      <c r="L21" s="28">
        <f>SUMIFS(
  AllTasks!$AO:$AO,
  AllTasks!$C:$C, $A21,
  AllTasks!$Q:$Q, "&gt;=" &amp; L$1,
  AllTasks!$Q:$Q, "&lt;=" &amp; L$2
)</f>
        <v>0</v>
      </c>
      <c r="M21" s="28">
        <f>SUMIFS(
  AllTasks!$AO:$AO,
  AllTasks!$C:$C, $A21,
  AllTasks!$Q:$Q, "&gt;=" &amp; M$1,
  AllTasks!$Q:$Q, "&lt;=" &amp; M$2
)</f>
        <v>0</v>
      </c>
      <c r="N21" s="51">
        <f t="shared" si="5"/>
        <v>1</v>
      </c>
      <c r="O21" s="45"/>
      <c r="P21" s="45"/>
    </row>
    <row r="22" spans="1:32" x14ac:dyDescent="0.35">
      <c r="A22" s="27" t="s">
        <v>54</v>
      </c>
      <c r="B22" s="28">
        <f>SUMIFS(
  AllTasks!$AO:$AO,
  AllTasks!$C:$C, $A22,
  AllTasks!$Q:$Q, "&gt;=" &amp; B$1,
  AllTasks!$Q:$Q, "&lt;=" &amp; B$2
)</f>
        <v>2</v>
      </c>
      <c r="C22" s="28">
        <f>SUMIFS(
  AllTasks!$AO:$AO,
  AllTasks!$C:$C, $A22,
  AllTasks!$Q:$Q, "&gt;=" &amp; C$1,
  AllTasks!$Q:$Q, "&lt;=" &amp; C$2
)</f>
        <v>5</v>
      </c>
      <c r="D22" s="28">
        <f>SUMIFS(
  AllTasks!$AO:$AO,
  AllTasks!$C:$C, $A22,
  AllTasks!$Q:$Q, "&gt;=" &amp; D$1,
  AllTasks!$Q:$Q, "&lt;=" &amp; D$2
)</f>
        <v>3</v>
      </c>
      <c r="E22" s="28">
        <f>SUMIFS(
  AllTasks!$AO:$AO,
  AllTasks!$C:$C, $A22,
  AllTasks!$Q:$Q, "&gt;=" &amp; E$1,
  AllTasks!$Q:$Q, "&lt;=" &amp; E$2
)</f>
        <v>6</v>
      </c>
      <c r="F22" s="28">
        <f>SUMIFS(
  AllTasks!$AO:$AO,
  AllTasks!$C:$C, $A22,
  AllTasks!$Q:$Q, "&gt;=" &amp; F$1,
  AllTasks!$Q:$Q, "&lt;=" &amp; F$2
)</f>
        <v>6</v>
      </c>
      <c r="G22" s="28">
        <f>SUMIFS(
  AllTasks!$AO:$AO,
  AllTasks!$C:$C, $A22,
  AllTasks!$Q:$Q, "&gt;=" &amp; G$1,
  AllTasks!$Q:$Q, "&lt;=" &amp; G$2
)</f>
        <v>7</v>
      </c>
      <c r="H22" s="28">
        <f>SUMIFS(
  AllTasks!$AO:$AO,
  AllTasks!$C:$C, $A22,
  AllTasks!$Q:$Q, "&gt;=" &amp; H$1,
  AllTasks!$Q:$Q, "&lt;=" &amp; H$2
)</f>
        <v>5</v>
      </c>
      <c r="I22" s="28">
        <f>SUMIFS(
  AllTasks!$AO:$AO,
  AllTasks!$C:$C, $A22,
  AllTasks!$Q:$Q, "&gt;=" &amp; I$1,
  AllTasks!$Q:$Q, "&lt;=" &amp; I$2
)</f>
        <v>0</v>
      </c>
      <c r="J22" s="28">
        <f>SUMIFS(
  AllTasks!$AO:$AO,
  AllTasks!$C:$C, $A22,
  AllTasks!$Q:$Q, "&gt;=" &amp; J$1,
  AllTasks!$Q:$Q, "&lt;=" &amp; J$2
)</f>
        <v>0</v>
      </c>
      <c r="K22" s="28">
        <f>SUMIFS(
  AllTasks!$AO:$AO,
  AllTasks!$C:$C, $A22,
  AllTasks!$Q:$Q, "&gt;=" &amp; K$1,
  AllTasks!$Q:$Q, "&lt;=" &amp; K$2
)</f>
        <v>0</v>
      </c>
      <c r="L22" s="28">
        <f>SUMIFS(
  AllTasks!$AO:$AO,
  AllTasks!$C:$C, $A22,
  AllTasks!$Q:$Q, "&gt;=" &amp; L$1,
  AllTasks!$Q:$Q, "&lt;=" &amp; L$2
)</f>
        <v>0</v>
      </c>
      <c r="M22" s="28">
        <f>SUMIFS(
  AllTasks!$AO:$AO,
  AllTasks!$C:$C, $A22,
  AllTasks!$Q:$Q, "&gt;=" &amp; M$1,
  AllTasks!$Q:$Q, "&lt;=" &amp; M$2
)</f>
        <v>0</v>
      </c>
      <c r="N22" s="51">
        <f t="shared" si="5"/>
        <v>34</v>
      </c>
      <c r="O22" s="45"/>
      <c r="P22" s="45"/>
    </row>
    <row r="23" spans="1:32" x14ac:dyDescent="0.35">
      <c r="A23" s="27" t="s">
        <v>36</v>
      </c>
      <c r="B23" s="28">
        <f>SUMIFS(
  AllTasks!$AO:$AO,
  AllTasks!$C:$C, $A23,
  AllTasks!$Q:$Q, "&gt;=" &amp; B$1,
  AllTasks!$Q:$Q, "&lt;=" &amp; B$2
)</f>
        <v>17</v>
      </c>
      <c r="C23" s="28">
        <f>SUMIFS(
  AllTasks!$AO:$AO,
  AllTasks!$C:$C, $A23,
  AllTasks!$Q:$Q, "&gt;=" &amp; C$1,
  AllTasks!$Q:$Q, "&lt;=" &amp; C$2
)</f>
        <v>20</v>
      </c>
      <c r="D23" s="28">
        <f>SUMIFS(
  AllTasks!$AO:$AO,
  AllTasks!$C:$C, $A23,
  AllTasks!$Q:$Q, "&gt;=" &amp; D$1,
  AllTasks!$Q:$Q, "&lt;=" &amp; D$2
)</f>
        <v>8</v>
      </c>
      <c r="E23" s="28">
        <f>SUMIFS(
  AllTasks!$AO:$AO,
  AllTasks!$C:$C, $A23,
  AllTasks!$Q:$Q, "&gt;=" &amp; E$1,
  AllTasks!$Q:$Q, "&lt;=" &amp; E$2
)</f>
        <v>11</v>
      </c>
      <c r="F23" s="28">
        <f>SUMIFS(
  AllTasks!$AO:$AO,
  AllTasks!$C:$C, $A23,
  AllTasks!$Q:$Q, "&gt;=" &amp; F$1,
  AllTasks!$Q:$Q, "&lt;=" &amp; F$2
)</f>
        <v>11</v>
      </c>
      <c r="G23" s="28">
        <f>SUMIFS(
  AllTasks!$AO:$AO,
  AllTasks!$C:$C, $A23,
  AllTasks!$Q:$Q, "&gt;=" &amp; G$1,
  AllTasks!$Q:$Q, "&lt;=" &amp; G$2
)</f>
        <v>5</v>
      </c>
      <c r="H23" s="28">
        <f>SUMIFS(
  AllTasks!$AO:$AO,
  AllTasks!$C:$C, $A23,
  AllTasks!$Q:$Q, "&gt;=" &amp; H$1,
  AllTasks!$Q:$Q, "&lt;=" &amp; H$2
)</f>
        <v>5</v>
      </c>
      <c r="I23" s="28">
        <f>SUMIFS(
  AllTasks!$AO:$AO,
  AllTasks!$C:$C, $A23,
  AllTasks!$Q:$Q, "&gt;=" &amp; I$1,
  AllTasks!$Q:$Q, "&lt;=" &amp; I$2
)</f>
        <v>1</v>
      </c>
      <c r="J23" s="28">
        <f>SUMIFS(
  AllTasks!$AO:$AO,
  AllTasks!$C:$C, $A23,
  AllTasks!$Q:$Q, "&gt;=" &amp; J$1,
  AllTasks!$Q:$Q, "&lt;=" &amp; J$2
)</f>
        <v>0</v>
      </c>
      <c r="K23" s="28">
        <f>SUMIFS(
  AllTasks!$AO:$AO,
  AllTasks!$C:$C, $A23,
  AllTasks!$Q:$Q, "&gt;=" &amp; K$1,
  AllTasks!$Q:$Q, "&lt;=" &amp; K$2
)</f>
        <v>0</v>
      </c>
      <c r="L23" s="28">
        <f>SUMIFS(
  AllTasks!$AO:$AO,
  AllTasks!$C:$C, $A23,
  AllTasks!$Q:$Q, "&gt;=" &amp; L$1,
  AllTasks!$Q:$Q, "&lt;=" &amp; L$2
)</f>
        <v>0</v>
      </c>
      <c r="M23" s="28">
        <f>SUMIFS(
  AllTasks!$AO:$AO,
  AllTasks!$C:$C, $A23,
  AllTasks!$Q:$Q, "&gt;=" &amp; M$1,
  AllTasks!$Q:$Q, "&lt;=" &amp; M$2
)</f>
        <v>0</v>
      </c>
      <c r="N23" s="51">
        <f t="shared" si="5"/>
        <v>78</v>
      </c>
      <c r="O23" s="45"/>
      <c r="P23" s="45"/>
    </row>
    <row r="24" spans="1:32" x14ac:dyDescent="0.35">
      <c r="A24" s="27" t="s">
        <v>76</v>
      </c>
      <c r="B24" s="28">
        <f>SUMIFS(
  AllTasks!$AO:$AO,
  AllTasks!$C:$C, $A24,
  AllTasks!$Q:$Q, "&gt;=" &amp; B$1,
  AllTasks!$Q:$Q, "&lt;=" &amp; B$2
)</f>
        <v>9</v>
      </c>
      <c r="C24" s="28">
        <f>SUMIFS(
  AllTasks!$AO:$AO,
  AllTasks!$C:$C, $A24,
  AllTasks!$Q:$Q, "&gt;=" &amp; C$1,
  AllTasks!$Q:$Q, "&lt;=" &amp; C$2
)</f>
        <v>15</v>
      </c>
      <c r="D24" s="28">
        <f>SUMIFS(
  AllTasks!$AO:$AO,
  AllTasks!$C:$C, $A24,
  AllTasks!$Q:$Q, "&gt;=" &amp; D$1,
  AllTasks!$Q:$Q, "&lt;=" &amp; D$2
)</f>
        <v>9</v>
      </c>
      <c r="E24" s="28">
        <f>SUMIFS(
  AllTasks!$AO:$AO,
  AllTasks!$C:$C, $A24,
  AllTasks!$Q:$Q, "&gt;=" &amp; E$1,
  AllTasks!$Q:$Q, "&lt;=" &amp; E$2
)</f>
        <v>0</v>
      </c>
      <c r="F24" s="28">
        <f>SUMIFS(
  AllTasks!$AO:$AO,
  AllTasks!$C:$C, $A24,
  AllTasks!$Q:$Q, "&gt;=" &amp; F$1,
  AllTasks!$Q:$Q, "&lt;=" &amp; F$2
)</f>
        <v>0</v>
      </c>
      <c r="G24" s="28">
        <f>SUMIFS(
  AllTasks!$AO:$AO,
  AllTasks!$C:$C, $A24,
  AllTasks!$Q:$Q, "&gt;=" &amp; G$1,
  AllTasks!$Q:$Q, "&lt;=" &amp; G$2
)</f>
        <v>0</v>
      </c>
      <c r="H24" s="28">
        <f>SUMIFS(
  AllTasks!$AO:$AO,
  AllTasks!$C:$C, $A24,
  AllTasks!$Q:$Q, "&gt;=" &amp; H$1,
  AllTasks!$Q:$Q, "&lt;=" &amp; H$2
)</f>
        <v>4</v>
      </c>
      <c r="I24" s="28">
        <f>SUMIFS(
  AllTasks!$AO:$AO,
  AllTasks!$C:$C, $A24,
  AllTasks!$Q:$Q, "&gt;=" &amp; I$1,
  AllTasks!$Q:$Q, "&lt;=" &amp; I$2
)</f>
        <v>1</v>
      </c>
      <c r="J24" s="28">
        <f>SUMIFS(
  AllTasks!$AO:$AO,
  AllTasks!$C:$C, $A24,
  AllTasks!$Q:$Q, "&gt;=" &amp; J$1,
  AllTasks!$Q:$Q, "&lt;=" &amp; J$2
)</f>
        <v>0</v>
      </c>
      <c r="K24" s="28">
        <f>SUMIFS(
  AllTasks!$AO:$AO,
  AllTasks!$C:$C, $A24,
  AllTasks!$Q:$Q, "&gt;=" &amp; K$1,
  AllTasks!$Q:$Q, "&lt;=" &amp; K$2
)</f>
        <v>0</v>
      </c>
      <c r="L24" s="28">
        <f>SUMIFS(
  AllTasks!$AO:$AO,
  AllTasks!$C:$C, $A24,
  AllTasks!$Q:$Q, "&gt;=" &amp; L$1,
  AllTasks!$Q:$Q, "&lt;=" &amp; L$2
)</f>
        <v>0</v>
      </c>
      <c r="M24" s="28">
        <f>SUMIFS(
  AllTasks!$AO:$AO,
  AllTasks!$C:$C, $A24,
  AllTasks!$Q:$Q, "&gt;=" &amp; M$1,
  AllTasks!$Q:$Q, "&lt;=" &amp; M$2
)</f>
        <v>0</v>
      </c>
      <c r="N24" s="51">
        <f t="shared" si="5"/>
        <v>38</v>
      </c>
      <c r="O24" s="45"/>
      <c r="P24" s="45"/>
    </row>
    <row r="25" spans="1:32" x14ac:dyDescent="0.35">
      <c r="A25" s="27" t="s">
        <v>25</v>
      </c>
      <c r="B25" s="28">
        <f>SUMIFS(
  AllTasks!$AO:$AO,
  AllTasks!$C:$C, $A25,
  AllTasks!$Q:$Q, "&gt;=" &amp; B$1,
  AllTasks!$Q:$Q, "&lt;=" &amp; B$2
)</f>
        <v>0</v>
      </c>
      <c r="C25" s="28">
        <f>SUMIFS(
  AllTasks!$AO:$AO,
  AllTasks!$C:$C, $A25,
  AllTasks!$Q:$Q, "&gt;=" &amp; C$1,
  AllTasks!$Q:$Q, "&lt;=" &amp; C$2
)</f>
        <v>0</v>
      </c>
      <c r="D25" s="28">
        <f>SUMIFS(
  AllTasks!$AO:$AO,
  AllTasks!$C:$C, $A25,
  AllTasks!$Q:$Q, "&gt;=" &amp; D$1,
  AllTasks!$Q:$Q, "&lt;=" &amp; D$2
)</f>
        <v>0</v>
      </c>
      <c r="E25" s="28">
        <f>SUMIFS(
  AllTasks!$AO:$AO,
  AllTasks!$C:$C, $A25,
  AllTasks!$Q:$Q, "&gt;=" &amp; E$1,
  AllTasks!$Q:$Q, "&lt;=" &amp; E$2
)</f>
        <v>0</v>
      </c>
      <c r="F25" s="28">
        <f>SUMIFS(
  AllTasks!$AO:$AO,
  AllTasks!$C:$C, $A25,
  AllTasks!$Q:$Q, "&gt;=" &amp; F$1,
  AllTasks!$Q:$Q, "&lt;=" &amp; F$2
)</f>
        <v>0</v>
      </c>
      <c r="G25" s="28">
        <f>SUMIFS(
  AllTasks!$AO:$AO,
  AllTasks!$C:$C, $A25,
  AllTasks!$Q:$Q, "&gt;=" &amp; G$1,
  AllTasks!$Q:$Q, "&lt;=" &amp; G$2
)</f>
        <v>0</v>
      </c>
      <c r="H25" s="28">
        <f>SUMIFS(
  AllTasks!$AO:$AO,
  AllTasks!$C:$C, $A25,
  AllTasks!$Q:$Q, "&gt;=" &amp; H$1,
  AllTasks!$Q:$Q, "&lt;=" &amp; H$2
)</f>
        <v>1</v>
      </c>
      <c r="I25" s="28">
        <f>SUMIFS(
  AllTasks!$AO:$AO,
  AllTasks!$C:$C, $A25,
  AllTasks!$Q:$Q, "&gt;=" &amp; I$1,
  AllTasks!$Q:$Q, "&lt;=" &amp; I$2
)</f>
        <v>0</v>
      </c>
      <c r="J25" s="28">
        <f>SUMIFS(
  AllTasks!$AO:$AO,
  AllTasks!$C:$C, $A25,
  AllTasks!$Q:$Q, "&gt;=" &amp; J$1,
  AllTasks!$Q:$Q, "&lt;=" &amp; J$2
)</f>
        <v>0</v>
      </c>
      <c r="K25" s="28">
        <f>SUMIFS(
  AllTasks!$AO:$AO,
  AllTasks!$C:$C, $A25,
  AllTasks!$Q:$Q, "&gt;=" &amp; K$1,
  AllTasks!$Q:$Q, "&lt;=" &amp; K$2
)</f>
        <v>0</v>
      </c>
      <c r="L25" s="28">
        <f>SUMIFS(
  AllTasks!$AO:$AO,
  AllTasks!$C:$C, $A25,
  AllTasks!$Q:$Q, "&gt;=" &amp; L$1,
  AllTasks!$Q:$Q, "&lt;=" &amp; L$2
)</f>
        <v>0</v>
      </c>
      <c r="M25" s="28">
        <f>SUMIFS(
  AllTasks!$AO:$AO,
  AllTasks!$C:$C, $A25,
  AllTasks!$Q:$Q, "&gt;=" &amp; M$1,
  AllTasks!$Q:$Q, "&lt;=" &amp; M$2
)</f>
        <v>0</v>
      </c>
      <c r="N25" s="51">
        <f t="shared" si="5"/>
        <v>1</v>
      </c>
      <c r="O25" s="45"/>
      <c r="P25" s="45"/>
    </row>
    <row r="26" spans="1:32" x14ac:dyDescent="0.35">
      <c r="A26" s="27" t="s">
        <v>135</v>
      </c>
      <c r="B26" s="28">
        <f>SUMIFS(
  AllTasks!$AO:$AO,
  AllTasks!$C:$C, $A26,
  AllTasks!$Q:$Q, "&gt;=" &amp; B$1,
  AllTasks!$Q:$Q, "&lt;=" &amp; B$2
)</f>
        <v>1</v>
      </c>
      <c r="C26" s="28">
        <f>SUMIFS(
  AllTasks!$AO:$AO,
  AllTasks!$C:$C, $A26,
  AllTasks!$Q:$Q, "&gt;=" &amp; C$1,
  AllTasks!$Q:$Q, "&lt;=" &amp; C$2
)</f>
        <v>2</v>
      </c>
      <c r="D26" s="28">
        <f>SUMIFS(
  AllTasks!$AO:$AO,
  AllTasks!$C:$C, $A26,
  AllTasks!$Q:$Q, "&gt;=" &amp; D$1,
  AllTasks!$Q:$Q, "&lt;=" &amp; D$2
)</f>
        <v>1</v>
      </c>
      <c r="E26" s="28">
        <f>SUMIFS(
  AllTasks!$AO:$AO,
  AllTasks!$C:$C, $A26,
  AllTasks!$Q:$Q, "&gt;=" &amp; E$1,
  AllTasks!$Q:$Q, "&lt;=" &amp; E$2
)</f>
        <v>2</v>
      </c>
      <c r="F26" s="28">
        <f>SUMIFS(
  AllTasks!$AO:$AO,
  AllTasks!$C:$C, $A26,
  AllTasks!$Q:$Q, "&gt;=" &amp; F$1,
  AllTasks!$Q:$Q, "&lt;=" &amp; F$2
)</f>
        <v>0</v>
      </c>
      <c r="G26" s="28">
        <f>SUMIFS(
  AllTasks!$AO:$AO,
  AllTasks!$C:$C, $A26,
  AllTasks!$Q:$Q, "&gt;=" &amp; G$1,
  AllTasks!$Q:$Q, "&lt;=" &amp; G$2
)</f>
        <v>3</v>
      </c>
      <c r="H26" s="28">
        <f>SUMIFS(
  AllTasks!$AO:$AO,
  AllTasks!$C:$C, $A26,
  AllTasks!$Q:$Q, "&gt;=" &amp; H$1,
  AllTasks!$Q:$Q, "&lt;=" &amp; H$2
)</f>
        <v>1</v>
      </c>
      <c r="I26" s="28">
        <f>SUMIFS(
  AllTasks!$AO:$AO,
  AllTasks!$C:$C, $A26,
  AllTasks!$Q:$Q, "&gt;=" &amp; I$1,
  AllTasks!$Q:$Q, "&lt;=" &amp; I$2
)</f>
        <v>0</v>
      </c>
      <c r="J26" s="28">
        <f>SUMIFS(
  AllTasks!$AO:$AO,
  AllTasks!$C:$C, $A26,
  AllTasks!$Q:$Q, "&gt;=" &amp; J$1,
  AllTasks!$Q:$Q, "&lt;=" &amp; J$2
)</f>
        <v>0</v>
      </c>
      <c r="K26" s="28">
        <f>SUMIFS(
  AllTasks!$AO:$AO,
  AllTasks!$C:$C, $A26,
  AllTasks!$Q:$Q, "&gt;=" &amp; K$1,
  AllTasks!$Q:$Q, "&lt;=" &amp; K$2
)</f>
        <v>0</v>
      </c>
      <c r="L26" s="28">
        <f>SUMIFS(
  AllTasks!$AO:$AO,
  AllTasks!$C:$C, $A26,
  AllTasks!$Q:$Q, "&gt;=" &amp; L$1,
  AllTasks!$Q:$Q, "&lt;=" &amp; L$2
)</f>
        <v>0</v>
      </c>
      <c r="M26" s="28">
        <f>SUMIFS(
  AllTasks!$AO:$AO,
  AllTasks!$C:$C, $A26,
  AllTasks!$Q:$Q, "&gt;=" &amp; M$1,
  AllTasks!$Q:$Q, "&lt;=" &amp; M$2
)</f>
        <v>0</v>
      </c>
      <c r="N26" s="51">
        <f t="shared" si="5"/>
        <v>10</v>
      </c>
      <c r="O26" s="45"/>
      <c r="P26" s="45"/>
    </row>
    <row r="27" spans="1:32" x14ac:dyDescent="0.35">
      <c r="B27" s="23"/>
      <c r="C27" s="23"/>
      <c r="D27" s="23"/>
      <c r="E27" s="23"/>
      <c r="F27" s="23"/>
      <c r="G27" s="23"/>
      <c r="H27" s="23"/>
      <c r="I27" s="23"/>
      <c r="J27" s="24"/>
      <c r="K27" s="23"/>
      <c r="L27" s="23"/>
      <c r="M27" s="23"/>
      <c r="N27" s="36">
        <f>SUM(N19:N26)</f>
        <v>186</v>
      </c>
      <c r="O27" s="46"/>
      <c r="P27" s="46"/>
    </row>
    <row r="28" spans="1:32" x14ac:dyDescent="0.35">
      <c r="A28" s="42"/>
      <c r="B28" s="43"/>
      <c r="C28" s="43"/>
      <c r="D28" s="43"/>
      <c r="E28" s="43"/>
      <c r="F28" s="43"/>
      <c r="G28" s="43"/>
      <c r="H28" s="43"/>
      <c r="I28" s="43"/>
      <c r="J28" s="44"/>
      <c r="K28" s="43"/>
      <c r="L28" s="43"/>
      <c r="M28" s="43"/>
      <c r="N28" s="43"/>
      <c r="O28" s="46"/>
      <c r="P28" s="46"/>
    </row>
    <row r="29" spans="1:32" x14ac:dyDescent="0.35">
      <c r="B29" s="230" t="s">
        <v>2035</v>
      </c>
      <c r="C29" s="226"/>
      <c r="D29" s="226"/>
      <c r="E29" s="226"/>
      <c r="F29" s="226"/>
      <c r="G29" s="226"/>
      <c r="H29" s="226"/>
      <c r="I29" s="226"/>
      <c r="J29" s="226"/>
      <c r="K29" s="226"/>
      <c r="L29" s="226"/>
      <c r="M29" s="226"/>
      <c r="N29" s="227"/>
      <c r="O29" s="47"/>
      <c r="P29" s="46"/>
    </row>
    <row r="30" spans="1:32" x14ac:dyDescent="0.35">
      <c r="A30" s="25" t="s">
        <v>2025</v>
      </c>
      <c r="B30" s="26" t="s">
        <v>595</v>
      </c>
      <c r="C30" s="26" t="s">
        <v>1114</v>
      </c>
      <c r="D30" s="26" t="s">
        <v>236</v>
      </c>
      <c r="E30" s="26" t="s">
        <v>198</v>
      </c>
      <c r="F30" s="26" t="s">
        <v>226</v>
      </c>
      <c r="G30" s="26" t="s">
        <v>1538</v>
      </c>
      <c r="H30" s="26" t="s">
        <v>2026</v>
      </c>
      <c r="I30" s="26" t="s">
        <v>239</v>
      </c>
      <c r="J30" s="26" t="s">
        <v>2027</v>
      </c>
      <c r="K30" s="26" t="s">
        <v>834</v>
      </c>
      <c r="L30" s="26" t="s">
        <v>751</v>
      </c>
      <c r="M30" s="26" t="s">
        <v>145</v>
      </c>
      <c r="N30" s="26" t="s">
        <v>2037</v>
      </c>
      <c r="O30" s="46"/>
      <c r="P30" s="48"/>
    </row>
    <row r="31" spans="1:32" x14ac:dyDescent="0.35">
      <c r="A31" s="27" t="s">
        <v>409</v>
      </c>
      <c r="B31" s="37" t="str">
        <f>IF(B6=0, "", B19/B6)</f>
        <v/>
      </c>
      <c r="C31" s="37" t="str">
        <f t="shared" ref="C31:M31" si="6">IF(C6=0, "", C19/C6)</f>
        <v/>
      </c>
      <c r="D31" s="37">
        <f t="shared" si="6"/>
        <v>1</v>
      </c>
      <c r="E31" s="37">
        <f t="shared" si="6"/>
        <v>0.55555555555555558</v>
      </c>
      <c r="F31" s="37">
        <f t="shared" si="6"/>
        <v>0.5</v>
      </c>
      <c r="G31" s="37">
        <f t="shared" si="6"/>
        <v>0.41666666666666669</v>
      </c>
      <c r="H31" s="37">
        <f t="shared" si="6"/>
        <v>0.66666666666666663</v>
      </c>
      <c r="I31" s="37" t="str">
        <f t="shared" si="6"/>
        <v/>
      </c>
      <c r="J31" s="37" t="str">
        <f t="shared" si="6"/>
        <v/>
      </c>
      <c r="K31" s="37" t="str">
        <f t="shared" si="6"/>
        <v/>
      </c>
      <c r="L31" s="37" t="str">
        <f t="shared" si="6"/>
        <v/>
      </c>
      <c r="M31" s="37" t="str">
        <f t="shared" si="6"/>
        <v/>
      </c>
      <c r="N31" s="38">
        <f>IF(COUNTA(B31:M31)=0,"",AVERAGE(B31:M31))</f>
        <v>0.62777777777777766</v>
      </c>
      <c r="O31" s="46"/>
      <c r="P31" s="48"/>
    </row>
    <row r="32" spans="1:32" x14ac:dyDescent="0.35">
      <c r="A32" s="27" t="s">
        <v>98</v>
      </c>
      <c r="B32" s="37" t="str">
        <f t="shared" ref="B32:M32" si="7">IF(B7=0, "", B20/B7)</f>
        <v/>
      </c>
      <c r="C32" s="37" t="str">
        <f t="shared" si="7"/>
        <v/>
      </c>
      <c r="D32" s="37" t="str">
        <f t="shared" si="7"/>
        <v/>
      </c>
      <c r="E32" s="37" t="str">
        <f t="shared" si="7"/>
        <v/>
      </c>
      <c r="F32" s="37" t="str">
        <f t="shared" si="7"/>
        <v/>
      </c>
      <c r="G32" s="37">
        <f t="shared" si="7"/>
        <v>1</v>
      </c>
      <c r="H32" s="37">
        <f t="shared" si="7"/>
        <v>1</v>
      </c>
      <c r="I32" s="37" t="str">
        <f t="shared" si="7"/>
        <v/>
      </c>
      <c r="J32" s="37" t="str">
        <f t="shared" si="7"/>
        <v/>
      </c>
      <c r="K32" s="37" t="str">
        <f t="shared" si="7"/>
        <v/>
      </c>
      <c r="L32" s="37" t="str">
        <f t="shared" si="7"/>
        <v/>
      </c>
      <c r="M32" s="37" t="str">
        <f t="shared" si="7"/>
        <v/>
      </c>
      <c r="N32" s="38">
        <f t="shared" ref="N32:N38" si="8">IF(COUNTA(B32:M32)=0,"",AVERAGE(B32:M32))</f>
        <v>1</v>
      </c>
      <c r="O32" s="46"/>
      <c r="P32" s="48"/>
    </row>
    <row r="33" spans="1:16" x14ac:dyDescent="0.35">
      <c r="A33" s="27" t="s">
        <v>461</v>
      </c>
      <c r="B33" s="37">
        <f t="shared" ref="B33:M33" si="9">IF(B8=0, "", B21/B8)</f>
        <v>1</v>
      </c>
      <c r="C33" s="37" t="str">
        <f t="shared" si="9"/>
        <v/>
      </c>
      <c r="D33" s="37" t="str">
        <f t="shared" si="9"/>
        <v/>
      </c>
      <c r="E33" s="37" t="str">
        <f t="shared" si="9"/>
        <v/>
      </c>
      <c r="F33" s="37" t="str">
        <f t="shared" si="9"/>
        <v/>
      </c>
      <c r="G33" s="37" t="str">
        <f t="shared" si="9"/>
        <v/>
      </c>
      <c r="H33" s="37" t="str">
        <f t="shared" si="9"/>
        <v/>
      </c>
      <c r="I33" s="37" t="str">
        <f t="shared" si="9"/>
        <v/>
      </c>
      <c r="J33" s="37" t="str">
        <f t="shared" si="9"/>
        <v/>
      </c>
      <c r="K33" s="37" t="str">
        <f t="shared" si="9"/>
        <v/>
      </c>
      <c r="L33" s="37" t="str">
        <f t="shared" si="9"/>
        <v/>
      </c>
      <c r="M33" s="37" t="str">
        <f t="shared" si="9"/>
        <v/>
      </c>
      <c r="N33" s="38">
        <f t="shared" si="8"/>
        <v>1</v>
      </c>
      <c r="O33" s="46"/>
      <c r="P33" s="48"/>
    </row>
    <row r="34" spans="1:16" x14ac:dyDescent="0.35">
      <c r="A34" s="27" t="s">
        <v>54</v>
      </c>
      <c r="B34" s="37">
        <f t="shared" ref="B34:M34" si="10">IF(B9=0, "", B22/B9)</f>
        <v>0.2857142857142857</v>
      </c>
      <c r="C34" s="37">
        <f t="shared" si="10"/>
        <v>0.83333333333333337</v>
      </c>
      <c r="D34" s="37">
        <f t="shared" si="10"/>
        <v>0.33333333333333331</v>
      </c>
      <c r="E34" s="37">
        <f t="shared" si="10"/>
        <v>1</v>
      </c>
      <c r="F34" s="37">
        <f t="shared" si="10"/>
        <v>0.54545454545454541</v>
      </c>
      <c r="G34" s="37">
        <f t="shared" si="10"/>
        <v>0.875</v>
      </c>
      <c r="H34" s="37">
        <f t="shared" si="10"/>
        <v>0.55555555555555558</v>
      </c>
      <c r="I34" s="37" t="str">
        <f t="shared" si="10"/>
        <v/>
      </c>
      <c r="J34" s="37" t="str">
        <f t="shared" si="10"/>
        <v/>
      </c>
      <c r="K34" s="37" t="str">
        <f t="shared" si="10"/>
        <v/>
      </c>
      <c r="L34" s="37" t="str">
        <f t="shared" si="10"/>
        <v/>
      </c>
      <c r="M34" s="37" t="str">
        <f t="shared" si="10"/>
        <v/>
      </c>
      <c r="N34" s="38">
        <f t="shared" si="8"/>
        <v>0.63262729334157908</v>
      </c>
      <c r="O34" s="46"/>
      <c r="P34" s="48"/>
    </row>
    <row r="35" spans="1:16" x14ac:dyDescent="0.35">
      <c r="A35" s="27" t="s">
        <v>36</v>
      </c>
      <c r="B35" s="37">
        <f t="shared" ref="B35:M35" si="11">IF(B10=0, "", B23/B10)</f>
        <v>0.68</v>
      </c>
      <c r="C35" s="37">
        <f t="shared" si="11"/>
        <v>0.64516129032258063</v>
      </c>
      <c r="D35" s="37">
        <f t="shared" si="11"/>
        <v>0.53333333333333333</v>
      </c>
      <c r="E35" s="37">
        <f t="shared" si="11"/>
        <v>0.5</v>
      </c>
      <c r="F35" s="37">
        <f t="shared" si="11"/>
        <v>0.55000000000000004</v>
      </c>
      <c r="G35" s="37">
        <f t="shared" si="11"/>
        <v>0.25</v>
      </c>
      <c r="H35" s="37">
        <f t="shared" si="11"/>
        <v>0.41666666666666669</v>
      </c>
      <c r="I35" s="37">
        <f t="shared" si="11"/>
        <v>0.5</v>
      </c>
      <c r="J35" s="37" t="str">
        <f t="shared" si="11"/>
        <v/>
      </c>
      <c r="K35" s="37" t="str">
        <f t="shared" si="11"/>
        <v/>
      </c>
      <c r="L35" s="37" t="str">
        <f t="shared" si="11"/>
        <v/>
      </c>
      <c r="M35" s="37" t="str">
        <f t="shared" si="11"/>
        <v/>
      </c>
      <c r="N35" s="38">
        <f t="shared" si="8"/>
        <v>0.50939516129032247</v>
      </c>
      <c r="O35" s="45"/>
      <c r="P35" s="49"/>
    </row>
    <row r="36" spans="1:16" x14ac:dyDescent="0.35">
      <c r="A36" s="27" t="s">
        <v>76</v>
      </c>
      <c r="B36" s="37">
        <f t="shared" ref="B36:M36" si="12">IF(B11=0, "", B24/B11)</f>
        <v>0.75</v>
      </c>
      <c r="C36" s="37">
        <f t="shared" si="12"/>
        <v>1</v>
      </c>
      <c r="D36" s="37">
        <f t="shared" si="12"/>
        <v>0.81818181818181823</v>
      </c>
      <c r="E36" s="37" t="str">
        <f t="shared" si="12"/>
        <v/>
      </c>
      <c r="F36" s="37" t="str">
        <f t="shared" si="12"/>
        <v/>
      </c>
      <c r="G36" s="37" t="str">
        <f t="shared" si="12"/>
        <v/>
      </c>
      <c r="H36" s="37">
        <f t="shared" si="12"/>
        <v>1</v>
      </c>
      <c r="I36" s="37">
        <f t="shared" si="12"/>
        <v>1</v>
      </c>
      <c r="J36" s="37" t="str">
        <f t="shared" si="12"/>
        <v/>
      </c>
      <c r="K36" s="37" t="str">
        <f t="shared" si="12"/>
        <v/>
      </c>
      <c r="L36" s="37" t="str">
        <f t="shared" si="12"/>
        <v/>
      </c>
      <c r="M36" s="37" t="str">
        <f t="shared" si="12"/>
        <v/>
      </c>
      <c r="N36" s="38">
        <f t="shared" si="8"/>
        <v>0.91363636363636369</v>
      </c>
      <c r="O36" s="45"/>
      <c r="P36" s="49"/>
    </row>
    <row r="37" spans="1:16" x14ac:dyDescent="0.35">
      <c r="A37" s="27" t="s">
        <v>25</v>
      </c>
      <c r="B37" s="37" t="str">
        <f t="shared" ref="B37:M37" si="13">IF(B12=0, "", B25/B12)</f>
        <v/>
      </c>
      <c r="C37" s="37" t="str">
        <f t="shared" si="13"/>
        <v/>
      </c>
      <c r="D37" s="37" t="str">
        <f t="shared" si="13"/>
        <v/>
      </c>
      <c r="E37" s="37" t="str">
        <f t="shared" si="13"/>
        <v/>
      </c>
      <c r="F37" s="37" t="str">
        <f t="shared" si="13"/>
        <v/>
      </c>
      <c r="G37" s="37" t="str">
        <f t="shared" si="13"/>
        <v/>
      </c>
      <c r="H37" s="37">
        <f t="shared" si="13"/>
        <v>0.5</v>
      </c>
      <c r="I37" s="37" t="str">
        <f t="shared" si="13"/>
        <v/>
      </c>
      <c r="J37" s="37" t="str">
        <f t="shared" si="13"/>
        <v/>
      </c>
      <c r="K37" s="37" t="str">
        <f t="shared" si="13"/>
        <v/>
      </c>
      <c r="L37" s="37" t="str">
        <f t="shared" si="13"/>
        <v/>
      </c>
      <c r="M37" s="37" t="str">
        <f t="shared" si="13"/>
        <v/>
      </c>
      <c r="N37" s="38">
        <f t="shared" si="8"/>
        <v>0.5</v>
      </c>
      <c r="O37" s="45"/>
      <c r="P37" s="49"/>
    </row>
    <row r="38" spans="1:16" x14ac:dyDescent="0.35">
      <c r="A38" s="27" t="s">
        <v>135</v>
      </c>
      <c r="B38" s="37">
        <f t="shared" ref="B38:M38" si="14">IF(B13=0, "", B26/B13)</f>
        <v>0.33333333333333331</v>
      </c>
      <c r="C38" s="37">
        <f t="shared" si="14"/>
        <v>0.4</v>
      </c>
      <c r="D38" s="37">
        <f t="shared" si="14"/>
        <v>0.5</v>
      </c>
      <c r="E38" s="37">
        <f t="shared" si="14"/>
        <v>0.4</v>
      </c>
      <c r="F38" s="37">
        <f t="shared" si="14"/>
        <v>0</v>
      </c>
      <c r="G38" s="37">
        <f t="shared" si="14"/>
        <v>0.75</v>
      </c>
      <c r="H38" s="37">
        <f t="shared" si="14"/>
        <v>0.5</v>
      </c>
      <c r="I38" s="37" t="str">
        <f t="shared" si="14"/>
        <v/>
      </c>
      <c r="J38" s="37" t="str">
        <f t="shared" si="14"/>
        <v/>
      </c>
      <c r="K38" s="37" t="str">
        <f t="shared" si="14"/>
        <v/>
      </c>
      <c r="L38" s="37" t="str">
        <f t="shared" si="14"/>
        <v/>
      </c>
      <c r="M38" s="37" t="str">
        <f t="shared" si="14"/>
        <v/>
      </c>
      <c r="N38" s="38">
        <f t="shared" si="8"/>
        <v>0.41190476190476188</v>
      </c>
      <c r="O38" s="45"/>
      <c r="P38" s="49"/>
    </row>
    <row r="39" spans="1:16" x14ac:dyDescent="0.35">
      <c r="B39" s="39"/>
      <c r="C39" s="39"/>
      <c r="D39" s="39"/>
      <c r="E39" s="39"/>
      <c r="F39" s="39"/>
      <c r="G39" s="39"/>
      <c r="H39" s="39"/>
      <c r="I39" s="39"/>
      <c r="J39" s="40"/>
      <c r="K39" s="39"/>
      <c r="L39" s="39"/>
      <c r="M39" s="39"/>
      <c r="N39" s="41"/>
      <c r="O39" s="45"/>
      <c r="P39" s="49"/>
    </row>
    <row r="40" spans="1:16" x14ac:dyDescent="0.35">
      <c r="B40" s="38">
        <f>IF(COUNT(B31:B38)=0,"",AVERAGE(B31:B38))</f>
        <v>0.6098095238095238</v>
      </c>
      <c r="C40" s="38">
        <f t="shared" ref="C40:M40" si="15">IF(COUNT(C31:C38)=0,"",AVERAGE(C31:C38))</f>
        <v>0.71962365591397848</v>
      </c>
      <c r="D40" s="38">
        <f t="shared" si="15"/>
        <v>0.63696969696969696</v>
      </c>
      <c r="E40" s="38">
        <f t="shared" si="15"/>
        <v>0.61388888888888882</v>
      </c>
      <c r="F40" s="38">
        <f t="shared" si="15"/>
        <v>0.39886363636363636</v>
      </c>
      <c r="G40" s="38">
        <f t="shared" si="15"/>
        <v>0.65833333333333344</v>
      </c>
      <c r="H40" s="38">
        <f t="shared" si="15"/>
        <v>0.66269841269841279</v>
      </c>
      <c r="I40" s="38">
        <f t="shared" si="15"/>
        <v>0.75</v>
      </c>
      <c r="J40" s="38" t="str">
        <f t="shared" si="15"/>
        <v/>
      </c>
      <c r="K40" s="38" t="str">
        <f t="shared" si="15"/>
        <v/>
      </c>
      <c r="L40" s="38" t="str">
        <f t="shared" si="15"/>
        <v/>
      </c>
      <c r="M40" s="38" t="str">
        <f t="shared" si="15"/>
        <v/>
      </c>
      <c r="N40" s="54">
        <f>IF(COUNT(B40:M40)=0, "", AVERAGE(B40:M40))</f>
        <v>0.63127339349718381</v>
      </c>
      <c r="O40" s="45"/>
      <c r="P40" s="49"/>
    </row>
    <row r="41" spans="1:16" x14ac:dyDescent="0.35">
      <c r="B41" s="23"/>
      <c r="C41" s="23"/>
      <c r="D41" s="23"/>
      <c r="E41" s="23"/>
      <c r="F41" s="23"/>
      <c r="G41" s="23"/>
      <c r="H41" s="23"/>
      <c r="I41" s="23"/>
      <c r="J41" s="24"/>
      <c r="K41" s="23"/>
      <c r="L41" s="23"/>
      <c r="M41" s="23"/>
      <c r="N41" s="23"/>
      <c r="O41" s="45"/>
      <c r="P41" s="49"/>
    </row>
    <row r="42" spans="1:16" x14ac:dyDescent="0.35">
      <c r="A42" s="55"/>
      <c r="B42" s="55"/>
      <c r="C42" s="55"/>
      <c r="D42" s="55"/>
      <c r="E42" s="55"/>
      <c r="F42" s="55"/>
      <c r="G42" s="55"/>
      <c r="H42" s="55"/>
      <c r="I42" s="55"/>
      <c r="J42" s="55"/>
      <c r="K42" s="55"/>
      <c r="L42" s="55"/>
      <c r="M42" s="55"/>
      <c r="N42" s="55"/>
      <c r="O42" s="56"/>
      <c r="P42" s="49"/>
    </row>
    <row r="43" spans="1:16" x14ac:dyDescent="0.35">
      <c r="A43" s="50"/>
      <c r="B43" s="224" t="s">
        <v>2238</v>
      </c>
      <c r="C43" s="224"/>
      <c r="D43" s="224"/>
      <c r="E43" s="224"/>
      <c r="F43" s="224"/>
      <c r="G43" s="224"/>
      <c r="H43" s="224"/>
      <c r="I43" s="224"/>
      <c r="J43" s="224"/>
      <c r="K43" s="224"/>
      <c r="L43" s="224"/>
      <c r="M43" s="224"/>
      <c r="N43" s="224"/>
      <c r="O43" s="56"/>
      <c r="P43" s="49"/>
    </row>
    <row r="44" spans="1:16" x14ac:dyDescent="0.35">
      <c r="A44" s="50"/>
      <c r="B44" s="89" t="s">
        <v>595</v>
      </c>
      <c r="C44" s="89" t="s">
        <v>1114</v>
      </c>
      <c r="D44" s="89" t="s">
        <v>236</v>
      </c>
      <c r="E44" s="89" t="s">
        <v>198</v>
      </c>
      <c r="F44" s="89" t="s">
        <v>226</v>
      </c>
      <c r="G44" s="89" t="s">
        <v>1538</v>
      </c>
      <c r="H44" s="89" t="s">
        <v>2026</v>
      </c>
      <c r="I44" s="89" t="s">
        <v>239</v>
      </c>
      <c r="J44" s="89" t="s">
        <v>2027</v>
      </c>
      <c r="K44" s="89" t="s">
        <v>834</v>
      </c>
      <c r="L44" s="89" t="s">
        <v>751</v>
      </c>
      <c r="M44" s="89" t="s">
        <v>145</v>
      </c>
      <c r="N44" s="89" t="s">
        <v>2037</v>
      </c>
      <c r="O44" s="56"/>
      <c r="P44" s="49"/>
    </row>
    <row r="45" spans="1:16" x14ac:dyDescent="0.35">
      <c r="A45" s="90" t="s">
        <v>2237</v>
      </c>
      <c r="B45" s="53">
        <f t="shared" ref="B45:M45" si="16">IF(B50=0, "", B51/B50)</f>
        <v>0.61111111111111116</v>
      </c>
      <c r="C45" s="53">
        <f t="shared" si="16"/>
        <v>0.7</v>
      </c>
      <c r="D45" s="53">
        <f t="shared" si="16"/>
        <v>0.59090909090909094</v>
      </c>
      <c r="E45" s="53">
        <f t="shared" si="16"/>
        <v>0.56862745098039214</v>
      </c>
      <c r="F45" s="53">
        <f t="shared" si="16"/>
        <v>0.52272727272727271</v>
      </c>
      <c r="G45" s="53">
        <f t="shared" si="16"/>
        <v>0.48076923076923078</v>
      </c>
      <c r="H45" s="53">
        <f t="shared" si="16"/>
        <v>0.63636363636363635</v>
      </c>
      <c r="I45" s="53">
        <f t="shared" si="16"/>
        <v>0.66666666666666663</v>
      </c>
      <c r="J45" s="53" t="str">
        <f t="shared" si="16"/>
        <v/>
      </c>
      <c r="K45" s="53" t="str">
        <f t="shared" si="16"/>
        <v/>
      </c>
      <c r="L45" s="53" t="str">
        <f t="shared" si="16"/>
        <v/>
      </c>
      <c r="M45" s="53" t="str">
        <f t="shared" si="16"/>
        <v/>
      </c>
      <c r="N45" s="93">
        <f>IF(COUNT(B45:M45)=0, "", AVERAGE(B45:M45))</f>
        <v>0.59714680744092519</v>
      </c>
      <c r="O45" s="56"/>
      <c r="P45" s="49"/>
    </row>
    <row r="46" spans="1:16" x14ac:dyDescent="0.35">
      <c r="A46" s="91"/>
      <c r="B46" s="92"/>
      <c r="C46" s="92"/>
      <c r="D46" s="92"/>
      <c r="E46" s="92"/>
      <c r="F46" s="92"/>
      <c r="G46" s="92"/>
      <c r="H46" s="92"/>
      <c r="I46" s="92"/>
      <c r="J46" s="92"/>
      <c r="K46" s="92"/>
      <c r="L46" s="92"/>
      <c r="M46" s="92"/>
      <c r="N46" s="92"/>
      <c r="O46" s="56"/>
      <c r="P46" s="49"/>
    </row>
    <row r="47" spans="1:16" x14ac:dyDescent="0.35">
      <c r="A47" s="50"/>
      <c r="B47" s="50"/>
      <c r="C47" s="50"/>
      <c r="D47" s="50"/>
      <c r="E47" s="50"/>
      <c r="F47" s="50"/>
      <c r="G47" s="50"/>
      <c r="H47" s="50"/>
      <c r="I47" s="50"/>
      <c r="J47" s="50"/>
      <c r="K47" s="50"/>
      <c r="L47" s="50"/>
      <c r="M47" s="50"/>
      <c r="N47" s="50"/>
      <c r="O47" s="56"/>
      <c r="P47" s="49"/>
    </row>
    <row r="48" spans="1:16" x14ac:dyDescent="0.35">
      <c r="B48" s="224" t="s">
        <v>2039</v>
      </c>
      <c r="C48" s="224"/>
      <c r="D48" s="224"/>
      <c r="E48" s="224"/>
      <c r="F48" s="224"/>
      <c r="G48" s="224"/>
      <c r="H48" s="224"/>
      <c r="I48" s="224"/>
      <c r="J48" s="224"/>
      <c r="K48" s="224"/>
      <c r="L48" s="224"/>
      <c r="M48" s="224"/>
      <c r="N48" s="224"/>
      <c r="O48" s="56"/>
      <c r="P48" s="49"/>
    </row>
    <row r="49" spans="1:16" x14ac:dyDescent="0.35">
      <c r="A49" s="25"/>
      <c r="B49" s="26" t="s">
        <v>595</v>
      </c>
      <c r="C49" s="26" t="s">
        <v>1114</v>
      </c>
      <c r="D49" s="26" t="s">
        <v>236</v>
      </c>
      <c r="E49" s="26" t="s">
        <v>198</v>
      </c>
      <c r="F49" s="26" t="s">
        <v>226</v>
      </c>
      <c r="G49" s="26" t="s">
        <v>1538</v>
      </c>
      <c r="H49" s="26" t="s">
        <v>2026</v>
      </c>
      <c r="I49" s="26" t="s">
        <v>239</v>
      </c>
      <c r="J49" s="26" t="s">
        <v>2027</v>
      </c>
      <c r="K49" s="26" t="s">
        <v>834</v>
      </c>
      <c r="L49" s="26" t="s">
        <v>751</v>
      </c>
      <c r="M49" s="26" t="s">
        <v>145</v>
      </c>
      <c r="N49" s="26" t="s">
        <v>2028</v>
      </c>
      <c r="O49" s="56"/>
      <c r="P49" s="49"/>
    </row>
    <row r="50" spans="1:16" x14ac:dyDescent="0.35">
      <c r="A50" s="217" t="s">
        <v>2040</v>
      </c>
      <c r="B50" s="28">
        <f>COUNTIFS(
  AllTasks!$Q:$Q, "&gt;=" &amp; DATE(2025, COLUMN()-1, 1),
  AllTasks!$Q:$Q, "&lt;" &amp; EDATE(DATE(2025, COLUMN()-1, 1), 1)
)</f>
        <v>54</v>
      </c>
      <c r="C50" s="28">
        <f>COUNTIFS(
  AllTasks!$Q:$Q, "&gt;=" &amp; DATE(2025, COLUMN()-1, 1),
  AllTasks!$Q:$Q, "&lt;" &amp; EDATE(DATE(2025, COLUMN()-1, 1), 1)
)</f>
        <v>60</v>
      </c>
      <c r="D50" s="28">
        <f>COUNTIFS(
  AllTasks!$Q:$Q, "&gt;=" &amp; DATE(2025, COLUMN()-1, 1),
  AllTasks!$Q:$Q, "&lt;" &amp; EDATE(DATE(2025, COLUMN()-1, 1), 1)
)</f>
        <v>44</v>
      </c>
      <c r="E50" s="28">
        <f>COUNTIFS(
  AllTasks!$Q:$Q, "&gt;=" &amp; DATE(2025, COLUMN()-1, 1),
  AllTasks!$Q:$Q, "&lt;" &amp; EDATE(DATE(2025, COLUMN()-1, 1), 1)
)</f>
        <v>51</v>
      </c>
      <c r="F50" s="28">
        <f>COUNTIFS(
  AllTasks!$Q:$Q, "&gt;=" &amp; DATE(2025, COLUMN()-1, 1),
  AllTasks!$Q:$Q, "&lt;" &amp; EDATE(DATE(2025, COLUMN()-1, 1), 1)
)</f>
        <v>44</v>
      </c>
      <c r="G50" s="28">
        <f>COUNTIFS(
  AllTasks!$Q:$Q, "&gt;=" &amp; DATE(2025, COLUMN()-1, 1),
  AllTasks!$Q:$Q, "&lt;" &amp; EDATE(DATE(2025, COLUMN()-1, 1), 1)
)</f>
        <v>52</v>
      </c>
      <c r="H50" s="28">
        <f>COUNTIFS(
  AllTasks!$Q:$Q, "&gt;=" &amp; DATE(2025, COLUMN()-1, 1),
  AllTasks!$Q:$Q, "&lt;" &amp; EDATE(DATE(2025, COLUMN()-1, 1), 1)
)</f>
        <v>44</v>
      </c>
      <c r="I50" s="28">
        <f>COUNTIFS(
  AllTasks!$Q:$Q, "&gt;=" &amp; DATE(2025, COLUMN()-1, 1),
  AllTasks!$Q:$Q, "&lt;" &amp; EDATE(DATE(2025, COLUMN()-1, 1), 1)
)</f>
        <v>3</v>
      </c>
      <c r="J50" s="28">
        <f>COUNTIFS(
  AllTasks!$Q:$Q, "&gt;=" &amp; DATE(2025, COLUMN()-1, 1),
  AllTasks!$Q:$Q, "&lt;" &amp; EDATE(DATE(2025, COLUMN()-1, 1), 1)
)</f>
        <v>0</v>
      </c>
      <c r="K50" s="28">
        <f>COUNTIFS(
  AllTasks!$Q:$Q, "&gt;=" &amp; DATE(2025, COLUMN()-1, 1),
  AllTasks!$Q:$Q, "&lt;" &amp; EDATE(DATE(2025, COLUMN()-1, 1), 1)
)</f>
        <v>0</v>
      </c>
      <c r="L50" s="28">
        <f>COUNTIFS(
  AllTasks!$Q:$Q, "&gt;=" &amp; DATE(2025, COLUMN()-1, 1),
  AllTasks!$Q:$Q, "&lt;" &amp; EDATE(DATE(2025, COLUMN()-1, 1), 1)
)</f>
        <v>0</v>
      </c>
      <c r="M50" s="28">
        <f>COUNTIFS(
  AllTasks!$Q:$Q, "&gt;=" &amp; DATE(2025, COLUMN()-1, 1),
  AllTasks!$Q:$Q, "&lt;" &amp; EDATE(DATE(2025, COLUMN()-1, 1), 1)
)</f>
        <v>0</v>
      </c>
      <c r="N50" s="51">
        <f>SUM(B50:M50)</f>
        <v>352</v>
      </c>
      <c r="O50" s="56"/>
      <c r="P50" s="49"/>
    </row>
    <row r="51" spans="1:16" x14ac:dyDescent="0.35">
      <c r="A51" s="217" t="s">
        <v>2309</v>
      </c>
      <c r="B51" s="216">
        <f>SUMIFS(
  AllTasks!$AO:$AO,
  AllTasks!$Q:$Q, "&gt;=" &amp; B$1,
  AllTasks!$Q:$Q, "&lt;=" &amp; B$2
)</f>
        <v>33</v>
      </c>
      <c r="C51" s="216">
        <f>SUMIFS(
  AllTasks!$AO:$AO,
  AllTasks!$Q:$Q, "&gt;=" &amp; C$1,
  AllTasks!$Q:$Q, "&lt;=" &amp; C$2
)</f>
        <v>42</v>
      </c>
      <c r="D51" s="216">
        <f>SUMIFS(
  AllTasks!$AO:$AO,
  AllTasks!$Q:$Q, "&gt;=" &amp; D$1,
  AllTasks!$Q:$Q, "&lt;=" &amp; D$2
)</f>
        <v>26</v>
      </c>
      <c r="E51" s="216">
        <f>SUMIFS(
  AllTasks!$AO:$AO,
  AllTasks!$Q:$Q, "&gt;=" &amp; E$1,
  AllTasks!$Q:$Q, "&lt;=" &amp; E$2
)</f>
        <v>29</v>
      </c>
      <c r="F51" s="216">
        <f>SUMIFS(
  AllTasks!$AO:$AO,
  AllTasks!$Q:$Q, "&gt;=" &amp; F$1,
  AllTasks!$Q:$Q, "&lt;=" &amp; F$2
)</f>
        <v>23</v>
      </c>
      <c r="G51" s="216">
        <f>SUMIFS(
  AllTasks!$AO:$AO,
  AllTasks!$Q:$Q, "&gt;=" &amp; G$1,
  AllTasks!$Q:$Q, "&lt;=" &amp; G$2
)</f>
        <v>25</v>
      </c>
      <c r="H51" s="216">
        <f>SUMIFS(
  AllTasks!$AO:$AO,
  AllTasks!$Q:$Q, "&gt;=" &amp; H$1,
  AllTasks!$Q:$Q, "&lt;=" &amp; H$2
)</f>
        <v>28</v>
      </c>
      <c r="I51" s="216">
        <f>SUMIFS(
  AllTasks!$AO:$AO,
  AllTasks!$Q:$Q, "&gt;=" &amp; I$1,
  AllTasks!$Q:$Q, "&lt;=" &amp; I$2
)</f>
        <v>2</v>
      </c>
      <c r="J51" s="216">
        <f>SUMIFS(
  AllTasks!$AO:$AO,
  AllTasks!$Q:$Q, "&gt;=" &amp; J$1,
  AllTasks!$Q:$Q, "&lt;=" &amp; J$2
)</f>
        <v>0</v>
      </c>
      <c r="K51" s="216">
        <f>SUMIFS(
  AllTasks!$AO:$AO,
  AllTasks!$Q:$Q, "&gt;=" &amp; K$1,
  AllTasks!$Q:$Q, "&lt;=" &amp; K$2
)</f>
        <v>0</v>
      </c>
      <c r="L51" s="216">
        <f>SUMIFS(
  AllTasks!$AO:$AO,
  AllTasks!$Q:$Q, "&gt;=" &amp; L$1,
  AllTasks!$Q:$Q, "&lt;=" &amp; L$2
)</f>
        <v>0</v>
      </c>
      <c r="M51" s="216">
        <f>SUMIFS(
  AllTasks!$AO:$AO,
  AllTasks!$Q:$Q, "&gt;=" &amp; M$1,
  AllTasks!$Q:$Q, "&lt;=" &amp; M$2
)</f>
        <v>0</v>
      </c>
      <c r="N51" s="51">
        <f>SUM(B51:M51)</f>
        <v>208</v>
      </c>
      <c r="O51" s="56"/>
      <c r="P51" s="49"/>
    </row>
    <row r="52" spans="1:16" x14ac:dyDescent="0.35">
      <c r="A52" s="8" t="s">
        <v>2041</v>
      </c>
      <c r="B52" s="27">
        <f t="shared" ref="B52:M52" si="17">B50-B14</f>
        <v>6</v>
      </c>
      <c r="C52" s="27">
        <f t="shared" si="17"/>
        <v>3</v>
      </c>
      <c r="D52" s="27">
        <f t="shared" si="17"/>
        <v>6</v>
      </c>
      <c r="E52" s="27">
        <f t="shared" si="17"/>
        <v>9</v>
      </c>
      <c r="F52" s="27">
        <f t="shared" si="17"/>
        <v>9</v>
      </c>
      <c r="G52" s="27">
        <f t="shared" si="17"/>
        <v>7</v>
      </c>
      <c r="H52" s="27">
        <f t="shared" si="17"/>
        <v>1</v>
      </c>
      <c r="I52" s="27">
        <f t="shared" si="17"/>
        <v>0</v>
      </c>
      <c r="J52" s="27">
        <f t="shared" si="17"/>
        <v>0</v>
      </c>
      <c r="K52" s="27">
        <f t="shared" si="17"/>
        <v>0</v>
      </c>
      <c r="L52" s="27">
        <f t="shared" si="17"/>
        <v>0</v>
      </c>
      <c r="M52" s="27">
        <f t="shared" si="17"/>
        <v>0</v>
      </c>
      <c r="N52" s="51">
        <f>SUM(B52:M52)</f>
        <v>41</v>
      </c>
      <c r="O52" s="56"/>
      <c r="P52" s="49"/>
    </row>
    <row r="53" spans="1:16" x14ac:dyDescent="0.35">
      <c r="O53" s="56"/>
      <c r="P53" s="49"/>
    </row>
    <row r="54" spans="1:16" x14ac:dyDescent="0.35">
      <c r="J54" s="2"/>
      <c r="K54" s="2"/>
      <c r="L54" s="2"/>
      <c r="M54" s="2"/>
      <c r="N54" s="2"/>
      <c r="O54" s="56"/>
      <c r="P54" s="49"/>
    </row>
    <row r="55" spans="1:16" x14ac:dyDescent="0.35">
      <c r="B55" s="225" t="s">
        <v>2029</v>
      </c>
      <c r="C55" s="226"/>
      <c r="D55" s="226"/>
      <c r="E55" s="226"/>
      <c r="F55" s="226"/>
      <c r="G55" s="226"/>
      <c r="H55" s="226"/>
      <c r="I55" s="226"/>
      <c r="J55" s="226"/>
      <c r="K55" s="226"/>
      <c r="L55" s="226"/>
      <c r="M55" s="227"/>
      <c r="N55" s="228" t="s">
        <v>2030</v>
      </c>
      <c r="O55" s="56"/>
      <c r="P55" s="49"/>
    </row>
    <row r="56" spans="1:16" ht="15.5" x14ac:dyDescent="0.35">
      <c r="B56" s="29" t="s">
        <v>595</v>
      </c>
      <c r="C56" s="29" t="s">
        <v>1114</v>
      </c>
      <c r="D56" s="29" t="s">
        <v>236</v>
      </c>
      <c r="E56" s="29" t="s">
        <v>198</v>
      </c>
      <c r="F56" s="29" t="s">
        <v>226</v>
      </c>
      <c r="G56" s="29" t="s">
        <v>1538</v>
      </c>
      <c r="H56" s="30" t="s">
        <v>215</v>
      </c>
      <c r="I56" s="30" t="s">
        <v>239</v>
      </c>
      <c r="J56" s="30" t="s">
        <v>231</v>
      </c>
      <c r="K56" s="30" t="s">
        <v>834</v>
      </c>
      <c r="L56" s="30" t="s">
        <v>751</v>
      </c>
      <c r="M56" s="30" t="s">
        <v>145</v>
      </c>
      <c r="N56" s="229"/>
      <c r="O56" s="56"/>
      <c r="P56" s="49"/>
    </row>
    <row r="57" spans="1:16" x14ac:dyDescent="0.35">
      <c r="A57" s="8" t="s">
        <v>2031</v>
      </c>
      <c r="B57" s="184">
        <v>45</v>
      </c>
      <c r="C57" s="184">
        <v>38</v>
      </c>
      <c r="D57" s="184">
        <v>38</v>
      </c>
      <c r="E57" s="184">
        <v>37</v>
      </c>
      <c r="F57" s="184">
        <v>39</v>
      </c>
      <c r="G57" s="184">
        <v>40</v>
      </c>
      <c r="H57" s="184">
        <v>33</v>
      </c>
      <c r="I57" s="184">
        <v>41</v>
      </c>
      <c r="J57" s="184">
        <v>42</v>
      </c>
      <c r="K57" s="184">
        <v>38</v>
      </c>
      <c r="L57" s="184">
        <v>39</v>
      </c>
      <c r="M57" s="184">
        <v>29</v>
      </c>
      <c r="N57" s="185">
        <v>459</v>
      </c>
      <c r="O57" s="56"/>
      <c r="P57" s="49"/>
    </row>
    <row r="58" spans="1:16" x14ac:dyDescent="0.35">
      <c r="A58" s="8" t="s">
        <v>2032</v>
      </c>
      <c r="B58" s="34">
        <f>B50</f>
        <v>54</v>
      </c>
      <c r="C58" s="34">
        <f t="shared" ref="C58:M58" si="18">C50</f>
        <v>60</v>
      </c>
      <c r="D58" s="34">
        <f t="shared" si="18"/>
        <v>44</v>
      </c>
      <c r="E58" s="34">
        <f t="shared" si="18"/>
        <v>51</v>
      </c>
      <c r="F58" s="34">
        <f t="shared" si="18"/>
        <v>44</v>
      </c>
      <c r="G58" s="34">
        <f t="shared" si="18"/>
        <v>52</v>
      </c>
      <c r="H58" s="34">
        <f t="shared" si="18"/>
        <v>44</v>
      </c>
      <c r="I58" s="34">
        <f t="shared" si="18"/>
        <v>3</v>
      </c>
      <c r="J58" s="34">
        <f t="shared" si="18"/>
        <v>0</v>
      </c>
      <c r="K58" s="34">
        <f t="shared" si="18"/>
        <v>0</v>
      </c>
      <c r="L58" s="34">
        <f t="shared" si="18"/>
        <v>0</v>
      </c>
      <c r="M58" s="34">
        <f t="shared" si="18"/>
        <v>0</v>
      </c>
      <c r="N58" s="33">
        <f>SUM(B58:M58)</f>
        <v>352</v>
      </c>
      <c r="O58" s="56"/>
      <c r="P58" s="49"/>
    </row>
    <row r="59" spans="1:16" x14ac:dyDescent="0.35">
      <c r="A59" s="8" t="s">
        <v>2033</v>
      </c>
      <c r="B59" s="35">
        <f t="shared" ref="B59:N59" si="19">IF(OR(TRIM(B57)="", TRIM(B58)=""), "", B58 - B57)</f>
        <v>9</v>
      </c>
      <c r="C59" s="35">
        <f t="shared" si="19"/>
        <v>22</v>
      </c>
      <c r="D59" s="35">
        <f t="shared" si="19"/>
        <v>6</v>
      </c>
      <c r="E59" s="35">
        <f t="shared" si="19"/>
        <v>14</v>
      </c>
      <c r="F59" s="35">
        <f t="shared" si="19"/>
        <v>5</v>
      </c>
      <c r="G59" s="35">
        <f t="shared" si="19"/>
        <v>12</v>
      </c>
      <c r="H59" s="35">
        <f t="shared" si="19"/>
        <v>11</v>
      </c>
      <c r="I59" s="35">
        <f t="shared" si="19"/>
        <v>-38</v>
      </c>
      <c r="J59" s="35">
        <f t="shared" si="19"/>
        <v>-42</v>
      </c>
      <c r="K59" s="35">
        <f t="shared" si="19"/>
        <v>-38</v>
      </c>
      <c r="L59" s="35">
        <f t="shared" si="19"/>
        <v>-39</v>
      </c>
      <c r="M59" s="35">
        <f t="shared" si="19"/>
        <v>-29</v>
      </c>
      <c r="N59" s="35">
        <f t="shared" si="19"/>
        <v>-107</v>
      </c>
      <c r="O59" s="56"/>
      <c r="P59" s="49"/>
    </row>
    <row r="60" spans="1:16" x14ac:dyDescent="0.35">
      <c r="J60" s="2"/>
      <c r="K60" s="2"/>
      <c r="L60" s="2"/>
      <c r="M60" s="2"/>
      <c r="N60" s="2"/>
      <c r="O60" s="56"/>
      <c r="P60" s="49"/>
    </row>
    <row r="61" spans="1:16" x14ac:dyDescent="0.35">
      <c r="B61" s="225" t="s">
        <v>2034</v>
      </c>
      <c r="C61" s="226"/>
      <c r="D61" s="226"/>
      <c r="E61" s="226"/>
      <c r="F61" s="226"/>
      <c r="G61" s="226"/>
      <c r="H61" s="226"/>
      <c r="I61" s="226"/>
      <c r="J61" s="226"/>
      <c r="K61" s="226"/>
      <c r="L61" s="226"/>
      <c r="M61" s="227"/>
      <c r="N61" s="2"/>
      <c r="O61" s="56"/>
      <c r="P61" s="49"/>
    </row>
    <row r="62" spans="1:16" ht="15" customHeight="1" x14ac:dyDescent="0.35">
      <c r="B62" s="29" t="s">
        <v>595</v>
      </c>
      <c r="C62" s="29" t="s">
        <v>1114</v>
      </c>
      <c r="D62" s="29" t="s">
        <v>236</v>
      </c>
      <c r="E62" s="29" t="s">
        <v>198</v>
      </c>
      <c r="F62" s="29" t="s">
        <v>226</v>
      </c>
      <c r="G62" s="29" t="s">
        <v>1538</v>
      </c>
      <c r="H62" s="30" t="s">
        <v>215</v>
      </c>
      <c r="I62" s="30" t="s">
        <v>239</v>
      </c>
      <c r="J62" s="30" t="s">
        <v>231</v>
      </c>
      <c r="K62" s="30" t="s">
        <v>834</v>
      </c>
      <c r="L62" s="30" t="s">
        <v>751</v>
      </c>
      <c r="M62" s="30" t="s">
        <v>145</v>
      </c>
      <c r="N62" s="2"/>
      <c r="O62" s="56"/>
      <c r="P62" s="49"/>
    </row>
    <row r="63" spans="1:16" x14ac:dyDescent="0.35">
      <c r="A63" s="8" t="s">
        <v>2031</v>
      </c>
      <c r="B63" s="31">
        <f>B57</f>
        <v>45</v>
      </c>
      <c r="C63" s="31">
        <f>B57+C57</f>
        <v>83</v>
      </c>
      <c r="D63" s="31">
        <f>B57+C57+D57</f>
        <v>121</v>
      </c>
      <c r="E63" s="31">
        <f>B57+C57+D57+E57</f>
        <v>158</v>
      </c>
      <c r="F63" s="31">
        <f>B57+C57+D57+E57+F57</f>
        <v>197</v>
      </c>
      <c r="G63" s="31">
        <f>B57+C57+D57+E57+F57+G57</f>
        <v>237</v>
      </c>
      <c r="H63" s="31">
        <f>B57+C57+D57+E57+F57+G57+H57</f>
        <v>270</v>
      </c>
      <c r="I63" s="31">
        <f>B57+C57+D57+E57+F57+G57+H57+I57</f>
        <v>311</v>
      </c>
      <c r="J63" s="31">
        <f>B57+C57+D57+E57+F57+G57+H57+I57+J57</f>
        <v>353</v>
      </c>
      <c r="K63" s="31">
        <f>B57+C57+D57+E57+F57+G57+H57+I57+J57+K57</f>
        <v>391</v>
      </c>
      <c r="L63" s="31">
        <f>B57+C57+D57+E57+F57+G57+H57+I57+J57+K57+L57</f>
        <v>430</v>
      </c>
      <c r="M63" s="31">
        <f>B57+C57+D57+E57+F57+G57+H57+I57+J57+K57+L57+M57</f>
        <v>459</v>
      </c>
      <c r="N63" s="2"/>
      <c r="O63" s="56"/>
      <c r="P63" s="49"/>
    </row>
    <row r="64" spans="1:16" x14ac:dyDescent="0.35">
      <c r="A64" s="8" t="s">
        <v>2032</v>
      </c>
      <c r="B64" s="52">
        <f>IF(COUNTA(B58:B58)=0,"",SUM(B58:B58))</f>
        <v>54</v>
      </c>
      <c r="C64" s="52">
        <f>IF(COUNTA(B58:C58)=0,"",SUM(B58:C58))</f>
        <v>114</v>
      </c>
      <c r="D64" s="52">
        <f>IF(COUNTA(B58:D58)=0,"",SUM(B58:D58))</f>
        <v>158</v>
      </c>
      <c r="E64" s="52">
        <f>IF(COUNTA(B58:E58)=0,"",SUM(B58:E58))</f>
        <v>209</v>
      </c>
      <c r="F64" s="52">
        <f>IF(COUNTA(B58:F58)=0,"",SUM(B58:F58))</f>
        <v>253</v>
      </c>
      <c r="G64" s="52">
        <f>IF(COUNTA(B58:G58)=0,"",SUM(B58:G58))</f>
        <v>305</v>
      </c>
      <c r="H64" s="52">
        <f>IF(COUNTA(B58:H58)=0,"",SUM(B58:H58))</f>
        <v>349</v>
      </c>
      <c r="I64" s="52">
        <f>IF(COUNTA(B58:I58)=0,"",SUM(B58:I58))</f>
        <v>352</v>
      </c>
      <c r="J64" s="52">
        <f>IF(COUNTA(B58:J58)=0,"",SUM(B58:J58))</f>
        <v>352</v>
      </c>
      <c r="K64" s="52">
        <f>IF(COUNTA(B58:K58)=0,"",SUM(B58:K58))</f>
        <v>352</v>
      </c>
      <c r="L64" s="52">
        <f>IF(COUNTA(B58:L58)=0,"",SUM(B58:L58))</f>
        <v>352</v>
      </c>
      <c r="M64" s="52">
        <f>IF(COUNTA(B58:M58)=0,"",SUM(B58:M58))</f>
        <v>352</v>
      </c>
      <c r="N64" s="2"/>
      <c r="O64" s="56"/>
      <c r="P64" s="49"/>
    </row>
    <row r="65" spans="1:16" x14ac:dyDescent="0.35">
      <c r="A65" s="8" t="s">
        <v>2036</v>
      </c>
      <c r="B65" s="53">
        <f>B64/N57</f>
        <v>0.11764705882352941</v>
      </c>
      <c r="C65" s="53">
        <f>C64/N57</f>
        <v>0.24836601307189543</v>
      </c>
      <c r="D65" s="53">
        <f>D64/N57</f>
        <v>0.34422657952069718</v>
      </c>
      <c r="E65" s="53">
        <f>E64/N57</f>
        <v>0.45533769063180829</v>
      </c>
      <c r="F65" s="53">
        <f>F64/N57</f>
        <v>0.55119825708060999</v>
      </c>
      <c r="G65" s="53">
        <f>G64/N57</f>
        <v>0.66448801742919394</v>
      </c>
      <c r="H65" s="53">
        <f>H64/N57</f>
        <v>0.76034858387799564</v>
      </c>
      <c r="I65" s="53">
        <f>I64/N57</f>
        <v>0.76688453159041392</v>
      </c>
      <c r="J65" s="53">
        <f>J64/N57</f>
        <v>0.76688453159041392</v>
      </c>
      <c r="K65" s="53">
        <f>K64/N57</f>
        <v>0.76688453159041392</v>
      </c>
      <c r="L65" s="53">
        <f>L64/N57</f>
        <v>0.76688453159041392</v>
      </c>
      <c r="M65" s="53">
        <f>M64/N57</f>
        <v>0.76688453159041392</v>
      </c>
      <c r="N65" s="2"/>
      <c r="O65" s="56"/>
      <c r="P65" s="49"/>
    </row>
    <row r="66" spans="1:16" x14ac:dyDescent="0.35">
      <c r="A66" s="55"/>
      <c r="B66" s="55"/>
      <c r="C66" s="55"/>
      <c r="D66" s="55"/>
      <c r="E66" s="55"/>
      <c r="F66" s="55"/>
      <c r="G66" s="55"/>
      <c r="H66" s="55"/>
      <c r="I66" s="55"/>
      <c r="J66" s="57"/>
      <c r="K66" s="57"/>
      <c r="L66" s="57"/>
      <c r="M66" s="57"/>
      <c r="N66" s="57"/>
      <c r="O66" s="56"/>
      <c r="P66" s="49"/>
    </row>
    <row r="67" spans="1:16" x14ac:dyDescent="0.35">
      <c r="J67" s="2"/>
      <c r="K67" s="2"/>
      <c r="L67" s="2"/>
      <c r="M67" s="2"/>
      <c r="N67" s="2"/>
      <c r="O67" s="45"/>
      <c r="P67" s="49"/>
    </row>
    <row r="68" spans="1:16" x14ac:dyDescent="0.35">
      <c r="J68" s="2"/>
      <c r="K68" s="2"/>
      <c r="L68" s="2"/>
      <c r="M68" s="2"/>
      <c r="N68" s="2"/>
      <c r="O68" s="45"/>
      <c r="P68" s="49"/>
    </row>
    <row r="69" spans="1:16" x14ac:dyDescent="0.35">
      <c r="J69" s="2"/>
      <c r="K69" s="2"/>
      <c r="L69" s="2"/>
      <c r="M69" s="2"/>
      <c r="N69" s="2"/>
      <c r="O69" s="45"/>
      <c r="P69" s="49"/>
    </row>
    <row r="70" spans="1:16" x14ac:dyDescent="0.35">
      <c r="J70" s="2"/>
      <c r="K70" s="2"/>
      <c r="L70" s="2"/>
      <c r="M70" s="2"/>
      <c r="N70" s="2"/>
      <c r="O70" s="45"/>
      <c r="P70" s="49"/>
    </row>
    <row r="71" spans="1:16" x14ac:dyDescent="0.35">
      <c r="J71" s="2"/>
      <c r="K71" s="2"/>
      <c r="L71" s="2"/>
      <c r="M71" s="2"/>
      <c r="N71" s="2"/>
      <c r="O71" s="45"/>
      <c r="P71" s="49"/>
    </row>
    <row r="72" spans="1:16" x14ac:dyDescent="0.35">
      <c r="J72" s="2"/>
      <c r="K72" s="2"/>
      <c r="L72" s="2"/>
      <c r="M72" s="2"/>
      <c r="N72" s="2"/>
      <c r="O72" s="45"/>
      <c r="P72" s="49"/>
    </row>
    <row r="73" spans="1:16" x14ac:dyDescent="0.35">
      <c r="J73" s="2"/>
      <c r="K73" s="2"/>
      <c r="L73" s="2"/>
      <c r="M73" s="2"/>
      <c r="N73" s="2"/>
      <c r="O73" s="45"/>
      <c r="P73" s="49"/>
    </row>
    <row r="74" spans="1:16" x14ac:dyDescent="0.35">
      <c r="J74" s="2"/>
      <c r="K74" s="2"/>
      <c r="L74" s="2"/>
      <c r="M74" s="2"/>
      <c r="N74" s="2"/>
      <c r="O74" s="45"/>
      <c r="P74" s="49"/>
    </row>
    <row r="75" spans="1:16" x14ac:dyDescent="0.35">
      <c r="J75" s="2"/>
      <c r="K75" s="2"/>
      <c r="L75" s="2"/>
      <c r="M75" s="2"/>
      <c r="N75" s="2"/>
      <c r="O75" s="45"/>
      <c r="P75" s="49"/>
    </row>
    <row r="76" spans="1:16" x14ac:dyDescent="0.35">
      <c r="J76" s="2"/>
      <c r="K76" s="2"/>
      <c r="L76" s="2"/>
      <c r="M76" s="2"/>
      <c r="N76" s="2"/>
      <c r="O76" s="45"/>
      <c r="P76" s="49"/>
    </row>
    <row r="77" spans="1:16" x14ac:dyDescent="0.35">
      <c r="J77" s="2"/>
      <c r="K77" s="2"/>
      <c r="L77" s="2"/>
      <c r="M77" s="2"/>
      <c r="N77" s="2"/>
      <c r="O77" s="45"/>
      <c r="P77" s="49"/>
    </row>
    <row r="78" spans="1:16" x14ac:dyDescent="0.35">
      <c r="J78" s="2"/>
      <c r="K78" s="2"/>
      <c r="L78" s="2"/>
      <c r="M78" s="2"/>
      <c r="N78" s="2"/>
      <c r="O78" s="45"/>
      <c r="P78" s="49"/>
    </row>
    <row r="79" spans="1:16" x14ac:dyDescent="0.35">
      <c r="J79" s="2"/>
      <c r="K79" s="2"/>
      <c r="L79" s="2"/>
      <c r="M79" s="2"/>
      <c r="N79" s="2"/>
      <c r="O79" s="45"/>
      <c r="P79" s="49"/>
    </row>
    <row r="80" spans="1:16" x14ac:dyDescent="0.35">
      <c r="J80" s="2"/>
      <c r="K80" s="2"/>
      <c r="L80" s="2"/>
      <c r="M80" s="2"/>
      <c r="N80" s="2"/>
      <c r="O80" s="45"/>
      <c r="P80" s="49"/>
    </row>
    <row r="81" spans="10:16" x14ac:dyDescent="0.35">
      <c r="J81" s="2"/>
      <c r="K81" s="2"/>
      <c r="L81" s="2"/>
      <c r="M81" s="2"/>
      <c r="N81" s="2"/>
      <c r="O81" s="45"/>
      <c r="P81" s="49"/>
    </row>
    <row r="82" spans="10:16" x14ac:dyDescent="0.35">
      <c r="J82" s="2"/>
      <c r="K82" s="2"/>
      <c r="L82" s="2"/>
      <c r="M82" s="2"/>
      <c r="N82" s="2"/>
      <c r="O82" s="45"/>
      <c r="P82" s="49"/>
    </row>
    <row r="83" spans="10:16" x14ac:dyDescent="0.35">
      <c r="J83" s="2"/>
      <c r="K83" s="2"/>
      <c r="L83" s="2"/>
      <c r="M83" s="2"/>
      <c r="N83" s="2"/>
      <c r="O83" s="45"/>
      <c r="P83" s="49"/>
    </row>
    <row r="84" spans="10:16" x14ac:dyDescent="0.35">
      <c r="J84" s="2"/>
      <c r="K84" s="2"/>
      <c r="L84" s="2"/>
      <c r="M84" s="2"/>
      <c r="N84" s="2"/>
      <c r="O84" s="45"/>
      <c r="P84" s="49"/>
    </row>
    <row r="85" spans="10:16" x14ac:dyDescent="0.35">
      <c r="J85" s="2"/>
      <c r="K85" s="2"/>
      <c r="L85" s="2"/>
      <c r="M85" s="2"/>
      <c r="N85" s="2"/>
      <c r="O85" s="45"/>
      <c r="P85" s="49"/>
    </row>
    <row r="86" spans="10:16" x14ac:dyDescent="0.35">
      <c r="J86" s="2"/>
      <c r="K86" s="2"/>
      <c r="L86" s="2"/>
      <c r="M86" s="2"/>
      <c r="N86" s="2"/>
      <c r="O86" s="45"/>
      <c r="P86" s="49"/>
    </row>
    <row r="87" spans="10:16" x14ac:dyDescent="0.35">
      <c r="J87" s="2"/>
      <c r="K87" s="2"/>
      <c r="L87" s="2"/>
      <c r="M87" s="2"/>
      <c r="N87" s="2"/>
      <c r="O87" s="45"/>
      <c r="P87" s="49"/>
    </row>
    <row r="88" spans="10:16" x14ac:dyDescent="0.35">
      <c r="J88" s="2"/>
      <c r="K88" s="2"/>
      <c r="L88" s="2"/>
      <c r="M88" s="2"/>
      <c r="N88" s="2"/>
      <c r="O88" s="45"/>
      <c r="P88" s="49"/>
    </row>
    <row r="89" spans="10:16" x14ac:dyDescent="0.35">
      <c r="J89" s="2"/>
      <c r="K89" s="2"/>
      <c r="L89" s="2"/>
      <c r="M89" s="2"/>
      <c r="N89" s="2"/>
      <c r="O89" s="45"/>
      <c r="P89" s="49"/>
    </row>
    <row r="90" spans="10:16" x14ac:dyDescent="0.35">
      <c r="J90" s="2"/>
      <c r="K90" s="2"/>
      <c r="L90" s="2"/>
      <c r="M90" s="2"/>
      <c r="N90" s="2"/>
      <c r="O90" s="45"/>
      <c r="P90" s="49"/>
    </row>
    <row r="91" spans="10:16" x14ac:dyDescent="0.35">
      <c r="J91" s="2"/>
      <c r="K91" s="2"/>
      <c r="L91" s="2"/>
      <c r="M91" s="2"/>
      <c r="N91" s="2"/>
      <c r="O91" s="45"/>
      <c r="P91" s="49"/>
    </row>
    <row r="92" spans="10:16" x14ac:dyDescent="0.35">
      <c r="J92" s="2"/>
      <c r="K92" s="2"/>
      <c r="L92" s="2"/>
      <c r="M92" s="2"/>
      <c r="N92" s="2"/>
      <c r="O92" s="45"/>
      <c r="P92" s="49"/>
    </row>
    <row r="93" spans="10:16" x14ac:dyDescent="0.35">
      <c r="J93" s="2"/>
      <c r="K93" s="2"/>
      <c r="L93" s="2"/>
      <c r="M93" s="2"/>
      <c r="N93" s="2"/>
      <c r="O93" s="45"/>
      <c r="P93" s="49"/>
    </row>
    <row r="94" spans="10:16" x14ac:dyDescent="0.35">
      <c r="J94" s="2"/>
      <c r="K94" s="2"/>
      <c r="L94" s="2"/>
      <c r="M94" s="2"/>
      <c r="N94" s="2"/>
      <c r="O94" s="45"/>
      <c r="P94" s="49"/>
    </row>
    <row r="95" spans="10:16" x14ac:dyDescent="0.35">
      <c r="J95" s="2"/>
      <c r="K95" s="2"/>
      <c r="L95" s="2"/>
      <c r="M95" s="2"/>
      <c r="N95" s="2"/>
      <c r="O95" s="45"/>
      <c r="P95" s="49"/>
    </row>
    <row r="96" spans="10:16" x14ac:dyDescent="0.35">
      <c r="J96" s="2"/>
      <c r="K96" s="2"/>
      <c r="L96" s="2"/>
      <c r="M96" s="2"/>
      <c r="N96" s="2"/>
      <c r="O96" s="45"/>
      <c r="P96" s="49"/>
    </row>
    <row r="97" spans="10:16" x14ac:dyDescent="0.35">
      <c r="J97" s="2"/>
      <c r="K97" s="2"/>
      <c r="L97" s="2"/>
      <c r="M97" s="2"/>
      <c r="N97" s="2"/>
      <c r="O97" s="45"/>
      <c r="P97" s="49"/>
    </row>
    <row r="98" spans="10:16" x14ac:dyDescent="0.35">
      <c r="J98" s="2"/>
      <c r="K98" s="2"/>
      <c r="L98" s="2"/>
      <c r="M98" s="2"/>
      <c r="N98" s="2"/>
      <c r="O98" s="45"/>
      <c r="P98" s="49"/>
    </row>
    <row r="99" spans="10:16" x14ac:dyDescent="0.35">
      <c r="J99" s="2"/>
      <c r="K99" s="2"/>
      <c r="L99" s="2"/>
      <c r="M99" s="2"/>
      <c r="N99" s="2"/>
      <c r="O99" s="45"/>
      <c r="P99" s="49"/>
    </row>
    <row r="100" spans="10:16" x14ac:dyDescent="0.35">
      <c r="J100" s="2"/>
      <c r="K100" s="2"/>
      <c r="L100" s="2"/>
      <c r="M100" s="2"/>
      <c r="N100" s="2"/>
      <c r="O100" s="45"/>
      <c r="P100" s="49"/>
    </row>
    <row r="101" spans="10:16" x14ac:dyDescent="0.35">
      <c r="J101" s="2"/>
      <c r="K101" s="2"/>
      <c r="L101" s="2"/>
      <c r="M101" s="2"/>
      <c r="N101" s="2"/>
      <c r="O101" s="45"/>
      <c r="P101" s="49"/>
    </row>
    <row r="102" spans="10:16" x14ac:dyDescent="0.35">
      <c r="J102" s="2"/>
      <c r="K102" s="2"/>
      <c r="L102" s="2"/>
      <c r="M102" s="2"/>
      <c r="N102" s="2"/>
      <c r="O102" s="45"/>
      <c r="P102" s="49"/>
    </row>
    <row r="103" spans="10:16" x14ac:dyDescent="0.35">
      <c r="J103" s="2"/>
      <c r="K103" s="2"/>
      <c r="L103" s="2"/>
      <c r="M103" s="2"/>
      <c r="N103" s="2"/>
      <c r="O103" s="45"/>
      <c r="P103" s="49"/>
    </row>
    <row r="104" spans="10:16" x14ac:dyDescent="0.35">
      <c r="J104" s="2"/>
      <c r="K104" s="2"/>
      <c r="L104" s="2"/>
      <c r="M104" s="2"/>
      <c r="N104" s="2"/>
      <c r="O104" s="45"/>
      <c r="P104" s="49"/>
    </row>
    <row r="105" spans="10:16" x14ac:dyDescent="0.35">
      <c r="J105" s="2"/>
      <c r="K105" s="2"/>
      <c r="L105" s="2"/>
      <c r="M105" s="2"/>
      <c r="N105" s="2"/>
      <c r="O105" s="45"/>
      <c r="P105" s="49"/>
    </row>
    <row r="106" spans="10:16" x14ac:dyDescent="0.35">
      <c r="J106" s="2"/>
      <c r="K106" s="2"/>
      <c r="L106" s="2"/>
      <c r="M106" s="2"/>
      <c r="N106" s="2"/>
      <c r="O106" s="45"/>
      <c r="P106" s="49"/>
    </row>
    <row r="107" spans="10:16" x14ac:dyDescent="0.35">
      <c r="J107" s="2"/>
      <c r="K107" s="2"/>
      <c r="L107" s="2"/>
      <c r="M107" s="2"/>
      <c r="N107" s="2"/>
      <c r="O107" s="45"/>
      <c r="P107" s="49"/>
    </row>
    <row r="108" spans="10:16" x14ac:dyDescent="0.35">
      <c r="J108" s="2"/>
      <c r="K108" s="2"/>
      <c r="L108" s="2"/>
      <c r="M108" s="2"/>
      <c r="N108" s="2"/>
      <c r="O108" s="45"/>
      <c r="P108" s="49"/>
    </row>
    <row r="109" spans="10:16" x14ac:dyDescent="0.35">
      <c r="J109" s="2"/>
      <c r="K109" s="2"/>
      <c r="L109" s="2"/>
      <c r="M109" s="2"/>
      <c r="N109" s="2"/>
      <c r="O109" s="45"/>
      <c r="P109" s="49"/>
    </row>
    <row r="110" spans="10:16" x14ac:dyDescent="0.35">
      <c r="J110" s="2"/>
      <c r="K110" s="2"/>
      <c r="L110" s="2"/>
      <c r="M110" s="2"/>
      <c r="N110" s="2"/>
      <c r="O110" s="45"/>
      <c r="P110" s="49"/>
    </row>
    <row r="111" spans="10:16" x14ac:dyDescent="0.35">
      <c r="J111" s="2"/>
      <c r="K111" s="2"/>
      <c r="L111" s="2"/>
      <c r="M111" s="2"/>
      <c r="N111" s="2"/>
      <c r="O111" s="45"/>
      <c r="P111" s="49"/>
    </row>
    <row r="112" spans="10:16" x14ac:dyDescent="0.35">
      <c r="J112" s="2"/>
      <c r="K112" s="2"/>
      <c r="L112" s="2"/>
      <c r="M112" s="2"/>
      <c r="N112" s="2"/>
      <c r="O112" s="45"/>
      <c r="P112" s="49"/>
    </row>
    <row r="113" spans="10:16" x14ac:dyDescent="0.35">
      <c r="J113" s="2"/>
      <c r="K113" s="2"/>
      <c r="L113" s="2"/>
      <c r="M113" s="2"/>
      <c r="N113" s="2"/>
      <c r="O113" s="45"/>
      <c r="P113" s="49"/>
    </row>
    <row r="114" spans="10:16" x14ac:dyDescent="0.35">
      <c r="J114" s="2"/>
      <c r="K114" s="2"/>
      <c r="L114" s="2"/>
      <c r="M114" s="2"/>
      <c r="N114" s="2"/>
      <c r="O114" s="45"/>
      <c r="P114" s="49"/>
    </row>
    <row r="115" spans="10:16" x14ac:dyDescent="0.35">
      <c r="J115" s="2"/>
      <c r="K115" s="2"/>
      <c r="L115" s="2"/>
      <c r="M115" s="2"/>
      <c r="N115" s="2"/>
      <c r="O115" s="45"/>
      <c r="P115" s="49"/>
    </row>
    <row r="116" spans="10:16" x14ac:dyDescent="0.35">
      <c r="J116" s="2"/>
      <c r="K116" s="2"/>
      <c r="L116" s="2"/>
      <c r="M116" s="2"/>
      <c r="N116" s="2"/>
      <c r="O116" s="45"/>
      <c r="P116" s="49"/>
    </row>
    <row r="117" spans="10:16" x14ac:dyDescent="0.35">
      <c r="J117" s="2"/>
      <c r="K117" s="2"/>
      <c r="L117" s="2"/>
      <c r="M117" s="2"/>
      <c r="N117" s="2"/>
      <c r="O117" s="45"/>
      <c r="P117" s="49"/>
    </row>
    <row r="118" spans="10:16" x14ac:dyDescent="0.35">
      <c r="J118" s="2"/>
      <c r="K118" s="2"/>
      <c r="L118" s="2"/>
      <c r="M118" s="2"/>
      <c r="N118" s="2"/>
      <c r="O118" s="45"/>
      <c r="P118" s="49"/>
    </row>
    <row r="119" spans="10:16" x14ac:dyDescent="0.35">
      <c r="J119" s="2"/>
      <c r="K119" s="2"/>
      <c r="L119" s="2"/>
      <c r="M119" s="2"/>
      <c r="N119" s="2"/>
      <c r="O119" s="45"/>
      <c r="P119" s="49"/>
    </row>
    <row r="120" spans="10:16" x14ac:dyDescent="0.35">
      <c r="J120" s="2"/>
      <c r="K120" s="2"/>
      <c r="L120" s="2"/>
      <c r="M120" s="2"/>
      <c r="N120" s="2"/>
      <c r="O120" s="45"/>
      <c r="P120" s="49"/>
    </row>
    <row r="121" spans="10:16" x14ac:dyDescent="0.35">
      <c r="J121" s="2"/>
      <c r="K121" s="2"/>
      <c r="L121" s="2"/>
      <c r="M121" s="2"/>
      <c r="N121" s="2"/>
      <c r="O121" s="45"/>
      <c r="P121" s="49"/>
    </row>
    <row r="122" spans="10:16" x14ac:dyDescent="0.35">
      <c r="J122" s="2"/>
      <c r="K122" s="2"/>
      <c r="L122" s="2"/>
      <c r="M122" s="2"/>
      <c r="N122" s="2"/>
      <c r="O122" s="45"/>
      <c r="P122" s="49"/>
    </row>
    <row r="123" spans="10:16" x14ac:dyDescent="0.35">
      <c r="J123" s="2"/>
      <c r="K123" s="2"/>
      <c r="L123" s="2"/>
      <c r="M123" s="2"/>
      <c r="N123" s="2"/>
      <c r="O123" s="45"/>
      <c r="P123" s="49"/>
    </row>
    <row r="124" spans="10:16" x14ac:dyDescent="0.35">
      <c r="J124" s="2"/>
      <c r="K124" s="2"/>
      <c r="L124" s="2"/>
      <c r="M124" s="2"/>
      <c r="N124" s="2"/>
      <c r="O124" s="45"/>
      <c r="P124" s="49"/>
    </row>
    <row r="125" spans="10:16" x14ac:dyDescent="0.35">
      <c r="J125" s="2"/>
      <c r="K125" s="2"/>
      <c r="L125" s="2"/>
      <c r="M125" s="2"/>
      <c r="N125" s="2"/>
      <c r="O125" s="45"/>
      <c r="P125" s="49"/>
    </row>
    <row r="126" spans="10:16" x14ac:dyDescent="0.35">
      <c r="J126" s="2"/>
      <c r="K126" s="2"/>
      <c r="L126" s="2"/>
      <c r="M126" s="2"/>
      <c r="N126" s="2"/>
      <c r="O126" s="45"/>
      <c r="P126" s="49"/>
    </row>
    <row r="127" spans="10:16" x14ac:dyDescent="0.35">
      <c r="J127" s="2"/>
      <c r="K127" s="2"/>
      <c r="L127" s="2"/>
      <c r="M127" s="2"/>
      <c r="N127" s="2"/>
      <c r="O127" s="45"/>
      <c r="P127" s="49"/>
    </row>
    <row r="128" spans="10:16" x14ac:dyDescent="0.35">
      <c r="J128" s="2"/>
      <c r="K128" s="2"/>
      <c r="L128" s="2"/>
      <c r="M128" s="2"/>
      <c r="N128" s="2"/>
      <c r="O128" s="45"/>
      <c r="P128" s="49"/>
    </row>
    <row r="129" spans="10:16" x14ac:dyDescent="0.35">
      <c r="J129" s="2"/>
      <c r="K129" s="2"/>
      <c r="L129" s="2"/>
      <c r="M129" s="2"/>
      <c r="N129" s="2"/>
      <c r="O129" s="45"/>
      <c r="P129" s="49"/>
    </row>
    <row r="130" spans="10:16" x14ac:dyDescent="0.35">
      <c r="J130" s="2"/>
      <c r="K130" s="2"/>
      <c r="L130" s="2"/>
      <c r="M130" s="2"/>
      <c r="N130" s="2"/>
      <c r="O130" s="45"/>
      <c r="P130" s="49"/>
    </row>
    <row r="131" spans="10:16" x14ac:dyDescent="0.35">
      <c r="J131" s="2"/>
      <c r="K131" s="2"/>
      <c r="L131" s="2"/>
      <c r="M131" s="2"/>
      <c r="N131" s="2"/>
      <c r="O131" s="45"/>
      <c r="P131" s="49"/>
    </row>
    <row r="132" spans="10:16" x14ac:dyDescent="0.35">
      <c r="J132" s="2"/>
      <c r="K132" s="2"/>
      <c r="L132" s="2"/>
      <c r="M132" s="2"/>
      <c r="N132" s="2"/>
      <c r="O132" s="45"/>
      <c r="P132" s="49"/>
    </row>
    <row r="133" spans="10:16" x14ac:dyDescent="0.35">
      <c r="J133" s="2"/>
      <c r="K133" s="2"/>
      <c r="L133" s="2"/>
      <c r="M133" s="2"/>
      <c r="N133" s="2"/>
      <c r="O133" s="45"/>
      <c r="P133" s="49"/>
    </row>
    <row r="134" spans="10:16" x14ac:dyDescent="0.35">
      <c r="J134" s="2"/>
      <c r="K134" s="2"/>
      <c r="L134" s="2"/>
      <c r="M134" s="2"/>
      <c r="N134" s="2"/>
      <c r="O134" s="45"/>
      <c r="P134" s="49"/>
    </row>
    <row r="135" spans="10:16" x14ac:dyDescent="0.35">
      <c r="J135" s="2"/>
      <c r="K135" s="2"/>
      <c r="L135" s="2"/>
      <c r="M135" s="2"/>
      <c r="N135" s="2"/>
      <c r="O135" s="45"/>
      <c r="P135" s="49"/>
    </row>
    <row r="136" spans="10:16" x14ac:dyDescent="0.35">
      <c r="J136" s="2"/>
      <c r="K136" s="2"/>
      <c r="L136" s="2"/>
      <c r="M136" s="2"/>
      <c r="N136" s="2"/>
      <c r="O136" s="45"/>
      <c r="P136" s="49"/>
    </row>
    <row r="137" spans="10:16" x14ac:dyDescent="0.35">
      <c r="J137" s="2"/>
      <c r="K137" s="2"/>
      <c r="L137" s="2"/>
      <c r="M137" s="2"/>
      <c r="N137" s="2"/>
      <c r="O137" s="45"/>
      <c r="P137" s="49"/>
    </row>
    <row r="138" spans="10:16" x14ac:dyDescent="0.35">
      <c r="J138" s="2"/>
      <c r="K138" s="2"/>
      <c r="L138" s="2"/>
      <c r="M138" s="2"/>
      <c r="N138" s="2"/>
      <c r="O138" s="45"/>
      <c r="P138" s="49"/>
    </row>
    <row r="139" spans="10:16" x14ac:dyDescent="0.35">
      <c r="J139" s="2"/>
      <c r="K139" s="2"/>
      <c r="L139" s="2"/>
      <c r="M139" s="2"/>
      <c r="N139" s="2"/>
      <c r="O139" s="45"/>
      <c r="P139" s="49"/>
    </row>
    <row r="140" spans="10:16" x14ac:dyDescent="0.35">
      <c r="J140" s="2"/>
      <c r="K140" s="2"/>
      <c r="L140" s="2"/>
      <c r="M140" s="2"/>
      <c r="N140" s="2"/>
      <c r="O140" s="45"/>
      <c r="P140" s="49"/>
    </row>
    <row r="141" spans="10:16" x14ac:dyDescent="0.35">
      <c r="J141" s="2"/>
      <c r="K141" s="2"/>
      <c r="L141" s="2"/>
      <c r="M141" s="2"/>
      <c r="N141" s="2"/>
      <c r="O141" s="45"/>
      <c r="P141" s="49"/>
    </row>
    <row r="142" spans="10:16" x14ac:dyDescent="0.35">
      <c r="J142" s="2"/>
      <c r="K142" s="2"/>
      <c r="L142" s="2"/>
      <c r="M142" s="2"/>
      <c r="N142" s="2"/>
      <c r="O142" s="45"/>
      <c r="P142" s="49"/>
    </row>
    <row r="143" spans="10:16" x14ac:dyDescent="0.35">
      <c r="J143" s="2"/>
      <c r="K143" s="2"/>
      <c r="L143" s="2"/>
      <c r="M143" s="2"/>
      <c r="N143" s="2"/>
      <c r="O143" s="45"/>
      <c r="P143" s="49"/>
    </row>
    <row r="144" spans="10:16" x14ac:dyDescent="0.35">
      <c r="J144" s="2"/>
      <c r="K144" s="2"/>
      <c r="L144" s="2"/>
      <c r="M144" s="2"/>
      <c r="N144" s="2"/>
      <c r="O144" s="45"/>
      <c r="P144" s="49"/>
    </row>
    <row r="145" spans="10:16" x14ac:dyDescent="0.35">
      <c r="J145" s="2"/>
      <c r="K145" s="2"/>
      <c r="L145" s="2"/>
      <c r="M145" s="2"/>
      <c r="N145" s="2"/>
      <c r="O145" s="45"/>
      <c r="P145" s="49"/>
    </row>
    <row r="146" spans="10:16" x14ac:dyDescent="0.35">
      <c r="J146" s="2"/>
      <c r="K146" s="2"/>
      <c r="L146" s="2"/>
      <c r="M146" s="2"/>
      <c r="N146" s="2"/>
      <c r="O146" s="45"/>
      <c r="P146" s="49"/>
    </row>
    <row r="147" spans="10:16" x14ac:dyDescent="0.35">
      <c r="J147" s="2"/>
      <c r="K147" s="2"/>
      <c r="L147" s="2"/>
      <c r="M147" s="2"/>
      <c r="N147" s="2"/>
      <c r="O147" s="45"/>
      <c r="P147" s="49"/>
    </row>
    <row r="148" spans="10:16" x14ac:dyDescent="0.35">
      <c r="J148" s="2"/>
      <c r="K148" s="2"/>
      <c r="L148" s="2"/>
      <c r="M148" s="2"/>
      <c r="N148" s="2"/>
      <c r="O148" s="45"/>
      <c r="P148" s="49"/>
    </row>
    <row r="149" spans="10:16" x14ac:dyDescent="0.35">
      <c r="J149" s="2"/>
      <c r="K149" s="2"/>
      <c r="L149" s="2"/>
      <c r="M149" s="2"/>
      <c r="N149" s="2"/>
      <c r="O149" s="45"/>
      <c r="P149" s="49"/>
    </row>
    <row r="150" spans="10:16" x14ac:dyDescent="0.35">
      <c r="J150" s="2"/>
      <c r="K150" s="2"/>
      <c r="L150" s="2"/>
      <c r="M150" s="2"/>
      <c r="N150" s="2"/>
      <c r="O150" s="45"/>
      <c r="P150" s="49"/>
    </row>
    <row r="151" spans="10:16" x14ac:dyDescent="0.35">
      <c r="J151" s="2"/>
      <c r="K151" s="2"/>
      <c r="L151" s="2"/>
      <c r="M151" s="2"/>
      <c r="N151" s="2"/>
      <c r="O151" s="45"/>
      <c r="P151" s="49"/>
    </row>
    <row r="152" spans="10:16" x14ac:dyDescent="0.35">
      <c r="J152" s="2"/>
      <c r="K152" s="2"/>
      <c r="L152" s="2"/>
      <c r="M152" s="2"/>
      <c r="N152" s="2"/>
      <c r="O152" s="45"/>
      <c r="P152" s="49"/>
    </row>
    <row r="153" spans="10:16" x14ac:dyDescent="0.35">
      <c r="J153" s="2"/>
      <c r="K153" s="2"/>
      <c r="L153" s="2"/>
      <c r="M153" s="2"/>
      <c r="N153" s="2"/>
      <c r="O153" s="45"/>
      <c r="P153" s="49"/>
    </row>
    <row r="154" spans="10:16" x14ac:dyDescent="0.35">
      <c r="J154" s="2"/>
      <c r="K154" s="2"/>
      <c r="L154" s="2"/>
      <c r="M154" s="2"/>
      <c r="N154" s="2"/>
      <c r="O154" s="45"/>
      <c r="P154" s="49"/>
    </row>
    <row r="155" spans="10:16" x14ac:dyDescent="0.35">
      <c r="J155" s="2"/>
      <c r="K155" s="2"/>
      <c r="L155" s="2"/>
      <c r="M155" s="2"/>
      <c r="N155" s="2"/>
      <c r="O155" s="45"/>
      <c r="P155" s="49"/>
    </row>
    <row r="156" spans="10:16" x14ac:dyDescent="0.35">
      <c r="J156" s="2"/>
      <c r="K156" s="2"/>
      <c r="L156" s="2"/>
      <c r="M156" s="2"/>
      <c r="N156" s="2"/>
      <c r="O156" s="45"/>
      <c r="P156" s="49"/>
    </row>
    <row r="157" spans="10:16" x14ac:dyDescent="0.35">
      <c r="J157" s="2"/>
      <c r="K157" s="2"/>
      <c r="L157" s="2"/>
      <c r="M157" s="2"/>
      <c r="N157" s="2"/>
      <c r="O157" s="45"/>
      <c r="P157" s="49"/>
    </row>
    <row r="158" spans="10:16" x14ac:dyDescent="0.35">
      <c r="J158" s="2"/>
      <c r="K158" s="2"/>
      <c r="L158" s="2"/>
      <c r="M158" s="2"/>
      <c r="N158" s="2"/>
      <c r="O158" s="45"/>
      <c r="P158" s="49"/>
    </row>
    <row r="159" spans="10:16" x14ac:dyDescent="0.35">
      <c r="J159" s="2"/>
      <c r="K159" s="2"/>
      <c r="L159" s="2"/>
      <c r="M159" s="2"/>
      <c r="N159" s="2"/>
      <c r="O159" s="45"/>
      <c r="P159" s="49"/>
    </row>
    <row r="160" spans="10:16" x14ac:dyDescent="0.35">
      <c r="J160" s="2"/>
      <c r="K160" s="2"/>
      <c r="L160" s="2"/>
      <c r="M160" s="2"/>
      <c r="N160" s="2"/>
      <c r="O160" s="45"/>
      <c r="P160" s="49"/>
    </row>
    <row r="161" spans="10:16" x14ac:dyDescent="0.35">
      <c r="J161" s="2"/>
      <c r="K161" s="2"/>
      <c r="L161" s="2"/>
      <c r="M161" s="2"/>
      <c r="N161" s="2"/>
      <c r="O161" s="45"/>
      <c r="P161" s="49"/>
    </row>
    <row r="162" spans="10:16" x14ac:dyDescent="0.35">
      <c r="J162" s="2"/>
      <c r="K162" s="2"/>
      <c r="L162" s="2"/>
      <c r="M162" s="2"/>
      <c r="N162" s="2"/>
      <c r="O162" s="45"/>
      <c r="P162" s="49"/>
    </row>
    <row r="163" spans="10:16" x14ac:dyDescent="0.35">
      <c r="J163" s="2"/>
      <c r="K163" s="2"/>
      <c r="L163" s="2"/>
      <c r="M163" s="2"/>
      <c r="N163" s="2"/>
      <c r="O163" s="45"/>
      <c r="P163" s="49"/>
    </row>
    <row r="164" spans="10:16" x14ac:dyDescent="0.35">
      <c r="J164" s="2"/>
      <c r="K164" s="2"/>
      <c r="L164" s="2"/>
      <c r="M164" s="2"/>
      <c r="N164" s="2"/>
      <c r="O164" s="45"/>
      <c r="P164" s="49"/>
    </row>
    <row r="165" spans="10:16" x14ac:dyDescent="0.35">
      <c r="J165" s="2"/>
      <c r="K165" s="2"/>
      <c r="L165" s="2"/>
      <c r="M165" s="2"/>
      <c r="N165" s="2"/>
      <c r="O165" s="45"/>
      <c r="P165" s="49"/>
    </row>
    <row r="166" spans="10:16" x14ac:dyDescent="0.35">
      <c r="J166" s="2"/>
      <c r="K166" s="2"/>
      <c r="L166" s="2"/>
      <c r="M166" s="2"/>
      <c r="N166" s="2"/>
      <c r="O166" s="45"/>
      <c r="P166" s="49"/>
    </row>
    <row r="167" spans="10:16" x14ac:dyDescent="0.35">
      <c r="J167" s="2"/>
      <c r="K167" s="2"/>
      <c r="L167" s="2"/>
      <c r="M167" s="2"/>
      <c r="N167" s="2"/>
      <c r="O167" s="45"/>
      <c r="P167" s="49"/>
    </row>
    <row r="168" spans="10:16" x14ac:dyDescent="0.35">
      <c r="J168" s="2"/>
      <c r="K168" s="2"/>
      <c r="L168" s="2"/>
      <c r="M168" s="2"/>
      <c r="N168" s="2"/>
      <c r="O168" s="45"/>
      <c r="P168" s="49"/>
    </row>
    <row r="169" spans="10:16" x14ac:dyDescent="0.35">
      <c r="J169" s="2"/>
      <c r="K169" s="2"/>
      <c r="L169" s="2"/>
      <c r="M169" s="2"/>
      <c r="N169" s="2"/>
      <c r="O169" s="45"/>
      <c r="P169" s="49"/>
    </row>
    <row r="170" spans="10:16" x14ac:dyDescent="0.35">
      <c r="J170" s="2"/>
      <c r="K170" s="2"/>
      <c r="L170" s="2"/>
      <c r="M170" s="2"/>
      <c r="N170" s="2"/>
      <c r="O170" s="45"/>
      <c r="P170" s="49"/>
    </row>
    <row r="171" spans="10:16" x14ac:dyDescent="0.35">
      <c r="J171" s="2"/>
      <c r="K171" s="2"/>
      <c r="L171" s="2"/>
      <c r="M171" s="2"/>
      <c r="N171" s="2"/>
      <c r="O171" s="45"/>
      <c r="P171" s="49"/>
    </row>
    <row r="172" spans="10:16" x14ac:dyDescent="0.35">
      <c r="J172" s="2"/>
      <c r="K172" s="2"/>
      <c r="L172" s="2"/>
      <c r="M172" s="2"/>
      <c r="N172" s="2"/>
      <c r="O172" s="45"/>
      <c r="P172" s="49"/>
    </row>
    <row r="173" spans="10:16" x14ac:dyDescent="0.35">
      <c r="J173" s="2"/>
      <c r="K173" s="2"/>
      <c r="L173" s="2"/>
      <c r="M173" s="2"/>
      <c r="N173" s="2"/>
      <c r="O173" s="45"/>
      <c r="P173" s="49"/>
    </row>
    <row r="174" spans="10:16" x14ac:dyDescent="0.35">
      <c r="J174" s="2"/>
      <c r="K174" s="2"/>
      <c r="L174" s="2"/>
      <c r="M174" s="2"/>
      <c r="N174" s="2"/>
      <c r="O174" s="45"/>
      <c r="P174" s="49"/>
    </row>
    <row r="175" spans="10:16" x14ac:dyDescent="0.35">
      <c r="J175" s="2"/>
      <c r="K175" s="2"/>
      <c r="L175" s="2"/>
      <c r="M175" s="2"/>
      <c r="N175" s="2"/>
      <c r="O175" s="45"/>
      <c r="P175" s="49"/>
    </row>
    <row r="176" spans="10:16" x14ac:dyDescent="0.35">
      <c r="J176" s="2"/>
      <c r="K176" s="2"/>
      <c r="L176" s="2"/>
      <c r="M176" s="2"/>
      <c r="N176" s="2"/>
      <c r="O176" s="45"/>
      <c r="P176" s="49"/>
    </row>
    <row r="177" spans="10:16" x14ac:dyDescent="0.35">
      <c r="J177" s="2"/>
      <c r="K177" s="2"/>
      <c r="L177" s="2"/>
      <c r="M177" s="2"/>
      <c r="N177" s="2"/>
      <c r="O177" s="45"/>
      <c r="P177" s="49"/>
    </row>
    <row r="178" spans="10:16" x14ac:dyDescent="0.35">
      <c r="J178" s="2"/>
      <c r="K178" s="2"/>
      <c r="L178" s="2"/>
      <c r="M178" s="2"/>
      <c r="N178" s="2"/>
      <c r="O178" s="45"/>
      <c r="P178" s="49"/>
    </row>
    <row r="179" spans="10:16" x14ac:dyDescent="0.35">
      <c r="J179" s="2"/>
      <c r="K179" s="2"/>
      <c r="L179" s="2"/>
      <c r="M179" s="2"/>
      <c r="N179" s="2"/>
      <c r="O179" s="45"/>
      <c r="P179" s="49"/>
    </row>
    <row r="180" spans="10:16" x14ac:dyDescent="0.35">
      <c r="J180" s="2"/>
      <c r="K180" s="2"/>
      <c r="L180" s="2"/>
      <c r="M180" s="2"/>
      <c r="N180" s="2"/>
      <c r="O180" s="45"/>
      <c r="P180" s="49"/>
    </row>
    <row r="181" spans="10:16" x14ac:dyDescent="0.35">
      <c r="J181" s="2"/>
      <c r="K181" s="2"/>
      <c r="L181" s="2"/>
      <c r="M181" s="2"/>
      <c r="N181" s="2"/>
      <c r="O181" s="45"/>
      <c r="P181" s="49"/>
    </row>
    <row r="182" spans="10:16" x14ac:dyDescent="0.35">
      <c r="J182" s="2"/>
      <c r="K182" s="2"/>
      <c r="L182" s="2"/>
      <c r="M182" s="2"/>
      <c r="N182" s="2"/>
      <c r="O182" s="45"/>
      <c r="P182" s="49"/>
    </row>
    <row r="183" spans="10:16" x14ac:dyDescent="0.35">
      <c r="J183" s="2"/>
      <c r="K183" s="2"/>
      <c r="L183" s="2"/>
      <c r="M183" s="2"/>
      <c r="N183" s="2"/>
      <c r="O183" s="45"/>
      <c r="P183" s="49"/>
    </row>
    <row r="184" spans="10:16" x14ac:dyDescent="0.35">
      <c r="J184" s="2"/>
      <c r="K184" s="2"/>
      <c r="L184" s="2"/>
      <c r="M184" s="2"/>
      <c r="N184" s="2"/>
      <c r="O184" s="45"/>
      <c r="P184" s="49"/>
    </row>
    <row r="185" spans="10:16" x14ac:dyDescent="0.35">
      <c r="J185" s="2"/>
      <c r="K185" s="2"/>
      <c r="L185" s="2"/>
      <c r="M185" s="2"/>
      <c r="N185" s="2"/>
      <c r="O185" s="45"/>
      <c r="P185" s="49"/>
    </row>
    <row r="186" spans="10:16" x14ac:dyDescent="0.35">
      <c r="J186" s="2"/>
      <c r="K186" s="2"/>
      <c r="L186" s="2"/>
      <c r="M186" s="2"/>
      <c r="N186" s="2"/>
      <c r="O186" s="45"/>
      <c r="P186" s="49"/>
    </row>
    <row r="187" spans="10:16" x14ac:dyDescent="0.35">
      <c r="J187" s="2"/>
      <c r="K187" s="2"/>
      <c r="L187" s="2"/>
      <c r="M187" s="2"/>
      <c r="N187" s="2"/>
      <c r="O187" s="45"/>
      <c r="P187" s="49"/>
    </row>
    <row r="188" spans="10:16" x14ac:dyDescent="0.35">
      <c r="J188" s="2"/>
      <c r="K188" s="2"/>
      <c r="L188" s="2"/>
      <c r="M188" s="2"/>
      <c r="N188" s="2"/>
      <c r="O188" s="45"/>
      <c r="P188" s="49"/>
    </row>
    <row r="189" spans="10:16" x14ac:dyDescent="0.35">
      <c r="J189" s="2"/>
      <c r="K189" s="2"/>
      <c r="L189" s="2"/>
      <c r="M189" s="2"/>
      <c r="N189" s="2"/>
      <c r="O189" s="45"/>
      <c r="P189" s="49"/>
    </row>
    <row r="190" spans="10:16" x14ac:dyDescent="0.35">
      <c r="J190" s="2"/>
      <c r="K190" s="2"/>
      <c r="L190" s="2"/>
      <c r="M190" s="2"/>
      <c r="N190" s="2"/>
      <c r="O190" s="45"/>
      <c r="P190" s="49"/>
    </row>
    <row r="191" spans="10:16" x14ac:dyDescent="0.35">
      <c r="J191" s="2"/>
      <c r="K191" s="2"/>
      <c r="L191" s="2"/>
      <c r="M191" s="2"/>
      <c r="N191" s="2"/>
      <c r="O191" s="45"/>
      <c r="P191" s="49"/>
    </row>
    <row r="192" spans="10:16" x14ac:dyDescent="0.35">
      <c r="J192" s="2"/>
      <c r="K192" s="2"/>
      <c r="L192" s="2"/>
      <c r="M192" s="2"/>
      <c r="N192" s="2"/>
      <c r="O192" s="45"/>
      <c r="P192" s="49"/>
    </row>
    <row r="193" spans="10:16" x14ac:dyDescent="0.35">
      <c r="J193" s="2"/>
      <c r="K193" s="2"/>
      <c r="L193" s="2"/>
      <c r="M193" s="2"/>
      <c r="N193" s="2"/>
      <c r="O193" s="45"/>
      <c r="P193" s="49"/>
    </row>
    <row r="194" spans="10:16" x14ac:dyDescent="0.35">
      <c r="J194" s="2"/>
      <c r="K194" s="2"/>
      <c r="L194" s="2"/>
      <c r="M194" s="2"/>
      <c r="N194" s="2"/>
      <c r="O194" s="45"/>
      <c r="P194" s="49"/>
    </row>
    <row r="195" spans="10:16" x14ac:dyDescent="0.35">
      <c r="J195" s="2"/>
      <c r="K195" s="2"/>
      <c r="L195" s="2"/>
      <c r="M195" s="2"/>
      <c r="N195" s="2"/>
      <c r="O195" s="45"/>
      <c r="P195" s="49"/>
    </row>
    <row r="196" spans="10:16" x14ac:dyDescent="0.35">
      <c r="J196" s="2"/>
      <c r="K196" s="2"/>
      <c r="L196" s="2"/>
      <c r="M196" s="2"/>
      <c r="N196" s="2"/>
      <c r="O196" s="45"/>
      <c r="P196" s="49"/>
    </row>
    <row r="197" spans="10:16" x14ac:dyDescent="0.35">
      <c r="J197" s="2"/>
      <c r="K197" s="2"/>
      <c r="L197" s="2"/>
      <c r="M197" s="2"/>
      <c r="N197" s="2"/>
      <c r="O197" s="45"/>
      <c r="P197" s="49"/>
    </row>
    <row r="198" spans="10:16" x14ac:dyDescent="0.35">
      <c r="J198" s="2"/>
      <c r="K198" s="2"/>
      <c r="L198" s="2"/>
      <c r="M198" s="2"/>
      <c r="N198" s="2"/>
      <c r="O198" s="45"/>
      <c r="P198" s="49"/>
    </row>
    <row r="199" spans="10:16" x14ac:dyDescent="0.35">
      <c r="J199" s="2"/>
      <c r="K199" s="2"/>
      <c r="L199" s="2"/>
      <c r="M199" s="2"/>
      <c r="N199" s="2"/>
      <c r="O199" s="45"/>
      <c r="P199" s="49"/>
    </row>
    <row r="200" spans="10:16" x14ac:dyDescent="0.35">
      <c r="J200" s="2"/>
      <c r="K200" s="2"/>
      <c r="L200" s="2"/>
      <c r="M200" s="2"/>
      <c r="N200" s="2"/>
      <c r="O200" s="45"/>
      <c r="P200" s="49"/>
    </row>
    <row r="201" spans="10:16" x14ac:dyDescent="0.35">
      <c r="J201" s="2"/>
      <c r="K201" s="2"/>
      <c r="L201" s="2"/>
      <c r="M201" s="2"/>
      <c r="N201" s="2"/>
      <c r="O201" s="45"/>
      <c r="P201" s="49"/>
    </row>
    <row r="202" spans="10:16" x14ac:dyDescent="0.35">
      <c r="J202" s="2"/>
      <c r="K202" s="2"/>
      <c r="L202" s="2"/>
      <c r="M202" s="2"/>
      <c r="N202" s="2"/>
      <c r="O202" s="45"/>
      <c r="P202" s="49"/>
    </row>
    <row r="203" spans="10:16" x14ac:dyDescent="0.35">
      <c r="J203" s="2"/>
      <c r="K203" s="2"/>
      <c r="L203" s="2"/>
      <c r="M203" s="2"/>
      <c r="N203" s="2"/>
      <c r="O203" s="45"/>
      <c r="P203" s="49"/>
    </row>
    <row r="204" spans="10:16" x14ac:dyDescent="0.35">
      <c r="J204" s="2"/>
      <c r="K204" s="2"/>
      <c r="L204" s="2"/>
      <c r="M204" s="2"/>
      <c r="N204" s="2"/>
      <c r="O204" s="45"/>
      <c r="P204" s="49"/>
    </row>
    <row r="205" spans="10:16" x14ac:dyDescent="0.35">
      <c r="J205" s="2"/>
      <c r="K205" s="2"/>
      <c r="L205" s="2"/>
      <c r="M205" s="2"/>
      <c r="N205" s="2"/>
      <c r="O205" s="45"/>
      <c r="P205" s="49"/>
    </row>
    <row r="206" spans="10:16" x14ac:dyDescent="0.35">
      <c r="J206" s="2"/>
      <c r="K206" s="2"/>
      <c r="L206" s="2"/>
      <c r="M206" s="2"/>
      <c r="N206" s="2"/>
      <c r="O206" s="45"/>
      <c r="P206" s="49"/>
    </row>
    <row r="207" spans="10:16" x14ac:dyDescent="0.35">
      <c r="J207" s="2"/>
      <c r="K207" s="2"/>
      <c r="L207" s="2"/>
      <c r="M207" s="2"/>
      <c r="N207" s="2"/>
      <c r="O207" s="45"/>
      <c r="P207" s="49"/>
    </row>
    <row r="208" spans="10:16" x14ac:dyDescent="0.35">
      <c r="J208" s="2"/>
      <c r="K208" s="2"/>
      <c r="L208" s="2"/>
      <c r="M208" s="2"/>
      <c r="N208" s="2"/>
      <c r="O208" s="45"/>
      <c r="P208" s="49"/>
    </row>
    <row r="209" spans="10:16" x14ac:dyDescent="0.35">
      <c r="J209" s="2"/>
      <c r="K209" s="2"/>
      <c r="L209" s="2"/>
      <c r="M209" s="2"/>
      <c r="N209" s="2"/>
      <c r="O209" s="45"/>
      <c r="P209" s="49"/>
    </row>
    <row r="210" spans="10:16" x14ac:dyDescent="0.35">
      <c r="J210" s="2"/>
      <c r="K210" s="2"/>
      <c r="L210" s="2"/>
      <c r="M210" s="2"/>
      <c r="N210" s="2"/>
      <c r="O210" s="45"/>
      <c r="P210" s="49"/>
    </row>
    <row r="211" spans="10:16" x14ac:dyDescent="0.35">
      <c r="J211" s="2"/>
      <c r="K211" s="2"/>
      <c r="L211" s="2"/>
      <c r="M211" s="2"/>
      <c r="N211" s="2"/>
      <c r="O211" s="45"/>
      <c r="P211" s="49"/>
    </row>
    <row r="212" spans="10:16" x14ac:dyDescent="0.35">
      <c r="J212" s="2"/>
      <c r="K212" s="2"/>
      <c r="L212" s="2"/>
      <c r="M212" s="2"/>
      <c r="N212" s="2"/>
      <c r="O212" s="45"/>
      <c r="P212" s="49"/>
    </row>
    <row r="213" spans="10:16" x14ac:dyDescent="0.35">
      <c r="J213" s="2"/>
      <c r="K213" s="2"/>
      <c r="L213" s="2"/>
      <c r="M213" s="2"/>
      <c r="N213" s="2"/>
      <c r="O213" s="45"/>
      <c r="P213" s="49"/>
    </row>
    <row r="214" spans="10:16" x14ac:dyDescent="0.35">
      <c r="J214" s="2"/>
      <c r="K214" s="2"/>
      <c r="L214" s="2"/>
      <c r="M214" s="2"/>
      <c r="N214" s="2"/>
      <c r="O214" s="45"/>
      <c r="P214" s="49"/>
    </row>
    <row r="215" spans="10:16" x14ac:dyDescent="0.35">
      <c r="J215" s="2"/>
      <c r="K215" s="2"/>
      <c r="L215" s="2"/>
      <c r="M215" s="2"/>
      <c r="N215" s="2"/>
      <c r="O215" s="45"/>
      <c r="P215" s="49"/>
    </row>
    <row r="216" spans="10:16" x14ac:dyDescent="0.35">
      <c r="J216" s="2"/>
      <c r="K216" s="2"/>
      <c r="L216" s="2"/>
      <c r="M216" s="2"/>
      <c r="N216" s="2"/>
      <c r="O216" s="45"/>
      <c r="P216" s="49"/>
    </row>
    <row r="217" spans="10:16" x14ac:dyDescent="0.35">
      <c r="J217" s="2"/>
      <c r="K217" s="2"/>
      <c r="L217" s="2"/>
      <c r="M217" s="2"/>
      <c r="N217" s="2"/>
      <c r="O217" s="45"/>
      <c r="P217" s="49"/>
    </row>
    <row r="218" spans="10:16" x14ac:dyDescent="0.35">
      <c r="J218" s="2"/>
      <c r="K218" s="2"/>
      <c r="L218" s="2"/>
      <c r="M218" s="2"/>
      <c r="N218" s="2"/>
      <c r="O218" s="45"/>
      <c r="P218" s="49"/>
    </row>
    <row r="219" spans="10:16" x14ac:dyDescent="0.35">
      <c r="J219" s="2"/>
      <c r="K219" s="2"/>
      <c r="L219" s="2"/>
      <c r="M219" s="2"/>
      <c r="N219" s="2"/>
      <c r="O219" s="45"/>
      <c r="P219" s="49"/>
    </row>
    <row r="220" spans="10:16" x14ac:dyDescent="0.35">
      <c r="J220" s="2"/>
      <c r="K220" s="2"/>
      <c r="L220" s="2"/>
      <c r="M220" s="2"/>
      <c r="N220" s="2"/>
      <c r="O220" s="45"/>
      <c r="P220" s="49"/>
    </row>
    <row r="221" spans="10:16" x14ac:dyDescent="0.35">
      <c r="J221" s="2"/>
      <c r="K221" s="2"/>
      <c r="L221" s="2"/>
      <c r="M221" s="2"/>
      <c r="N221" s="2"/>
      <c r="O221" s="45"/>
      <c r="P221" s="49"/>
    </row>
    <row r="222" spans="10:16" x14ac:dyDescent="0.35">
      <c r="J222" s="2"/>
      <c r="K222" s="2"/>
      <c r="L222" s="2"/>
      <c r="M222" s="2"/>
      <c r="N222" s="2"/>
      <c r="O222" s="45"/>
      <c r="P222" s="49"/>
    </row>
    <row r="223" spans="10:16" x14ac:dyDescent="0.35">
      <c r="J223" s="2"/>
      <c r="K223" s="2"/>
      <c r="L223" s="2"/>
      <c r="M223" s="2"/>
      <c r="N223" s="2"/>
      <c r="O223" s="45"/>
      <c r="P223" s="49"/>
    </row>
    <row r="224" spans="10:16" x14ac:dyDescent="0.35">
      <c r="J224" s="2"/>
      <c r="K224" s="2"/>
      <c r="L224" s="2"/>
      <c r="M224" s="2"/>
      <c r="N224" s="2"/>
      <c r="O224" s="45"/>
      <c r="P224" s="49"/>
    </row>
    <row r="225" spans="10:16" x14ac:dyDescent="0.35">
      <c r="J225" s="2"/>
      <c r="K225" s="2"/>
      <c r="L225" s="2"/>
      <c r="M225" s="2"/>
      <c r="N225" s="2"/>
      <c r="O225" s="45"/>
      <c r="P225" s="49"/>
    </row>
    <row r="226" spans="10:16" x14ac:dyDescent="0.35">
      <c r="J226" s="2"/>
      <c r="K226" s="2"/>
      <c r="L226" s="2"/>
      <c r="M226" s="2"/>
      <c r="N226" s="2"/>
      <c r="O226" s="45"/>
      <c r="P226" s="49"/>
    </row>
    <row r="227" spans="10:16" x14ac:dyDescent="0.35">
      <c r="J227" s="2"/>
      <c r="K227" s="2"/>
      <c r="L227" s="2"/>
      <c r="M227" s="2"/>
      <c r="N227" s="2"/>
      <c r="O227" s="45"/>
      <c r="P227" s="49"/>
    </row>
    <row r="228" spans="10:16" x14ac:dyDescent="0.35">
      <c r="J228" s="2"/>
      <c r="K228" s="2"/>
      <c r="L228" s="2"/>
      <c r="M228" s="2"/>
      <c r="N228" s="2"/>
      <c r="O228" s="45"/>
      <c r="P228" s="49"/>
    </row>
    <row r="229" spans="10:16" x14ac:dyDescent="0.35">
      <c r="J229" s="2"/>
      <c r="K229" s="2"/>
      <c r="L229" s="2"/>
      <c r="M229" s="2"/>
      <c r="N229" s="2"/>
      <c r="O229" s="45"/>
      <c r="P229" s="49"/>
    </row>
    <row r="230" spans="10:16" x14ac:dyDescent="0.35">
      <c r="J230" s="2"/>
      <c r="K230" s="2"/>
      <c r="L230" s="2"/>
      <c r="M230" s="2"/>
      <c r="N230" s="2"/>
      <c r="O230" s="45"/>
      <c r="P230" s="49"/>
    </row>
    <row r="231" spans="10:16" x14ac:dyDescent="0.35">
      <c r="J231" s="2"/>
      <c r="K231" s="2"/>
      <c r="L231" s="2"/>
      <c r="M231" s="2"/>
      <c r="N231" s="2"/>
      <c r="O231" s="45"/>
      <c r="P231" s="49"/>
    </row>
    <row r="232" spans="10:16" x14ac:dyDescent="0.35">
      <c r="J232" s="2"/>
      <c r="K232" s="2"/>
      <c r="L232" s="2"/>
      <c r="M232" s="2"/>
      <c r="N232" s="2"/>
      <c r="O232" s="45"/>
      <c r="P232" s="49"/>
    </row>
    <row r="233" spans="10:16" x14ac:dyDescent="0.35">
      <c r="J233" s="2"/>
      <c r="K233" s="2"/>
      <c r="L233" s="2"/>
      <c r="M233" s="2"/>
      <c r="N233" s="2"/>
      <c r="O233" s="45"/>
      <c r="P233" s="49"/>
    </row>
    <row r="234" spans="10:16" x14ac:dyDescent="0.35">
      <c r="J234" s="2"/>
      <c r="K234" s="2"/>
      <c r="L234" s="2"/>
      <c r="M234" s="2"/>
      <c r="N234" s="2"/>
      <c r="O234" s="45"/>
      <c r="P234" s="49"/>
    </row>
    <row r="235" spans="10:16" x14ac:dyDescent="0.35">
      <c r="J235" s="2"/>
      <c r="K235" s="2"/>
      <c r="L235" s="2"/>
      <c r="M235" s="2"/>
      <c r="N235" s="2"/>
      <c r="O235" s="45"/>
      <c r="P235" s="49"/>
    </row>
    <row r="236" spans="10:16" x14ac:dyDescent="0.35">
      <c r="J236" s="2"/>
      <c r="K236" s="2"/>
      <c r="L236" s="2"/>
      <c r="M236" s="2"/>
      <c r="N236" s="2"/>
      <c r="O236" s="45"/>
      <c r="P236" s="49"/>
    </row>
    <row r="237" spans="10:16" x14ac:dyDescent="0.35">
      <c r="J237" s="2"/>
      <c r="K237" s="2"/>
      <c r="L237" s="2"/>
      <c r="M237" s="2"/>
      <c r="N237" s="2"/>
      <c r="O237" s="45"/>
      <c r="P237" s="49"/>
    </row>
    <row r="238" spans="10:16" x14ac:dyDescent="0.35">
      <c r="J238" s="2"/>
      <c r="K238" s="2"/>
      <c r="L238" s="2"/>
      <c r="M238" s="2"/>
      <c r="N238" s="2"/>
      <c r="O238" s="45"/>
      <c r="P238" s="49"/>
    </row>
    <row r="239" spans="10:16" x14ac:dyDescent="0.35">
      <c r="J239" s="2"/>
      <c r="K239" s="2"/>
      <c r="L239" s="2"/>
      <c r="M239" s="2"/>
      <c r="N239" s="2"/>
      <c r="O239" s="45"/>
      <c r="P239" s="49"/>
    </row>
    <row r="240" spans="10:16" x14ac:dyDescent="0.35">
      <c r="J240" s="2"/>
      <c r="K240" s="2"/>
      <c r="L240" s="2"/>
      <c r="M240" s="2"/>
      <c r="N240" s="2"/>
      <c r="O240" s="45"/>
      <c r="P240" s="49"/>
    </row>
    <row r="241" spans="10:16" x14ac:dyDescent="0.35">
      <c r="J241" s="2"/>
      <c r="K241" s="2"/>
      <c r="L241" s="2"/>
      <c r="M241" s="2"/>
      <c r="N241" s="2"/>
      <c r="O241" s="45"/>
      <c r="P241" s="49"/>
    </row>
    <row r="242" spans="10:16" x14ac:dyDescent="0.35">
      <c r="J242" s="2"/>
      <c r="K242" s="2"/>
      <c r="L242" s="2"/>
      <c r="M242" s="2"/>
      <c r="N242" s="2"/>
      <c r="O242" s="45"/>
      <c r="P242" s="49"/>
    </row>
    <row r="243" spans="10:16" x14ac:dyDescent="0.35">
      <c r="J243" s="2"/>
      <c r="K243" s="2"/>
      <c r="L243" s="2"/>
      <c r="M243" s="2"/>
      <c r="N243" s="2"/>
      <c r="O243" s="45"/>
      <c r="P243" s="49"/>
    </row>
    <row r="244" spans="10:16" x14ac:dyDescent="0.35">
      <c r="J244" s="2"/>
      <c r="K244" s="2"/>
      <c r="L244" s="2"/>
      <c r="M244" s="2"/>
      <c r="N244" s="2"/>
      <c r="O244" s="45"/>
      <c r="P244" s="49"/>
    </row>
    <row r="245" spans="10:16" x14ac:dyDescent="0.35">
      <c r="J245" s="2"/>
      <c r="K245" s="2"/>
      <c r="L245" s="2"/>
      <c r="M245" s="2"/>
      <c r="N245" s="2"/>
      <c r="O245" s="45"/>
      <c r="P245" s="49"/>
    </row>
    <row r="246" spans="10:16" x14ac:dyDescent="0.35">
      <c r="J246" s="2"/>
      <c r="K246" s="2"/>
      <c r="L246" s="2"/>
      <c r="M246" s="2"/>
      <c r="N246" s="2"/>
      <c r="O246" s="45"/>
      <c r="P246" s="49"/>
    </row>
    <row r="247" spans="10:16" x14ac:dyDescent="0.35">
      <c r="J247" s="2"/>
      <c r="K247" s="2"/>
      <c r="L247" s="2"/>
      <c r="M247" s="2"/>
      <c r="N247" s="2"/>
      <c r="O247" s="45"/>
      <c r="P247" s="49"/>
    </row>
    <row r="248" spans="10:16" x14ac:dyDescent="0.35">
      <c r="J248" s="2"/>
      <c r="K248" s="2"/>
      <c r="L248" s="2"/>
      <c r="M248" s="2"/>
      <c r="N248" s="2"/>
      <c r="O248" s="45"/>
      <c r="P248" s="49"/>
    </row>
    <row r="249" spans="10:16" x14ac:dyDescent="0.35">
      <c r="J249" s="2"/>
      <c r="K249" s="2"/>
      <c r="L249" s="2"/>
      <c r="M249" s="2"/>
      <c r="N249" s="2"/>
      <c r="O249" s="45"/>
      <c r="P249" s="49"/>
    </row>
    <row r="250" spans="10:16" x14ac:dyDescent="0.35">
      <c r="J250" s="2"/>
      <c r="K250" s="2"/>
      <c r="L250" s="2"/>
      <c r="M250" s="2"/>
      <c r="N250" s="2"/>
      <c r="O250" s="45"/>
      <c r="P250" s="49"/>
    </row>
    <row r="251" spans="10:16" x14ac:dyDescent="0.35">
      <c r="J251" s="2"/>
      <c r="K251" s="2"/>
      <c r="L251" s="2"/>
      <c r="M251" s="2"/>
      <c r="N251" s="2"/>
      <c r="O251" s="45"/>
      <c r="P251" s="49"/>
    </row>
    <row r="252" spans="10:16" x14ac:dyDescent="0.35">
      <c r="J252" s="2"/>
      <c r="K252" s="2"/>
      <c r="L252" s="2"/>
      <c r="M252" s="2"/>
      <c r="N252" s="2"/>
      <c r="O252" s="45"/>
      <c r="P252" s="49"/>
    </row>
    <row r="253" spans="10:16" x14ac:dyDescent="0.35">
      <c r="J253" s="2"/>
      <c r="K253" s="2"/>
      <c r="L253" s="2"/>
      <c r="M253" s="2"/>
      <c r="N253" s="2"/>
      <c r="O253" s="45"/>
      <c r="P253" s="49"/>
    </row>
    <row r="254" spans="10:16" x14ac:dyDescent="0.35">
      <c r="J254" s="2"/>
      <c r="K254" s="2"/>
      <c r="L254" s="2"/>
      <c r="M254" s="2"/>
      <c r="N254" s="2"/>
      <c r="O254" s="45"/>
      <c r="P254" s="49"/>
    </row>
    <row r="255" spans="10:16" x14ac:dyDescent="0.35">
      <c r="J255" s="2"/>
      <c r="K255" s="2"/>
      <c r="L255" s="2"/>
      <c r="M255" s="2"/>
      <c r="N255" s="2"/>
      <c r="O255" s="45"/>
      <c r="P255" s="49"/>
    </row>
    <row r="256" spans="10:16" x14ac:dyDescent="0.35">
      <c r="J256" s="2"/>
      <c r="K256" s="2"/>
      <c r="L256" s="2"/>
      <c r="M256" s="2"/>
      <c r="N256" s="2"/>
      <c r="O256" s="45"/>
      <c r="P256" s="49"/>
    </row>
    <row r="257" spans="10:16" x14ac:dyDescent="0.35">
      <c r="J257" s="2"/>
      <c r="K257" s="2"/>
      <c r="L257" s="2"/>
      <c r="M257" s="2"/>
      <c r="N257" s="2"/>
      <c r="O257" s="45"/>
      <c r="P257" s="49"/>
    </row>
    <row r="258" spans="10:16" x14ac:dyDescent="0.35">
      <c r="J258" s="2"/>
      <c r="K258" s="2"/>
      <c r="L258" s="2"/>
      <c r="M258" s="2"/>
      <c r="N258" s="2"/>
      <c r="O258" s="45"/>
      <c r="P258" s="49"/>
    </row>
    <row r="259" spans="10:16" x14ac:dyDescent="0.35">
      <c r="J259" s="2"/>
      <c r="K259" s="2"/>
      <c r="L259" s="2"/>
      <c r="M259" s="2"/>
      <c r="N259" s="2"/>
      <c r="O259" s="45"/>
      <c r="P259" s="49"/>
    </row>
    <row r="260" spans="10:16" x14ac:dyDescent="0.35">
      <c r="J260" s="2"/>
      <c r="K260" s="2"/>
      <c r="L260" s="2"/>
      <c r="M260" s="2"/>
      <c r="N260" s="2"/>
      <c r="O260" s="45"/>
      <c r="P260" s="49"/>
    </row>
    <row r="261" spans="10:16" x14ac:dyDescent="0.35">
      <c r="J261" s="2"/>
      <c r="K261" s="2"/>
      <c r="L261" s="2"/>
      <c r="M261" s="2"/>
      <c r="N261" s="2"/>
      <c r="O261" s="45"/>
      <c r="P261" s="49"/>
    </row>
    <row r="262" spans="10:16" x14ac:dyDescent="0.35">
      <c r="J262" s="2"/>
      <c r="K262" s="2"/>
      <c r="L262" s="2"/>
      <c r="M262" s="2"/>
      <c r="N262" s="2"/>
      <c r="O262" s="45"/>
      <c r="P262" s="49"/>
    </row>
    <row r="263" spans="10:16" x14ac:dyDescent="0.35">
      <c r="J263" s="2"/>
      <c r="K263" s="2"/>
      <c r="L263" s="2"/>
      <c r="M263" s="2"/>
      <c r="N263" s="2"/>
      <c r="O263" s="45"/>
      <c r="P263" s="49"/>
    </row>
    <row r="264" spans="10:16" x14ac:dyDescent="0.35">
      <c r="J264" s="2"/>
      <c r="K264" s="2"/>
      <c r="L264" s="2"/>
      <c r="M264" s="2"/>
      <c r="N264" s="2"/>
      <c r="O264" s="45"/>
      <c r="P264" s="49"/>
    </row>
    <row r="265" spans="10:16" x14ac:dyDescent="0.35">
      <c r="J265" s="2"/>
      <c r="K265" s="2"/>
      <c r="L265" s="2"/>
      <c r="M265" s="2"/>
      <c r="N265" s="2"/>
      <c r="O265" s="45"/>
      <c r="P265" s="49"/>
    </row>
    <row r="266" spans="10:16" x14ac:dyDescent="0.35">
      <c r="J266" s="2"/>
      <c r="K266" s="2"/>
      <c r="L266" s="2"/>
      <c r="M266" s="2"/>
      <c r="N266" s="2"/>
      <c r="O266" s="45"/>
      <c r="P266" s="49"/>
    </row>
    <row r="267" spans="10:16" x14ac:dyDescent="0.35">
      <c r="J267" s="2"/>
      <c r="K267" s="2"/>
      <c r="L267" s="2"/>
      <c r="M267" s="2"/>
      <c r="N267" s="2"/>
      <c r="O267" s="45"/>
      <c r="P267" s="49"/>
    </row>
    <row r="268" spans="10:16" x14ac:dyDescent="0.35">
      <c r="J268" s="2"/>
      <c r="K268" s="2"/>
      <c r="L268" s="2"/>
      <c r="M268" s="2"/>
      <c r="N268" s="2"/>
      <c r="O268" s="45"/>
      <c r="P268" s="49"/>
    </row>
    <row r="269" spans="10:16" x14ac:dyDescent="0.35">
      <c r="J269" s="2"/>
      <c r="K269" s="2"/>
      <c r="L269" s="2"/>
      <c r="M269" s="2"/>
      <c r="N269" s="2"/>
      <c r="O269" s="45"/>
      <c r="P269" s="49"/>
    </row>
    <row r="270" spans="10:16" x14ac:dyDescent="0.35">
      <c r="J270" s="2"/>
      <c r="K270" s="2"/>
      <c r="L270" s="2"/>
      <c r="M270" s="2"/>
      <c r="N270" s="2"/>
      <c r="O270" s="45"/>
      <c r="P270" s="49"/>
    </row>
    <row r="271" spans="10:16" x14ac:dyDescent="0.35">
      <c r="J271" s="2"/>
      <c r="K271" s="2"/>
      <c r="L271" s="2"/>
      <c r="M271" s="2"/>
      <c r="N271" s="2"/>
      <c r="O271" s="45"/>
      <c r="P271" s="49"/>
    </row>
    <row r="272" spans="10:16" x14ac:dyDescent="0.35">
      <c r="J272" s="2"/>
      <c r="K272" s="2"/>
      <c r="L272" s="2"/>
      <c r="M272" s="2"/>
      <c r="N272" s="2"/>
      <c r="O272" s="45"/>
      <c r="P272" s="49"/>
    </row>
    <row r="273" spans="10:16" x14ac:dyDescent="0.35">
      <c r="J273" s="2"/>
      <c r="K273" s="2"/>
      <c r="L273" s="2"/>
      <c r="M273" s="2"/>
      <c r="N273" s="2"/>
      <c r="O273" s="45"/>
      <c r="P273" s="49"/>
    </row>
    <row r="274" spans="10:16" x14ac:dyDescent="0.35">
      <c r="J274" s="2"/>
      <c r="K274" s="2"/>
      <c r="L274" s="2"/>
      <c r="M274" s="2"/>
      <c r="N274" s="2"/>
      <c r="O274" s="45"/>
      <c r="P274" s="49"/>
    </row>
    <row r="275" spans="10:16" x14ac:dyDescent="0.35">
      <c r="J275" s="2"/>
      <c r="K275" s="2"/>
      <c r="L275" s="2"/>
      <c r="M275" s="2"/>
      <c r="N275" s="2"/>
      <c r="O275" s="45"/>
      <c r="P275" s="49"/>
    </row>
    <row r="276" spans="10:16" x14ac:dyDescent="0.35">
      <c r="J276" s="2"/>
      <c r="K276" s="2"/>
      <c r="L276" s="2"/>
      <c r="M276" s="2"/>
      <c r="N276" s="2"/>
      <c r="O276" s="45"/>
      <c r="P276" s="49"/>
    </row>
    <row r="277" spans="10:16" x14ac:dyDescent="0.35">
      <c r="J277" s="2"/>
      <c r="K277" s="2"/>
      <c r="L277" s="2"/>
      <c r="M277" s="2"/>
      <c r="N277" s="2"/>
      <c r="O277" s="45"/>
      <c r="P277" s="49"/>
    </row>
    <row r="278" spans="10:16" x14ac:dyDescent="0.35">
      <c r="J278" s="2"/>
      <c r="K278" s="2"/>
      <c r="L278" s="2"/>
      <c r="M278" s="2"/>
      <c r="N278" s="2"/>
      <c r="O278" s="45"/>
      <c r="P278" s="49"/>
    </row>
    <row r="279" spans="10:16" x14ac:dyDescent="0.35">
      <c r="J279" s="2"/>
      <c r="K279" s="2"/>
      <c r="L279" s="2"/>
      <c r="M279" s="2"/>
      <c r="N279" s="2"/>
      <c r="O279" s="45"/>
      <c r="P279" s="49"/>
    </row>
    <row r="280" spans="10:16" x14ac:dyDescent="0.35">
      <c r="J280" s="2"/>
      <c r="K280" s="2"/>
      <c r="L280" s="2"/>
      <c r="M280" s="2"/>
      <c r="N280" s="2"/>
      <c r="O280" s="45"/>
      <c r="P280" s="49"/>
    </row>
    <row r="281" spans="10:16" x14ac:dyDescent="0.35">
      <c r="J281" s="2"/>
      <c r="K281" s="2"/>
      <c r="L281" s="2"/>
      <c r="M281" s="2"/>
      <c r="N281" s="2"/>
      <c r="O281" s="45"/>
      <c r="P281" s="49"/>
    </row>
    <row r="282" spans="10:16" x14ac:dyDescent="0.35">
      <c r="J282" s="2"/>
      <c r="K282" s="2"/>
      <c r="L282" s="2"/>
      <c r="M282" s="2"/>
      <c r="N282" s="2"/>
      <c r="O282" s="45"/>
      <c r="P282" s="49"/>
    </row>
    <row r="283" spans="10:16" x14ac:dyDescent="0.35">
      <c r="J283" s="2"/>
      <c r="K283" s="2"/>
      <c r="L283" s="2"/>
      <c r="M283" s="2"/>
      <c r="N283" s="2"/>
      <c r="O283" s="45"/>
      <c r="P283" s="49"/>
    </row>
    <row r="284" spans="10:16" x14ac:dyDescent="0.35">
      <c r="J284" s="2"/>
      <c r="K284" s="2"/>
      <c r="L284" s="2"/>
      <c r="M284" s="2"/>
      <c r="N284" s="2"/>
      <c r="O284" s="45"/>
      <c r="P284" s="49"/>
    </row>
    <row r="285" spans="10:16" x14ac:dyDescent="0.35">
      <c r="J285" s="2"/>
      <c r="K285" s="2"/>
      <c r="L285" s="2"/>
      <c r="M285" s="2"/>
      <c r="N285" s="2"/>
      <c r="O285" s="45"/>
      <c r="P285" s="49"/>
    </row>
    <row r="286" spans="10:16" x14ac:dyDescent="0.35">
      <c r="J286" s="2"/>
      <c r="K286" s="2"/>
      <c r="L286" s="2"/>
      <c r="M286" s="2"/>
      <c r="N286" s="2"/>
      <c r="O286" s="45"/>
      <c r="P286" s="49"/>
    </row>
    <row r="287" spans="10:16" x14ac:dyDescent="0.35">
      <c r="J287" s="2"/>
      <c r="K287" s="2"/>
      <c r="L287" s="2"/>
      <c r="M287" s="2"/>
      <c r="N287" s="2"/>
      <c r="O287" s="45"/>
      <c r="P287" s="49"/>
    </row>
    <row r="288" spans="10:16" x14ac:dyDescent="0.35">
      <c r="J288" s="2"/>
      <c r="K288" s="2"/>
      <c r="L288" s="2"/>
      <c r="M288" s="2"/>
      <c r="N288" s="2"/>
      <c r="O288" s="45"/>
      <c r="P288" s="49"/>
    </row>
    <row r="289" spans="10:16" x14ac:dyDescent="0.35">
      <c r="J289" s="2"/>
      <c r="K289" s="2"/>
      <c r="L289" s="2"/>
      <c r="M289" s="2"/>
      <c r="N289" s="2"/>
      <c r="O289" s="45"/>
      <c r="P289" s="49"/>
    </row>
    <row r="290" spans="10:16" x14ac:dyDescent="0.35">
      <c r="J290" s="2"/>
      <c r="K290" s="2"/>
      <c r="L290" s="2"/>
      <c r="M290" s="2"/>
      <c r="N290" s="2"/>
      <c r="O290" s="45"/>
      <c r="P290" s="49"/>
    </row>
    <row r="291" spans="10:16" x14ac:dyDescent="0.35">
      <c r="J291" s="2"/>
      <c r="K291" s="2"/>
      <c r="L291" s="2"/>
      <c r="M291" s="2"/>
      <c r="N291" s="2"/>
      <c r="O291" s="45"/>
      <c r="P291" s="49"/>
    </row>
    <row r="292" spans="10:16" x14ac:dyDescent="0.35">
      <c r="J292" s="2"/>
      <c r="K292" s="2"/>
      <c r="L292" s="2"/>
      <c r="M292" s="2"/>
      <c r="N292" s="2"/>
      <c r="O292" s="45"/>
      <c r="P292" s="49"/>
    </row>
    <row r="293" spans="10:16" x14ac:dyDescent="0.35">
      <c r="J293" s="2"/>
      <c r="K293" s="2"/>
      <c r="L293" s="2"/>
      <c r="M293" s="2"/>
      <c r="N293" s="2"/>
      <c r="O293" s="45"/>
      <c r="P293" s="49"/>
    </row>
    <row r="294" spans="10:16" x14ac:dyDescent="0.35">
      <c r="J294" s="2"/>
      <c r="K294" s="2"/>
      <c r="L294" s="2"/>
      <c r="M294" s="2"/>
      <c r="N294" s="2"/>
      <c r="O294" s="45"/>
      <c r="P294" s="49"/>
    </row>
    <row r="295" spans="10:16" x14ac:dyDescent="0.35">
      <c r="J295" s="2"/>
      <c r="K295" s="2"/>
      <c r="L295" s="2"/>
      <c r="M295" s="2"/>
      <c r="N295" s="2"/>
      <c r="O295" s="45"/>
      <c r="P295" s="49"/>
    </row>
    <row r="296" spans="10:16" x14ac:dyDescent="0.35">
      <c r="J296" s="2"/>
      <c r="K296" s="2"/>
      <c r="L296" s="2"/>
      <c r="M296" s="2"/>
      <c r="N296" s="2"/>
      <c r="O296" s="45"/>
      <c r="P296" s="49"/>
    </row>
    <row r="297" spans="10:16" x14ac:dyDescent="0.35">
      <c r="J297" s="2"/>
      <c r="K297" s="2"/>
      <c r="L297" s="2"/>
      <c r="M297" s="2"/>
      <c r="N297" s="2"/>
      <c r="O297" s="45"/>
      <c r="P297" s="49"/>
    </row>
    <row r="298" spans="10:16" x14ac:dyDescent="0.35">
      <c r="J298" s="2"/>
      <c r="K298" s="2"/>
      <c r="L298" s="2"/>
      <c r="M298" s="2"/>
      <c r="N298" s="2"/>
      <c r="O298" s="45"/>
      <c r="P298" s="49"/>
    </row>
    <row r="299" spans="10:16" x14ac:dyDescent="0.35">
      <c r="J299" s="2"/>
      <c r="K299" s="2"/>
      <c r="L299" s="2"/>
      <c r="M299" s="2"/>
      <c r="N299" s="2"/>
      <c r="O299" s="45"/>
      <c r="P299" s="49"/>
    </row>
    <row r="300" spans="10:16" x14ac:dyDescent="0.35">
      <c r="J300" s="2"/>
      <c r="K300" s="2"/>
      <c r="L300" s="2"/>
      <c r="M300" s="2"/>
      <c r="N300" s="2"/>
      <c r="O300" s="45"/>
      <c r="P300" s="49"/>
    </row>
    <row r="301" spans="10:16" x14ac:dyDescent="0.35">
      <c r="J301" s="2"/>
      <c r="K301" s="2"/>
      <c r="L301" s="2"/>
      <c r="M301" s="2"/>
      <c r="N301" s="2"/>
      <c r="O301" s="45"/>
      <c r="P301" s="49"/>
    </row>
    <row r="302" spans="10:16" x14ac:dyDescent="0.35">
      <c r="J302" s="2"/>
      <c r="K302" s="2"/>
      <c r="L302" s="2"/>
      <c r="M302" s="2"/>
      <c r="N302" s="2"/>
      <c r="O302" s="45"/>
      <c r="P302" s="49"/>
    </row>
    <row r="303" spans="10:16" x14ac:dyDescent="0.35">
      <c r="J303" s="2"/>
      <c r="K303" s="2"/>
      <c r="L303" s="2"/>
      <c r="M303" s="2"/>
      <c r="N303" s="2"/>
      <c r="O303" s="45"/>
      <c r="P303" s="49"/>
    </row>
    <row r="304" spans="10:16" x14ac:dyDescent="0.35">
      <c r="J304" s="2"/>
      <c r="K304" s="2"/>
      <c r="L304" s="2"/>
      <c r="M304" s="2"/>
      <c r="N304" s="2"/>
      <c r="O304" s="45"/>
      <c r="P304" s="49"/>
    </row>
    <row r="305" spans="10:16" x14ac:dyDescent="0.35">
      <c r="J305" s="2"/>
      <c r="K305" s="2"/>
      <c r="L305" s="2"/>
      <c r="M305" s="2"/>
      <c r="N305" s="2"/>
      <c r="O305" s="45"/>
      <c r="P305" s="49"/>
    </row>
    <row r="306" spans="10:16" x14ac:dyDescent="0.35">
      <c r="J306" s="2"/>
      <c r="K306" s="2"/>
      <c r="L306" s="2"/>
      <c r="M306" s="2"/>
      <c r="N306" s="2"/>
      <c r="O306" s="45"/>
      <c r="P306" s="49"/>
    </row>
    <row r="307" spans="10:16" x14ac:dyDescent="0.35">
      <c r="J307" s="2"/>
      <c r="K307" s="2"/>
      <c r="L307" s="2"/>
      <c r="M307" s="2"/>
      <c r="N307" s="2"/>
      <c r="O307" s="45"/>
      <c r="P307" s="49"/>
    </row>
    <row r="308" spans="10:16" x14ac:dyDescent="0.35">
      <c r="J308" s="2"/>
      <c r="K308" s="2"/>
      <c r="L308" s="2"/>
      <c r="M308" s="2"/>
      <c r="N308" s="2"/>
      <c r="O308" s="45"/>
      <c r="P308" s="49"/>
    </row>
    <row r="309" spans="10:16" x14ac:dyDescent="0.35">
      <c r="J309" s="2"/>
      <c r="K309" s="2"/>
      <c r="L309" s="2"/>
      <c r="M309" s="2"/>
      <c r="N309" s="2"/>
      <c r="O309" s="45"/>
      <c r="P309" s="49"/>
    </row>
    <row r="310" spans="10:16" x14ac:dyDescent="0.35">
      <c r="J310" s="2"/>
      <c r="K310" s="2"/>
      <c r="L310" s="2"/>
      <c r="M310" s="2"/>
      <c r="N310" s="2"/>
      <c r="O310" s="45"/>
      <c r="P310" s="49"/>
    </row>
    <row r="311" spans="10:16" x14ac:dyDescent="0.35">
      <c r="J311" s="2"/>
      <c r="K311" s="2"/>
      <c r="L311" s="2"/>
      <c r="M311" s="2"/>
      <c r="N311" s="2"/>
      <c r="O311" s="45"/>
      <c r="P311" s="49"/>
    </row>
    <row r="312" spans="10:16" x14ac:dyDescent="0.35">
      <c r="J312" s="2"/>
      <c r="K312" s="2"/>
      <c r="L312" s="2"/>
      <c r="M312" s="2"/>
      <c r="N312" s="2"/>
      <c r="O312" s="45"/>
      <c r="P312" s="49"/>
    </row>
    <row r="313" spans="10:16" x14ac:dyDescent="0.35">
      <c r="J313" s="2"/>
      <c r="K313" s="2"/>
      <c r="L313" s="2"/>
      <c r="M313" s="2"/>
      <c r="N313" s="2"/>
      <c r="O313" s="45"/>
      <c r="P313" s="49"/>
    </row>
    <row r="314" spans="10:16" x14ac:dyDescent="0.35">
      <c r="J314" s="2"/>
      <c r="K314" s="2"/>
      <c r="L314" s="2"/>
      <c r="M314" s="2"/>
      <c r="N314" s="2"/>
      <c r="O314" s="45"/>
      <c r="P314" s="49"/>
    </row>
    <row r="315" spans="10:16" x14ac:dyDescent="0.35">
      <c r="J315" s="2"/>
      <c r="K315" s="2"/>
      <c r="L315" s="2"/>
      <c r="M315" s="2"/>
      <c r="N315" s="2"/>
      <c r="O315" s="45"/>
      <c r="P315" s="49"/>
    </row>
    <row r="316" spans="10:16" x14ac:dyDescent="0.35">
      <c r="J316" s="2"/>
      <c r="K316" s="2"/>
      <c r="L316" s="2"/>
      <c r="M316" s="2"/>
      <c r="N316" s="2"/>
      <c r="O316" s="45"/>
      <c r="P316" s="49"/>
    </row>
    <row r="317" spans="10:16" x14ac:dyDescent="0.35">
      <c r="J317" s="2"/>
      <c r="K317" s="2"/>
      <c r="L317" s="2"/>
      <c r="M317" s="2"/>
      <c r="N317" s="2"/>
      <c r="O317" s="45"/>
      <c r="P317" s="49"/>
    </row>
    <row r="318" spans="10:16" x14ac:dyDescent="0.35">
      <c r="J318" s="2"/>
      <c r="K318" s="2"/>
      <c r="L318" s="2"/>
      <c r="M318" s="2"/>
      <c r="N318" s="2"/>
      <c r="O318" s="45"/>
      <c r="P318" s="49"/>
    </row>
    <row r="319" spans="10:16" x14ac:dyDescent="0.35">
      <c r="J319" s="2"/>
      <c r="K319" s="2"/>
      <c r="L319" s="2"/>
      <c r="M319" s="2"/>
      <c r="N319" s="2"/>
      <c r="O319" s="45"/>
      <c r="P319" s="49"/>
    </row>
    <row r="320" spans="10:16" x14ac:dyDescent="0.35">
      <c r="J320" s="2"/>
      <c r="K320" s="2"/>
      <c r="L320" s="2"/>
      <c r="M320" s="2"/>
      <c r="N320" s="2"/>
      <c r="O320" s="45"/>
      <c r="P320" s="49"/>
    </row>
    <row r="321" spans="10:16" x14ac:dyDescent="0.35">
      <c r="J321" s="2"/>
      <c r="K321" s="2"/>
      <c r="L321" s="2"/>
      <c r="M321" s="2"/>
      <c r="N321" s="2"/>
      <c r="O321" s="45"/>
      <c r="P321" s="49"/>
    </row>
    <row r="322" spans="10:16" x14ac:dyDescent="0.35">
      <c r="J322" s="2"/>
      <c r="K322" s="2"/>
      <c r="L322" s="2"/>
      <c r="M322" s="2"/>
      <c r="N322" s="2"/>
      <c r="O322" s="45"/>
      <c r="P322" s="49"/>
    </row>
    <row r="323" spans="10:16" x14ac:dyDescent="0.35">
      <c r="J323" s="2"/>
      <c r="K323" s="2"/>
      <c r="L323" s="2"/>
      <c r="M323" s="2"/>
      <c r="N323" s="2"/>
      <c r="O323" s="45"/>
      <c r="P323" s="49"/>
    </row>
    <row r="324" spans="10:16" x14ac:dyDescent="0.35">
      <c r="J324" s="2"/>
      <c r="K324" s="2"/>
      <c r="L324" s="2"/>
      <c r="M324" s="2"/>
      <c r="N324" s="2"/>
      <c r="O324" s="45"/>
      <c r="P324" s="49"/>
    </row>
    <row r="325" spans="10:16" x14ac:dyDescent="0.35">
      <c r="J325" s="2"/>
      <c r="K325" s="2"/>
      <c r="L325" s="2"/>
      <c r="M325" s="2"/>
      <c r="N325" s="2"/>
      <c r="O325" s="45"/>
      <c r="P325" s="49"/>
    </row>
    <row r="326" spans="10:16" x14ac:dyDescent="0.35">
      <c r="J326" s="2"/>
      <c r="K326" s="2"/>
      <c r="L326" s="2"/>
      <c r="M326" s="2"/>
      <c r="N326" s="2"/>
      <c r="O326" s="45"/>
      <c r="P326" s="49"/>
    </row>
    <row r="327" spans="10:16" x14ac:dyDescent="0.35">
      <c r="J327" s="2"/>
      <c r="K327" s="2"/>
      <c r="L327" s="2"/>
      <c r="M327" s="2"/>
      <c r="N327" s="2"/>
      <c r="O327" s="45"/>
      <c r="P327" s="49"/>
    </row>
    <row r="328" spans="10:16" x14ac:dyDescent="0.35">
      <c r="J328" s="2"/>
      <c r="K328" s="2"/>
      <c r="L328" s="2"/>
      <c r="M328" s="2"/>
      <c r="N328" s="2"/>
      <c r="O328" s="45"/>
      <c r="P328" s="49"/>
    </row>
    <row r="329" spans="10:16" x14ac:dyDescent="0.35">
      <c r="J329" s="2"/>
      <c r="K329" s="2"/>
      <c r="L329" s="2"/>
      <c r="M329" s="2"/>
      <c r="N329" s="2"/>
      <c r="O329" s="45"/>
      <c r="P329" s="49"/>
    </row>
    <row r="330" spans="10:16" x14ac:dyDescent="0.35">
      <c r="J330" s="2"/>
      <c r="K330" s="2"/>
      <c r="L330" s="2"/>
      <c r="M330" s="2"/>
      <c r="N330" s="2"/>
      <c r="O330" s="45"/>
      <c r="P330" s="49"/>
    </row>
    <row r="331" spans="10:16" x14ac:dyDescent="0.35">
      <c r="J331" s="2"/>
      <c r="K331" s="2"/>
      <c r="L331" s="2"/>
      <c r="M331" s="2"/>
      <c r="N331" s="2"/>
      <c r="O331" s="45"/>
      <c r="P331" s="49"/>
    </row>
    <row r="332" spans="10:16" x14ac:dyDescent="0.35">
      <c r="J332" s="2"/>
      <c r="K332" s="2"/>
      <c r="L332" s="2"/>
      <c r="M332" s="2"/>
      <c r="N332" s="2"/>
      <c r="O332" s="45"/>
      <c r="P332" s="49"/>
    </row>
    <row r="333" spans="10:16" x14ac:dyDescent="0.35">
      <c r="J333" s="2"/>
      <c r="K333" s="2"/>
      <c r="L333" s="2"/>
      <c r="M333" s="2"/>
      <c r="N333" s="2"/>
      <c r="O333" s="45"/>
      <c r="P333" s="49"/>
    </row>
    <row r="334" spans="10:16" x14ac:dyDescent="0.35">
      <c r="J334" s="2"/>
      <c r="K334" s="2"/>
      <c r="L334" s="2"/>
      <c r="M334" s="2"/>
      <c r="N334" s="2"/>
      <c r="O334" s="45"/>
      <c r="P334" s="49"/>
    </row>
    <row r="335" spans="10:16" x14ac:dyDescent="0.35">
      <c r="J335" s="2"/>
      <c r="K335" s="2"/>
      <c r="L335" s="2"/>
      <c r="M335" s="2"/>
      <c r="N335" s="2"/>
      <c r="O335" s="45"/>
      <c r="P335" s="49"/>
    </row>
    <row r="336" spans="10:16" x14ac:dyDescent="0.35">
      <c r="J336" s="2"/>
      <c r="K336" s="2"/>
      <c r="L336" s="2"/>
      <c r="M336" s="2"/>
      <c r="N336" s="2"/>
      <c r="O336" s="45"/>
      <c r="P336" s="49"/>
    </row>
    <row r="337" spans="10:16" x14ac:dyDescent="0.35">
      <c r="J337" s="2"/>
      <c r="K337" s="2"/>
      <c r="L337" s="2"/>
      <c r="M337" s="2"/>
      <c r="N337" s="2"/>
      <c r="O337" s="45"/>
      <c r="P337" s="49"/>
    </row>
    <row r="338" spans="10:16" x14ac:dyDescent="0.35">
      <c r="J338" s="2"/>
      <c r="K338" s="2"/>
      <c r="L338" s="2"/>
      <c r="M338" s="2"/>
      <c r="N338" s="2"/>
      <c r="O338" s="45"/>
      <c r="P338" s="49"/>
    </row>
    <row r="339" spans="10:16" x14ac:dyDescent="0.35">
      <c r="J339" s="2"/>
      <c r="K339" s="2"/>
      <c r="L339" s="2"/>
      <c r="M339" s="2"/>
      <c r="N339" s="2"/>
      <c r="O339" s="45"/>
      <c r="P339" s="49"/>
    </row>
    <row r="340" spans="10:16" x14ac:dyDescent="0.35">
      <c r="J340" s="2"/>
      <c r="K340" s="2"/>
      <c r="L340" s="2"/>
      <c r="M340" s="2"/>
      <c r="N340" s="2"/>
      <c r="O340" s="45"/>
      <c r="P340" s="49"/>
    </row>
    <row r="341" spans="10:16" x14ac:dyDescent="0.35">
      <c r="J341" s="2"/>
      <c r="K341" s="2"/>
      <c r="L341" s="2"/>
      <c r="M341" s="2"/>
      <c r="N341" s="2"/>
      <c r="O341" s="45"/>
      <c r="P341" s="49"/>
    </row>
    <row r="342" spans="10:16" x14ac:dyDescent="0.35">
      <c r="J342" s="2"/>
      <c r="K342" s="2"/>
      <c r="L342" s="2"/>
      <c r="M342" s="2"/>
      <c r="N342" s="2"/>
      <c r="O342" s="45"/>
      <c r="P342" s="49"/>
    </row>
    <row r="343" spans="10:16" x14ac:dyDescent="0.35">
      <c r="J343" s="2"/>
      <c r="K343" s="2"/>
      <c r="L343" s="2"/>
      <c r="M343" s="2"/>
      <c r="N343" s="2"/>
      <c r="O343" s="45"/>
      <c r="P343" s="49"/>
    </row>
    <row r="344" spans="10:16" x14ac:dyDescent="0.35">
      <c r="J344" s="2"/>
      <c r="K344" s="2"/>
      <c r="L344" s="2"/>
      <c r="M344" s="2"/>
      <c r="N344" s="2"/>
      <c r="O344" s="45"/>
      <c r="P344" s="49"/>
    </row>
    <row r="345" spans="10:16" x14ac:dyDescent="0.35">
      <c r="J345" s="2"/>
      <c r="K345" s="2"/>
      <c r="L345" s="2"/>
      <c r="M345" s="2"/>
      <c r="N345" s="2"/>
      <c r="O345" s="45"/>
      <c r="P345" s="49"/>
    </row>
    <row r="346" spans="10:16" x14ac:dyDescent="0.35">
      <c r="J346" s="2"/>
      <c r="K346" s="2"/>
      <c r="L346" s="2"/>
      <c r="M346" s="2"/>
      <c r="N346" s="2"/>
      <c r="O346" s="45"/>
      <c r="P346" s="49"/>
    </row>
    <row r="347" spans="10:16" x14ac:dyDescent="0.35">
      <c r="J347" s="2"/>
      <c r="K347" s="2"/>
      <c r="L347" s="2"/>
      <c r="M347" s="2"/>
      <c r="N347" s="2"/>
      <c r="O347" s="45"/>
      <c r="P347" s="49"/>
    </row>
    <row r="348" spans="10:16" x14ac:dyDescent="0.35">
      <c r="J348" s="2"/>
      <c r="K348" s="2"/>
      <c r="L348" s="2"/>
      <c r="M348" s="2"/>
      <c r="N348" s="2"/>
      <c r="O348" s="45"/>
      <c r="P348" s="49"/>
    </row>
    <row r="349" spans="10:16" x14ac:dyDescent="0.35">
      <c r="J349" s="2"/>
      <c r="K349" s="2"/>
      <c r="L349" s="2"/>
      <c r="M349" s="2"/>
      <c r="N349" s="2"/>
      <c r="O349" s="45"/>
      <c r="P349" s="49"/>
    </row>
    <row r="350" spans="10:16" x14ac:dyDescent="0.35">
      <c r="J350" s="2"/>
      <c r="K350" s="2"/>
      <c r="L350" s="2"/>
      <c r="M350" s="2"/>
      <c r="N350" s="2"/>
      <c r="O350" s="45"/>
      <c r="P350" s="49"/>
    </row>
    <row r="351" spans="10:16" x14ac:dyDescent="0.35">
      <c r="J351" s="2"/>
      <c r="K351" s="2"/>
      <c r="L351" s="2"/>
      <c r="M351" s="2"/>
      <c r="N351" s="2"/>
      <c r="O351" s="45"/>
      <c r="P351" s="49"/>
    </row>
    <row r="352" spans="10:16" x14ac:dyDescent="0.35">
      <c r="J352" s="2"/>
      <c r="K352" s="2"/>
      <c r="L352" s="2"/>
      <c r="M352" s="2"/>
      <c r="N352" s="2"/>
      <c r="O352" s="45"/>
      <c r="P352" s="49"/>
    </row>
    <row r="353" spans="2:16" x14ac:dyDescent="0.35">
      <c r="B353" s="23"/>
      <c r="C353" s="23"/>
      <c r="D353" s="23"/>
      <c r="E353" s="23"/>
      <c r="F353" s="23"/>
      <c r="G353" s="23"/>
      <c r="H353" s="23"/>
      <c r="I353" s="23"/>
      <c r="J353" s="24"/>
      <c r="K353" s="23"/>
      <c r="L353" s="23"/>
      <c r="M353" s="23"/>
      <c r="N353" s="23"/>
      <c r="O353" s="45"/>
      <c r="P353" s="45"/>
    </row>
  </sheetData>
  <mergeCells count="11">
    <mergeCell ref="S6:AD6"/>
    <mergeCell ref="AE6:AE7"/>
    <mergeCell ref="S12:AD12"/>
    <mergeCell ref="B29:N29"/>
    <mergeCell ref="B17:N17"/>
    <mergeCell ref="B48:N48"/>
    <mergeCell ref="B55:M55"/>
    <mergeCell ref="N55:N56"/>
    <mergeCell ref="B61:M61"/>
    <mergeCell ref="B4:N4"/>
    <mergeCell ref="B43:N43"/>
  </mergeCells>
  <conditionalFormatting sqref="B40:H40">
    <cfRule type="colorScale" priority="5">
      <colorScale>
        <cfvo type="min"/>
        <cfvo type="percentile" val="50"/>
        <cfvo type="max"/>
        <color rgb="FFF8696B"/>
        <color rgb="FFFFEB84"/>
        <color rgb="FF63BE7B"/>
      </colorScale>
    </cfRule>
  </conditionalFormatting>
  <conditionalFormatting sqref="B59:H59">
    <cfRule type="colorScale" priority="4">
      <colorScale>
        <cfvo type="min"/>
        <cfvo type="percentile" val="50"/>
        <cfvo type="max"/>
        <color rgb="FFF8696B"/>
        <color rgb="FFFFEB84"/>
        <color rgb="FF63BE7B"/>
      </colorScale>
    </cfRule>
  </conditionalFormatting>
  <conditionalFormatting sqref="B64:H64">
    <cfRule type="colorScale" priority="3">
      <colorScale>
        <cfvo type="min"/>
        <cfvo type="max"/>
        <color rgb="FFFCFCFF"/>
        <color rgb="FF63BE7B"/>
      </colorScale>
    </cfRule>
  </conditionalFormatting>
  <conditionalFormatting sqref="B40:M40">
    <cfRule type="colorScale" priority="1">
      <colorScale>
        <cfvo type="min"/>
        <cfvo type="percentile" val="50"/>
        <cfvo type="max"/>
        <color rgb="FFF8696B"/>
        <color rgb="FFFFEB84"/>
        <color rgb="FF63BE7B"/>
      </colorScale>
    </cfRule>
  </conditionalFormatting>
  <conditionalFormatting sqref="B45:M45">
    <cfRule type="colorScale" priority="2">
      <colorScale>
        <cfvo type="min"/>
        <cfvo type="percentile" val="50"/>
        <cfvo type="max"/>
        <color rgb="FFF8696B"/>
        <color rgb="FFFFEB84"/>
        <color rgb="FF63BE7B"/>
      </colorScale>
    </cfRule>
  </conditionalFormatting>
  <conditionalFormatting sqref="B31:N38">
    <cfRule type="colorScale" priority="9">
      <colorScale>
        <cfvo type="min"/>
        <cfvo type="percentile" val="50"/>
        <cfvo type="max"/>
        <color rgb="FFF8696B"/>
        <color rgb="FFFFEB84"/>
        <color rgb="FF63BE7B"/>
      </colorScale>
    </cfRule>
  </conditionalFormatting>
  <conditionalFormatting sqref="S10:Y10">
    <cfRule type="colorScale" priority="8">
      <colorScale>
        <cfvo type="min"/>
        <cfvo type="percentile" val="50"/>
        <cfvo type="max"/>
        <color rgb="FFF8696B"/>
        <color rgb="FFFFEB84"/>
        <color rgb="FF63BE7B"/>
      </colorScale>
    </cfRule>
  </conditionalFormatting>
  <conditionalFormatting sqref="S15:Y15">
    <cfRule type="colorScale" priority="6">
      <colorScale>
        <cfvo type="min"/>
        <cfvo type="max"/>
        <color rgb="FFFCFCFF"/>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79DE-80BE-4E34-9D1B-EA70AEC53278}">
  <sheetPr>
    <tabColor rgb="FFFFFF00"/>
  </sheetPr>
  <dimension ref="A1:CW424"/>
  <sheetViews>
    <sheetView zoomScale="90" zoomScaleNormal="90" workbookViewId="0">
      <selection activeCell="L25" sqref="L25"/>
    </sheetView>
  </sheetViews>
  <sheetFormatPr defaultColWidth="9.1796875" defaultRowHeight="15.5" x14ac:dyDescent="0.35"/>
  <cols>
    <col min="1" max="1" width="19.81640625" style="146" customWidth="1"/>
    <col min="2" max="2" width="14.26953125" style="146" bestFit="1" customWidth="1"/>
    <col min="3" max="3" width="19.54296875" style="146" customWidth="1"/>
    <col min="4" max="4" width="22.26953125" style="147" customWidth="1"/>
    <col min="5" max="5" width="12.7265625" style="146" customWidth="1"/>
    <col min="6" max="6" width="15.453125" style="146" customWidth="1"/>
    <col min="7" max="7" width="17.7265625" style="146" bestFit="1" customWidth="1"/>
    <col min="8" max="8" width="15.54296875" style="146" customWidth="1"/>
    <col min="9" max="9" width="16.7265625" style="146" bestFit="1" customWidth="1"/>
    <col min="10" max="10" width="15.54296875" style="146" customWidth="1"/>
    <col min="11" max="11" width="12.453125" style="146" customWidth="1"/>
    <col min="12" max="12" width="16.81640625" style="146" customWidth="1"/>
    <col min="13" max="13" width="16.7265625" style="146" customWidth="1"/>
    <col min="14" max="14" width="19.81640625" style="146" bestFit="1" customWidth="1"/>
    <col min="15" max="15" width="23.81640625" style="114" bestFit="1" customWidth="1"/>
    <col min="16" max="16" width="14.1796875" style="114" bestFit="1" customWidth="1"/>
    <col min="17" max="19" width="9.1796875" style="114"/>
    <col min="20" max="20" width="24.26953125" style="114" bestFit="1" customWidth="1"/>
    <col min="21" max="101" width="9.1796875" style="114"/>
    <col min="102" max="16384" width="9.1796875" style="146"/>
  </cols>
  <sheetData>
    <row r="1" spans="1:34" ht="3.75" customHeight="1" thickBot="1" x14ac:dyDescent="0.4"/>
    <row r="2" spans="1:34" x14ac:dyDescent="0.35">
      <c r="A2" s="231" t="s">
        <v>2264</v>
      </c>
      <c r="B2" s="232"/>
      <c r="C2" s="232"/>
      <c r="D2" s="232"/>
      <c r="E2" s="232"/>
      <c r="F2" s="232"/>
      <c r="G2" s="232"/>
      <c r="H2" s="232"/>
      <c r="I2" s="232"/>
      <c r="J2" s="232"/>
      <c r="K2" s="232"/>
      <c r="L2" s="232"/>
      <c r="M2" s="232"/>
      <c r="N2" s="233"/>
    </row>
    <row r="3" spans="1:34" ht="16" thickBot="1" x14ac:dyDescent="0.4">
      <c r="A3" s="234"/>
      <c r="B3" s="235"/>
      <c r="C3" s="235"/>
      <c r="D3" s="235"/>
      <c r="E3" s="235"/>
      <c r="F3" s="235"/>
      <c r="G3" s="235"/>
      <c r="H3" s="235"/>
      <c r="I3" s="235"/>
      <c r="J3" s="235"/>
      <c r="K3" s="235"/>
      <c r="L3" s="235"/>
      <c r="M3" s="235"/>
      <c r="N3" s="236"/>
    </row>
    <row r="4" spans="1:34" x14ac:dyDescent="0.35">
      <c r="A4" s="237" t="s">
        <v>2266</v>
      </c>
      <c r="B4" s="238"/>
      <c r="C4" s="238"/>
      <c r="D4" s="238"/>
      <c r="E4" s="238"/>
      <c r="F4" s="238"/>
      <c r="G4" s="238"/>
      <c r="H4" s="238"/>
      <c r="I4" s="238"/>
      <c r="J4" s="238"/>
      <c r="K4" s="238"/>
      <c r="L4" s="238"/>
      <c r="M4" s="238"/>
      <c r="N4" s="239"/>
    </row>
    <row r="5" spans="1:34" x14ac:dyDescent="0.35">
      <c r="A5" s="174"/>
      <c r="B5" s="111" t="s">
        <v>595</v>
      </c>
      <c r="C5" s="111" t="s">
        <v>1114</v>
      </c>
      <c r="D5" s="111" t="s">
        <v>236</v>
      </c>
      <c r="E5" s="111" t="s">
        <v>198</v>
      </c>
      <c r="F5" s="111" t="s">
        <v>226</v>
      </c>
      <c r="G5" s="111" t="s">
        <v>1538</v>
      </c>
      <c r="H5" s="111" t="s">
        <v>2026</v>
      </c>
      <c r="I5" s="111" t="s">
        <v>239</v>
      </c>
      <c r="J5" s="111" t="s">
        <v>2027</v>
      </c>
      <c r="K5" s="111" t="s">
        <v>834</v>
      </c>
      <c r="L5" s="111" t="s">
        <v>751</v>
      </c>
      <c r="M5" s="111" t="s">
        <v>145</v>
      </c>
      <c r="N5" s="112" t="s">
        <v>2030</v>
      </c>
    </row>
    <row r="6" spans="1:34" x14ac:dyDescent="0.35">
      <c r="A6" s="151" t="s">
        <v>2256</v>
      </c>
      <c r="B6" s="31">
        <v>45</v>
      </c>
      <c r="C6" s="31">
        <v>38</v>
      </c>
      <c r="D6" s="31">
        <v>38</v>
      </c>
      <c r="E6" s="31">
        <v>37</v>
      </c>
      <c r="F6" s="31">
        <v>39</v>
      </c>
      <c r="G6" s="32">
        <v>40</v>
      </c>
      <c r="H6" s="32">
        <v>33</v>
      </c>
      <c r="I6" s="32">
        <v>41</v>
      </c>
      <c r="J6" s="32">
        <v>42</v>
      </c>
      <c r="K6" s="32">
        <v>38</v>
      </c>
      <c r="L6" s="32">
        <v>39</v>
      </c>
      <c r="M6" s="32">
        <v>29</v>
      </c>
      <c r="N6" s="113">
        <f>SUM(B6:M6)</f>
        <v>459</v>
      </c>
    </row>
    <row r="7" spans="1:34" x14ac:dyDescent="0.35">
      <c r="A7" s="171" t="s">
        <v>2252</v>
      </c>
      <c r="B7" s="172">
        <f>OTD!B58</f>
        <v>54</v>
      </c>
      <c r="C7" s="172">
        <f>OTD!C58</f>
        <v>60</v>
      </c>
      <c r="D7" s="172">
        <f>OTD!D58</f>
        <v>44</v>
      </c>
      <c r="E7" s="172">
        <f>OTD!E58</f>
        <v>51</v>
      </c>
      <c r="F7" s="172">
        <f>OTD!F58</f>
        <v>44</v>
      </c>
      <c r="G7" s="172">
        <f>OTD!G58</f>
        <v>52</v>
      </c>
      <c r="H7" s="172">
        <f>OTD!H58</f>
        <v>44</v>
      </c>
      <c r="I7" s="172">
        <f>OTD!I58</f>
        <v>3</v>
      </c>
      <c r="J7" s="172">
        <f>OTD!J58</f>
        <v>0</v>
      </c>
      <c r="K7" s="172">
        <f>OTD!K58</f>
        <v>0</v>
      </c>
      <c r="L7" s="172">
        <f>OTD!L58</f>
        <v>0</v>
      </c>
      <c r="M7" s="172">
        <f>OTD!M58</f>
        <v>0</v>
      </c>
      <c r="N7" s="214">
        <f>SUM(B7:M7)</f>
        <v>352</v>
      </c>
    </row>
    <row r="8" spans="1:34" ht="16" thickBot="1" x14ac:dyDescent="0.4">
      <c r="A8" s="152" t="s">
        <v>2308</v>
      </c>
      <c r="B8" s="215"/>
      <c r="C8" s="215"/>
      <c r="D8" s="215"/>
      <c r="E8" s="215"/>
      <c r="F8" s="215">
        <v>37</v>
      </c>
      <c r="G8" s="215">
        <v>52</v>
      </c>
      <c r="H8" s="215">
        <v>28</v>
      </c>
      <c r="I8" s="215">
        <v>46</v>
      </c>
      <c r="J8" s="215">
        <v>20</v>
      </c>
      <c r="K8" s="215"/>
      <c r="L8" s="215"/>
      <c r="M8" s="215"/>
      <c r="N8" s="148">
        <f>SUM(B8:M8)</f>
        <v>183</v>
      </c>
    </row>
    <row r="9" spans="1:34" ht="16" thickBot="1" x14ac:dyDescent="0.4">
      <c r="A9" s="110"/>
      <c r="B9" s="110"/>
      <c r="C9" s="110"/>
      <c r="D9" s="110"/>
      <c r="E9" s="110"/>
      <c r="F9" s="110"/>
      <c r="G9" s="110"/>
      <c r="H9" s="110"/>
      <c r="I9" s="110"/>
      <c r="J9" s="110"/>
      <c r="K9" s="110"/>
      <c r="L9" s="110"/>
      <c r="M9" s="110"/>
      <c r="N9" s="110"/>
    </row>
    <row r="10" spans="1:34" x14ac:dyDescent="0.35">
      <c r="A10" s="240" t="s">
        <v>2266</v>
      </c>
      <c r="B10" s="241"/>
      <c r="C10" s="241"/>
      <c r="D10" s="241"/>
      <c r="E10" s="241"/>
      <c r="F10" s="241"/>
      <c r="G10" s="241"/>
      <c r="H10" s="241"/>
      <c r="I10" s="241"/>
      <c r="J10" s="241"/>
      <c r="K10" s="241"/>
      <c r="L10" s="241"/>
      <c r="M10" s="242"/>
      <c r="N10" s="110"/>
      <c r="S10" s="110"/>
      <c r="T10" s="110"/>
      <c r="U10" s="110"/>
      <c r="V10" s="110"/>
      <c r="W10" s="110"/>
      <c r="X10" s="110"/>
      <c r="Y10" s="110"/>
      <c r="Z10" s="110"/>
      <c r="AA10" s="110"/>
      <c r="AB10" s="110"/>
      <c r="AC10" s="110"/>
      <c r="AD10" s="110"/>
      <c r="AE10" s="110"/>
      <c r="AF10" s="110"/>
      <c r="AG10" s="110"/>
      <c r="AH10" s="110"/>
    </row>
    <row r="11" spans="1:34" x14ac:dyDescent="0.35">
      <c r="A11" s="174"/>
      <c r="B11" s="111" t="s">
        <v>595</v>
      </c>
      <c r="C11" s="111" t="s">
        <v>1114</v>
      </c>
      <c r="D11" s="111" t="s">
        <v>236</v>
      </c>
      <c r="E11" s="111" t="s">
        <v>198</v>
      </c>
      <c r="F11" s="111" t="s">
        <v>226</v>
      </c>
      <c r="G11" s="111" t="s">
        <v>1538</v>
      </c>
      <c r="H11" s="111" t="s">
        <v>2026</v>
      </c>
      <c r="I11" s="111" t="s">
        <v>239</v>
      </c>
      <c r="J11" s="111" t="s">
        <v>2027</v>
      </c>
      <c r="K11" s="111" t="s">
        <v>834</v>
      </c>
      <c r="L11" s="111" t="s">
        <v>751</v>
      </c>
      <c r="M11" s="112" t="s">
        <v>145</v>
      </c>
      <c r="N11" s="110"/>
      <c r="S11" s="110"/>
      <c r="T11" s="110"/>
      <c r="U11" s="110"/>
      <c r="V11" s="110"/>
      <c r="W11" s="110"/>
      <c r="X11" s="110"/>
      <c r="Y11" s="110"/>
      <c r="Z11" s="110"/>
      <c r="AA11" s="110"/>
      <c r="AB11" s="110"/>
      <c r="AC11" s="110"/>
      <c r="AD11" s="110"/>
      <c r="AE11" s="110"/>
      <c r="AF11" s="110"/>
      <c r="AG11" s="110"/>
      <c r="AH11" s="110"/>
    </row>
    <row r="12" spans="1:34" x14ac:dyDescent="0.35">
      <c r="A12" s="151" t="s">
        <v>2241</v>
      </c>
      <c r="B12" s="32">
        <f>B6</f>
        <v>45</v>
      </c>
      <c r="C12" s="32">
        <f t="shared" ref="C12:M12" si="0">B12+C6</f>
        <v>83</v>
      </c>
      <c r="D12" s="32">
        <f t="shared" si="0"/>
        <v>121</v>
      </c>
      <c r="E12" s="32">
        <f t="shared" si="0"/>
        <v>158</v>
      </c>
      <c r="F12" s="32">
        <f t="shared" si="0"/>
        <v>197</v>
      </c>
      <c r="G12" s="32">
        <f t="shared" si="0"/>
        <v>237</v>
      </c>
      <c r="H12" s="32">
        <f t="shared" si="0"/>
        <v>270</v>
      </c>
      <c r="I12" s="32">
        <f t="shared" si="0"/>
        <v>311</v>
      </c>
      <c r="J12" s="32">
        <f t="shared" si="0"/>
        <v>353</v>
      </c>
      <c r="K12" s="32">
        <f t="shared" si="0"/>
        <v>391</v>
      </c>
      <c r="L12" s="32">
        <f t="shared" si="0"/>
        <v>430</v>
      </c>
      <c r="M12" s="113">
        <f t="shared" si="0"/>
        <v>459</v>
      </c>
      <c r="N12" s="110"/>
      <c r="S12" s="110"/>
      <c r="T12" s="110"/>
      <c r="U12" s="110"/>
      <c r="V12" s="110"/>
      <c r="W12" s="110"/>
      <c r="X12" s="110"/>
      <c r="Y12" s="110"/>
      <c r="Z12" s="110"/>
      <c r="AA12" s="110"/>
      <c r="AB12" s="110"/>
      <c r="AC12" s="110"/>
      <c r="AD12" s="110"/>
      <c r="AE12" s="110"/>
      <c r="AF12" s="110"/>
      <c r="AG12" s="110"/>
      <c r="AH12" s="110"/>
    </row>
    <row r="13" spans="1:34" x14ac:dyDescent="0.35">
      <c r="A13" s="171" t="s">
        <v>2242</v>
      </c>
      <c r="B13" s="172">
        <f>B7</f>
        <v>54</v>
      </c>
      <c r="C13" s="172">
        <f t="shared" ref="C13:H13" si="1">B13+C7</f>
        <v>114</v>
      </c>
      <c r="D13" s="172">
        <f t="shared" si="1"/>
        <v>158</v>
      </c>
      <c r="E13" s="172">
        <f t="shared" si="1"/>
        <v>209</v>
      </c>
      <c r="F13" s="172">
        <f t="shared" si="1"/>
        <v>253</v>
      </c>
      <c r="G13" s="172">
        <f t="shared" si="1"/>
        <v>305</v>
      </c>
      <c r="H13" s="172">
        <f t="shared" si="1"/>
        <v>349</v>
      </c>
      <c r="I13" s="172">
        <f t="shared" ref="I13" si="2">H13+I7</f>
        <v>352</v>
      </c>
      <c r="J13" s="172">
        <f t="shared" ref="J13" si="3">I13+J7</f>
        <v>352</v>
      </c>
      <c r="K13" s="172">
        <f t="shared" ref="K13" si="4">J13+K7</f>
        <v>352</v>
      </c>
      <c r="L13" s="172">
        <f t="shared" ref="L13" si="5">K13+L7</f>
        <v>352</v>
      </c>
      <c r="M13" s="173">
        <f t="shared" ref="M13" si="6">L13+M7</f>
        <v>352</v>
      </c>
      <c r="N13" s="110"/>
      <c r="S13" s="110"/>
      <c r="T13" s="110"/>
      <c r="U13" s="110"/>
      <c r="V13" s="110"/>
      <c r="W13" s="110"/>
      <c r="X13" s="110"/>
      <c r="Y13" s="110"/>
      <c r="Z13" s="110"/>
      <c r="AA13" s="110"/>
      <c r="AB13" s="110"/>
      <c r="AC13" s="110"/>
      <c r="AD13" s="110"/>
      <c r="AE13" s="110"/>
      <c r="AF13" s="110"/>
      <c r="AG13" s="110"/>
      <c r="AH13" s="110"/>
    </row>
    <row r="14" spans="1:34" ht="16" thickBot="1" x14ac:dyDescent="0.4">
      <c r="A14" s="152" t="s">
        <v>2036</v>
      </c>
      <c r="B14" s="175">
        <f>B13/$M12</f>
        <v>0.11764705882352941</v>
      </c>
      <c r="C14" s="175">
        <f t="shared" ref="C14:M14" si="7">C13/$M12</f>
        <v>0.24836601307189543</v>
      </c>
      <c r="D14" s="175">
        <f t="shared" si="7"/>
        <v>0.34422657952069718</v>
      </c>
      <c r="E14" s="175">
        <f t="shared" si="7"/>
        <v>0.45533769063180829</v>
      </c>
      <c r="F14" s="175">
        <f t="shared" si="7"/>
        <v>0.55119825708060999</v>
      </c>
      <c r="G14" s="175">
        <f t="shared" si="7"/>
        <v>0.66448801742919394</v>
      </c>
      <c r="H14" s="175">
        <f t="shared" si="7"/>
        <v>0.76034858387799564</v>
      </c>
      <c r="I14" s="175">
        <f t="shared" si="7"/>
        <v>0.76688453159041392</v>
      </c>
      <c r="J14" s="175">
        <f t="shared" si="7"/>
        <v>0.76688453159041392</v>
      </c>
      <c r="K14" s="175">
        <f t="shared" si="7"/>
        <v>0.76688453159041392</v>
      </c>
      <c r="L14" s="175">
        <f t="shared" si="7"/>
        <v>0.76688453159041392</v>
      </c>
      <c r="M14" s="164">
        <f t="shared" si="7"/>
        <v>0.76688453159041392</v>
      </c>
      <c r="N14" s="168"/>
      <c r="S14" s="168"/>
      <c r="T14" s="168"/>
      <c r="U14" s="168"/>
      <c r="V14" s="168"/>
      <c r="W14" s="168"/>
      <c r="X14" s="168"/>
      <c r="Y14" s="168"/>
      <c r="Z14" s="168"/>
      <c r="AA14" s="168"/>
      <c r="AB14" s="168"/>
      <c r="AC14" s="168"/>
      <c r="AD14" s="168"/>
      <c r="AE14" s="168"/>
      <c r="AF14" s="168"/>
      <c r="AG14" s="168"/>
      <c r="AH14" s="168"/>
    </row>
    <row r="15" spans="1:34" ht="16.5" customHeight="1" x14ac:dyDescent="0.35">
      <c r="A15" s="243" t="s">
        <v>2243</v>
      </c>
      <c r="B15" s="244"/>
      <c r="C15" s="244"/>
      <c r="D15" s="244"/>
      <c r="E15" s="244"/>
      <c r="F15" s="244"/>
      <c r="G15" s="244"/>
      <c r="H15" s="244"/>
      <c r="I15" s="244"/>
      <c r="J15" s="244"/>
      <c r="K15" s="244"/>
      <c r="L15" s="244"/>
      <c r="M15" s="244"/>
      <c r="N15" s="233"/>
      <c r="S15" s="110"/>
      <c r="T15" s="110"/>
      <c r="U15" s="110"/>
      <c r="V15" s="110"/>
      <c r="W15" s="110"/>
      <c r="X15" s="110"/>
      <c r="Y15" s="110"/>
      <c r="Z15" s="110"/>
      <c r="AA15" s="110"/>
      <c r="AB15" s="110"/>
      <c r="AC15" s="110"/>
      <c r="AD15" s="110"/>
      <c r="AE15" s="110"/>
      <c r="AF15" s="110"/>
      <c r="AG15" s="110"/>
      <c r="AH15" s="110"/>
    </row>
    <row r="16" spans="1:34" ht="16.5" customHeight="1" thickBot="1" x14ac:dyDescent="0.4">
      <c r="A16" s="234"/>
      <c r="B16" s="235"/>
      <c r="C16" s="235"/>
      <c r="D16" s="235"/>
      <c r="E16" s="235"/>
      <c r="F16" s="235"/>
      <c r="G16" s="235"/>
      <c r="H16" s="235"/>
      <c r="I16" s="235"/>
      <c r="J16" s="235"/>
      <c r="K16" s="235"/>
      <c r="L16" s="235"/>
      <c r="M16" s="235"/>
      <c r="N16" s="236"/>
    </row>
    <row r="17" spans="1:33" x14ac:dyDescent="0.35">
      <c r="A17" s="245">
        <v>2025</v>
      </c>
      <c r="B17" s="245"/>
      <c r="C17" s="114"/>
      <c r="D17" s="246">
        <v>2025</v>
      </c>
      <c r="E17" s="247"/>
      <c r="F17" s="114"/>
      <c r="G17" s="158" t="s">
        <v>2244</v>
      </c>
      <c r="H17" s="115">
        <f>N7</f>
        <v>352</v>
      </c>
      <c r="I17" s="114"/>
      <c r="J17" s="114"/>
      <c r="K17" s="114"/>
      <c r="L17" s="114"/>
      <c r="M17" s="114"/>
      <c r="N17" s="114"/>
    </row>
    <row r="18" spans="1:33" x14ac:dyDescent="0.35">
      <c r="A18" s="116" t="s">
        <v>2245</v>
      </c>
      <c r="B18" s="117" t="s">
        <v>2246</v>
      </c>
      <c r="C18" s="114"/>
      <c r="D18" s="118" t="s">
        <v>9</v>
      </c>
      <c r="E18" s="119" t="s">
        <v>44</v>
      </c>
      <c r="F18" s="114"/>
      <c r="G18" s="159" t="s">
        <v>2247</v>
      </c>
      <c r="H18" s="120">
        <f>N6</f>
        <v>459</v>
      </c>
      <c r="I18" s="114"/>
      <c r="J18" s="114"/>
      <c r="K18" s="114"/>
      <c r="L18" s="114"/>
      <c r="M18" s="114"/>
      <c r="N18" s="114"/>
      <c r="T18" s="110"/>
      <c r="U18" s="110"/>
      <c r="V18" s="110"/>
      <c r="W18" s="110"/>
      <c r="X18" s="110"/>
      <c r="Y18" s="110"/>
      <c r="Z18" s="110"/>
      <c r="AA18" s="110"/>
      <c r="AB18" s="110"/>
      <c r="AC18" s="110"/>
      <c r="AD18" s="110"/>
      <c r="AE18" s="110"/>
      <c r="AF18" s="110"/>
      <c r="AG18" s="110"/>
    </row>
    <row r="19" spans="1:33" x14ac:dyDescent="0.35">
      <c r="A19" s="121" t="str">
        <f>Programs!A2</f>
        <v>17-24K</v>
      </c>
      <c r="B19" s="122">
        <f>Programs!C2</f>
        <v>0</v>
      </c>
      <c r="C19" s="114"/>
      <c r="D19" s="123" t="str">
        <f>Programs!V2</f>
        <v>OTC</v>
      </c>
      <c r="E19" s="124">
        <f>Programs!X2</f>
        <v>270</v>
      </c>
      <c r="F19" s="114"/>
      <c r="G19" s="159" t="s">
        <v>2248</v>
      </c>
      <c r="H19" s="125">
        <f>H17/H18</f>
        <v>0.76688453159041392</v>
      </c>
      <c r="I19" s="114"/>
      <c r="J19" s="114"/>
      <c r="K19" s="114"/>
      <c r="L19" s="114"/>
      <c r="M19" s="114"/>
      <c r="N19" s="114"/>
      <c r="O19" s="110"/>
      <c r="P19" s="110"/>
      <c r="Q19" s="110"/>
      <c r="R19" s="110"/>
      <c r="S19" s="110"/>
      <c r="T19" s="110"/>
      <c r="U19" s="110"/>
      <c r="V19" s="110"/>
      <c r="W19" s="110"/>
      <c r="X19" s="110"/>
      <c r="Y19" s="110"/>
      <c r="Z19" s="110"/>
      <c r="AA19" s="110"/>
      <c r="AB19" s="110"/>
      <c r="AC19" s="110"/>
      <c r="AD19" s="110"/>
      <c r="AE19" s="110"/>
      <c r="AF19" s="110"/>
      <c r="AG19" s="110"/>
    </row>
    <row r="20" spans="1:33" x14ac:dyDescent="0.35">
      <c r="A20" s="121" t="str">
        <f>Programs!A3</f>
        <v>24K</v>
      </c>
      <c r="B20" s="122">
        <f>Programs!C3</f>
        <v>61</v>
      </c>
      <c r="C20" s="114"/>
      <c r="D20" s="123" t="str">
        <f>Programs!V3</f>
        <v>EM</v>
      </c>
      <c r="E20" s="124">
        <f>Programs!X3</f>
        <v>60</v>
      </c>
      <c r="F20" s="110"/>
      <c r="G20" s="159" t="s">
        <v>2249</v>
      </c>
      <c r="H20" s="126">
        <f>H18-H17</f>
        <v>107</v>
      </c>
      <c r="I20" s="114"/>
      <c r="J20" s="114"/>
      <c r="K20" s="114"/>
      <c r="L20" s="114"/>
      <c r="M20" s="114"/>
      <c r="N20" s="127"/>
      <c r="O20" s="110"/>
      <c r="P20" s="248"/>
      <c r="Q20" s="248"/>
      <c r="R20" s="110"/>
      <c r="S20" s="110"/>
      <c r="T20" s="110"/>
      <c r="U20" s="110"/>
      <c r="V20" s="110"/>
      <c r="W20" s="110"/>
      <c r="X20" s="110"/>
      <c r="Y20" s="110"/>
      <c r="Z20" s="110"/>
      <c r="AA20" s="110"/>
      <c r="AB20" s="110"/>
      <c r="AC20" s="110"/>
      <c r="AD20" s="110"/>
      <c r="AE20" s="110"/>
      <c r="AF20" s="110"/>
      <c r="AG20" s="110"/>
    </row>
    <row r="21" spans="1:33" x14ac:dyDescent="0.35">
      <c r="A21" s="121" t="str">
        <f>Programs!A4</f>
        <v>24K CIPT</v>
      </c>
      <c r="B21" s="122">
        <f>Programs!C4</f>
        <v>14</v>
      </c>
      <c r="C21" s="114"/>
      <c r="D21" s="123" t="str">
        <f>Programs!V4</f>
        <v>MR</v>
      </c>
      <c r="E21" s="124">
        <f>Programs!X4</f>
        <v>11</v>
      </c>
      <c r="F21" s="110"/>
      <c r="G21" s="159" t="s">
        <v>2250</v>
      </c>
      <c r="H21" s="125">
        <f>H20/H18</f>
        <v>0.23311546840958605</v>
      </c>
      <c r="I21" s="114"/>
      <c r="J21" s="114"/>
      <c r="K21" s="114"/>
      <c r="L21" s="114"/>
      <c r="M21" s="114"/>
      <c r="N21" s="128"/>
      <c r="O21" s="110"/>
      <c r="P21" s="110"/>
      <c r="Q21" s="110"/>
      <c r="R21" s="110"/>
      <c r="S21" s="110"/>
      <c r="T21" s="110"/>
      <c r="U21" s="110"/>
      <c r="V21" s="110"/>
      <c r="W21" s="110"/>
      <c r="X21" s="110"/>
      <c r="Y21" s="110"/>
      <c r="Z21" s="110"/>
      <c r="AA21" s="110"/>
      <c r="AB21" s="110"/>
      <c r="AC21" s="110"/>
      <c r="AD21" s="110"/>
      <c r="AE21" s="110"/>
      <c r="AF21" s="110"/>
      <c r="AG21" s="110"/>
    </row>
    <row r="22" spans="1:33" x14ac:dyDescent="0.35">
      <c r="A22" s="121" t="str">
        <f>Programs!A5</f>
        <v>30K</v>
      </c>
      <c r="B22" s="122">
        <f>Programs!C5</f>
        <v>22</v>
      </c>
      <c r="C22" s="114"/>
      <c r="D22" s="123" t="str">
        <f>Programs!V5</f>
        <v>Discretionary</v>
      </c>
      <c r="E22" s="124">
        <f>Programs!X5</f>
        <v>11</v>
      </c>
      <c r="F22" s="110"/>
      <c r="G22" s="129"/>
      <c r="H22" s="130"/>
      <c r="I22" s="114"/>
      <c r="J22" s="114"/>
      <c r="K22" s="114"/>
      <c r="L22" s="114"/>
      <c r="M22" s="114"/>
      <c r="N22" s="114"/>
      <c r="O22" s="110"/>
      <c r="P22" s="110"/>
      <c r="Q22" s="110"/>
      <c r="R22" s="110"/>
      <c r="S22" s="110"/>
      <c r="T22" s="110"/>
      <c r="U22" s="110"/>
      <c r="V22" s="110"/>
      <c r="W22" s="110"/>
      <c r="X22" s="110"/>
      <c r="Y22" s="110"/>
      <c r="Z22" s="110"/>
      <c r="AA22" s="110"/>
      <c r="AB22" s="110"/>
      <c r="AC22" s="110"/>
      <c r="AD22" s="110"/>
      <c r="AE22" s="110"/>
      <c r="AF22" s="110"/>
      <c r="AG22" s="110"/>
    </row>
    <row r="23" spans="1:33" ht="16" thickBot="1" x14ac:dyDescent="0.4">
      <c r="A23" s="121" t="str">
        <f>Programs!A6</f>
        <v>30K CIPT</v>
      </c>
      <c r="B23" s="122">
        <f>Programs!C6</f>
        <v>8</v>
      </c>
      <c r="C23" s="114"/>
      <c r="D23" s="154" t="s">
        <v>2030</v>
      </c>
      <c r="E23" s="155">
        <f>SUM(E19:E22)</f>
        <v>352</v>
      </c>
      <c r="F23" s="110"/>
      <c r="G23" s="159" t="s">
        <v>2251</v>
      </c>
      <c r="H23" s="126"/>
      <c r="I23" s="114"/>
      <c r="J23" s="114"/>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row>
    <row r="24" spans="1:33" x14ac:dyDescent="0.35">
      <c r="A24" s="121" t="str">
        <f>Programs!A7</f>
        <v>AMO</v>
      </c>
      <c r="B24" s="122">
        <f>Programs!C7</f>
        <v>157</v>
      </c>
      <c r="C24" s="114"/>
      <c r="D24" s="131"/>
      <c r="E24" s="114"/>
      <c r="F24" s="114"/>
      <c r="G24" s="159" t="s">
        <v>2252</v>
      </c>
      <c r="H24" s="132">
        <f>H17</f>
        <v>352</v>
      </c>
      <c r="I24" s="114"/>
      <c r="J24" s="114"/>
      <c r="K24" s="114"/>
      <c r="L24" s="114"/>
      <c r="M24" s="114"/>
      <c r="N24" s="110"/>
      <c r="O24" s="110"/>
      <c r="P24" s="110"/>
      <c r="Q24" s="110"/>
      <c r="R24" s="110"/>
      <c r="S24" s="110"/>
    </row>
    <row r="25" spans="1:33" x14ac:dyDescent="0.35">
      <c r="A25" s="121" t="str">
        <f>Programs!A8</f>
        <v>F117</v>
      </c>
      <c r="B25" s="122">
        <f>Programs!C8</f>
        <v>24</v>
      </c>
      <c r="C25" s="114"/>
      <c r="D25" s="131"/>
      <c r="E25" s="114"/>
      <c r="F25" s="114"/>
      <c r="G25" s="159" t="s">
        <v>2253</v>
      </c>
      <c r="H25" s="132">
        <f>H26-H24</f>
        <v>107</v>
      </c>
      <c r="I25" s="114"/>
      <c r="J25" s="114"/>
      <c r="K25" s="114"/>
      <c r="L25" s="114"/>
      <c r="M25" s="114"/>
      <c r="N25" s="110"/>
      <c r="O25" s="110"/>
      <c r="P25" s="110"/>
      <c r="Q25" s="110"/>
      <c r="R25" s="110"/>
      <c r="S25" s="110"/>
    </row>
    <row r="26" spans="1:33" ht="16" thickBot="1" x14ac:dyDescent="0.4">
      <c r="A26" s="121" t="str">
        <f>Programs!A9</f>
        <v>GP7000</v>
      </c>
      <c r="B26" s="122">
        <f>Programs!C9</f>
        <v>16</v>
      </c>
      <c r="C26" s="114"/>
      <c r="D26" s="131"/>
      <c r="E26" s="114"/>
      <c r="F26" s="114"/>
      <c r="G26" s="133"/>
      <c r="H26" s="134">
        <f>N6</f>
        <v>459</v>
      </c>
      <c r="I26" s="114"/>
      <c r="J26" s="114"/>
      <c r="K26" s="114"/>
      <c r="L26" s="114"/>
      <c r="M26" s="114"/>
      <c r="N26" s="110"/>
      <c r="O26" s="110"/>
      <c r="P26" s="110"/>
      <c r="Q26" s="110"/>
      <c r="R26" s="110"/>
      <c r="S26" s="110"/>
    </row>
    <row r="27" spans="1:33" x14ac:dyDescent="0.35">
      <c r="A27" s="121" t="str">
        <f>Programs!A10</f>
        <v>OCE</v>
      </c>
      <c r="B27" s="122">
        <f>Programs!C10</f>
        <v>8</v>
      </c>
      <c r="C27" s="114"/>
      <c r="D27" s="131"/>
      <c r="E27" s="114"/>
      <c r="F27" s="114"/>
      <c r="G27" s="135"/>
      <c r="H27" s="136"/>
      <c r="I27" s="114"/>
      <c r="J27" s="114"/>
      <c r="K27" s="114"/>
      <c r="L27" s="114"/>
      <c r="M27" s="114"/>
      <c r="N27" s="110"/>
      <c r="O27" s="110"/>
      <c r="P27" s="110"/>
      <c r="Q27" s="110"/>
      <c r="R27" s="110"/>
      <c r="S27" s="110"/>
    </row>
    <row r="28" spans="1:33" x14ac:dyDescent="0.35">
      <c r="A28" s="121" t="str">
        <f>Programs!A11</f>
        <v>PIP</v>
      </c>
      <c r="B28" s="122">
        <f>Programs!C11</f>
        <v>14</v>
      </c>
      <c r="C28" s="114"/>
      <c r="D28" s="131"/>
      <c r="E28" s="114"/>
      <c r="F28" s="114"/>
      <c r="G28" s="135"/>
      <c r="H28" s="136"/>
      <c r="I28" s="114"/>
      <c r="J28" s="114"/>
      <c r="K28" s="114"/>
      <c r="L28" s="114"/>
      <c r="M28" s="114"/>
      <c r="N28" s="110"/>
      <c r="O28" s="110"/>
      <c r="P28" s="110"/>
      <c r="Q28" s="110"/>
      <c r="R28" s="110"/>
      <c r="S28" s="110"/>
    </row>
    <row r="29" spans="1:33" x14ac:dyDescent="0.35">
      <c r="A29" s="121" t="str">
        <f>Programs!A12</f>
        <v>V2500</v>
      </c>
      <c r="B29" s="122">
        <f>Programs!C12</f>
        <v>24</v>
      </c>
      <c r="C29" s="114"/>
      <c r="D29" s="131"/>
      <c r="E29" s="114"/>
      <c r="F29" s="114"/>
      <c r="G29" s="135"/>
      <c r="H29" s="136"/>
      <c r="I29" s="114"/>
      <c r="J29" s="114"/>
      <c r="K29" s="114"/>
      <c r="L29" s="114"/>
      <c r="M29" s="114"/>
      <c r="N29" s="110"/>
      <c r="O29" s="110"/>
      <c r="P29" s="110"/>
      <c r="Q29" s="110"/>
      <c r="R29" s="110"/>
      <c r="S29" s="110"/>
    </row>
    <row r="30" spans="1:33" x14ac:dyDescent="0.35">
      <c r="A30" s="121" t="str">
        <f>Programs!A13</f>
        <v/>
      </c>
      <c r="B30" s="122">
        <f>Programs!C13</f>
        <v>4</v>
      </c>
      <c r="C30" s="114"/>
      <c r="D30" s="131"/>
      <c r="E30" s="114"/>
      <c r="F30" s="114"/>
      <c r="G30" s="114"/>
      <c r="H30" s="114"/>
      <c r="I30" s="114"/>
      <c r="J30" s="114"/>
      <c r="K30" s="114"/>
      <c r="L30" s="114"/>
      <c r="M30" s="114"/>
      <c r="N30" s="110"/>
      <c r="O30" s="110"/>
      <c r="P30" s="110"/>
      <c r="Q30" s="110"/>
      <c r="R30" s="110"/>
      <c r="S30" s="110"/>
    </row>
    <row r="31" spans="1:33" ht="16" thickBot="1" x14ac:dyDescent="0.4">
      <c r="A31" s="156" t="s">
        <v>2254</v>
      </c>
      <c r="B31" s="157">
        <f>SUM(B19:B30)</f>
        <v>352</v>
      </c>
      <c r="C31" s="114"/>
      <c r="D31" s="131"/>
      <c r="E31" s="114"/>
      <c r="F31" s="114"/>
      <c r="G31" s="114"/>
      <c r="H31" s="114"/>
      <c r="I31" s="114"/>
      <c r="J31" s="114"/>
      <c r="K31" s="114"/>
      <c r="L31" s="114"/>
      <c r="M31" s="114"/>
      <c r="N31" s="110"/>
      <c r="O31" s="110"/>
      <c r="P31" s="110"/>
      <c r="Q31" s="110"/>
      <c r="R31" s="110"/>
      <c r="S31" s="110"/>
    </row>
    <row r="32" spans="1:33" ht="15.75" customHeight="1" x14ac:dyDescent="0.35">
      <c r="A32" s="231" t="s">
        <v>2255</v>
      </c>
      <c r="B32" s="232"/>
      <c r="C32" s="232"/>
      <c r="D32" s="232"/>
      <c r="E32" s="232"/>
      <c r="F32" s="232"/>
      <c r="G32" s="232"/>
      <c r="H32" s="232"/>
      <c r="I32" s="232"/>
      <c r="J32" s="232"/>
      <c r="K32" s="232"/>
      <c r="L32" s="232"/>
      <c r="M32" s="232"/>
      <c r="N32" s="233"/>
      <c r="O32" s="110"/>
      <c r="P32" s="110"/>
      <c r="Q32" s="110"/>
      <c r="R32" s="110"/>
      <c r="S32" s="110"/>
    </row>
    <row r="33" spans="1:14" ht="16.5" customHeight="1" thickBot="1" x14ac:dyDescent="0.4">
      <c r="A33" s="234"/>
      <c r="B33" s="235"/>
      <c r="C33" s="235"/>
      <c r="D33" s="235"/>
      <c r="E33" s="235"/>
      <c r="F33" s="235"/>
      <c r="G33" s="235"/>
      <c r="H33" s="235"/>
      <c r="I33" s="235"/>
      <c r="J33" s="235"/>
      <c r="K33" s="235"/>
      <c r="L33" s="235"/>
      <c r="M33" s="235"/>
      <c r="N33" s="236"/>
    </row>
    <row r="34" spans="1:14" x14ac:dyDescent="0.35">
      <c r="A34" s="240">
        <v>2025</v>
      </c>
      <c r="B34" s="241"/>
      <c r="C34" s="241"/>
      <c r="D34" s="241"/>
      <c r="E34" s="242"/>
      <c r="F34" s="110"/>
      <c r="G34" s="110"/>
      <c r="H34" s="110"/>
      <c r="I34" s="110"/>
      <c r="J34" s="110"/>
      <c r="K34" s="110"/>
      <c r="L34" s="110"/>
      <c r="M34" s="110"/>
      <c r="N34" s="114"/>
    </row>
    <row r="35" spans="1:14" ht="29" x14ac:dyDescent="0.35">
      <c r="A35" s="137"/>
      <c r="B35" s="26" t="s">
        <v>2256</v>
      </c>
      <c r="C35" s="138" t="s">
        <v>2257</v>
      </c>
      <c r="D35" s="138" t="s">
        <v>2258</v>
      </c>
      <c r="E35" s="139" t="s">
        <v>2259</v>
      </c>
      <c r="F35" s="114"/>
      <c r="G35" s="249" t="s">
        <v>2267</v>
      </c>
      <c r="H35" s="249"/>
      <c r="I35" s="249"/>
      <c r="J35" s="110"/>
      <c r="K35" s="110"/>
      <c r="L35" s="110"/>
      <c r="M35" s="110"/>
      <c r="N35" s="114"/>
    </row>
    <row r="36" spans="1:14" x14ac:dyDescent="0.35">
      <c r="A36" s="140" t="s">
        <v>1538</v>
      </c>
      <c r="B36" s="32">
        <f>G6</f>
        <v>40</v>
      </c>
      <c r="C36" s="169">
        <v>51</v>
      </c>
      <c r="D36" s="169">
        <v>1</v>
      </c>
      <c r="E36" s="141">
        <f t="shared" ref="E36:E42" si="8">B36-(C36+D36)</f>
        <v>-12</v>
      </c>
      <c r="F36" s="114"/>
      <c r="G36" s="110"/>
      <c r="H36" s="110"/>
      <c r="I36" s="110"/>
      <c r="J36" s="110"/>
      <c r="K36" s="110"/>
      <c r="L36" s="110"/>
      <c r="M36" s="110"/>
      <c r="N36" s="114"/>
    </row>
    <row r="37" spans="1:14" x14ac:dyDescent="0.35">
      <c r="A37" s="140" t="s">
        <v>2026</v>
      </c>
      <c r="B37" s="32">
        <f>H6</f>
        <v>33</v>
      </c>
      <c r="C37" s="170">
        <v>25</v>
      </c>
      <c r="D37" s="170">
        <f>44-25</f>
        <v>19</v>
      </c>
      <c r="E37" s="141">
        <f t="shared" si="8"/>
        <v>-11</v>
      </c>
      <c r="F37" s="114"/>
      <c r="G37" s="110"/>
      <c r="H37" s="110"/>
      <c r="I37" s="110"/>
      <c r="J37" s="110"/>
      <c r="K37" s="110"/>
      <c r="L37" s="110"/>
      <c r="M37" s="110"/>
      <c r="N37" s="114"/>
    </row>
    <row r="38" spans="1:14" x14ac:dyDescent="0.35">
      <c r="A38" s="140" t="s">
        <v>239</v>
      </c>
      <c r="B38" s="32">
        <f>I6</f>
        <v>41</v>
      </c>
      <c r="C38" s="170"/>
      <c r="D38" s="170"/>
      <c r="E38" s="141">
        <f t="shared" si="8"/>
        <v>41</v>
      </c>
      <c r="F38" s="114"/>
      <c r="G38" s="110"/>
      <c r="H38" s="110"/>
      <c r="I38" s="110"/>
      <c r="J38" s="110"/>
      <c r="K38" s="110"/>
      <c r="L38" s="110"/>
      <c r="M38" s="110"/>
      <c r="N38" s="114"/>
    </row>
    <row r="39" spans="1:14" x14ac:dyDescent="0.35">
      <c r="A39" s="140" t="s">
        <v>2027</v>
      </c>
      <c r="B39" s="32">
        <f>J6</f>
        <v>42</v>
      </c>
      <c r="C39" s="170"/>
      <c r="D39" s="170"/>
      <c r="E39" s="141">
        <f t="shared" si="8"/>
        <v>42</v>
      </c>
      <c r="F39" s="114"/>
      <c r="G39" s="110"/>
      <c r="H39" s="110"/>
      <c r="I39" s="110"/>
      <c r="J39" s="110"/>
      <c r="K39" s="142"/>
      <c r="L39" s="110"/>
      <c r="M39" s="110"/>
      <c r="N39" s="114"/>
    </row>
    <row r="40" spans="1:14" x14ac:dyDescent="0.35">
      <c r="A40" s="140" t="s">
        <v>834</v>
      </c>
      <c r="B40" s="32">
        <f>K6</f>
        <v>38</v>
      </c>
      <c r="C40" s="170"/>
      <c r="D40" s="170"/>
      <c r="E40" s="141">
        <f t="shared" si="8"/>
        <v>38</v>
      </c>
      <c r="F40" s="114"/>
      <c r="G40" s="110"/>
      <c r="H40" s="110"/>
      <c r="I40" s="110"/>
      <c r="J40" s="110"/>
      <c r="K40" s="110"/>
      <c r="L40" s="110"/>
      <c r="M40" s="110"/>
      <c r="N40" s="114"/>
    </row>
    <row r="41" spans="1:14" x14ac:dyDescent="0.35">
      <c r="A41" s="140" t="s">
        <v>751</v>
      </c>
      <c r="B41" s="32">
        <f>L6</f>
        <v>39</v>
      </c>
      <c r="C41" s="170"/>
      <c r="D41" s="170"/>
      <c r="E41" s="141">
        <f t="shared" si="8"/>
        <v>39</v>
      </c>
      <c r="F41" s="114"/>
      <c r="G41" s="110"/>
      <c r="H41" s="110"/>
      <c r="I41" s="110"/>
      <c r="J41" s="110"/>
      <c r="K41" s="110"/>
      <c r="L41" s="110"/>
      <c r="M41" s="110"/>
      <c r="N41" s="114"/>
    </row>
    <row r="42" spans="1:14" ht="16" thickBot="1" x14ac:dyDescent="0.4">
      <c r="A42" s="143" t="s">
        <v>145</v>
      </c>
      <c r="B42" s="144">
        <f>M6</f>
        <v>29</v>
      </c>
      <c r="C42" s="170"/>
      <c r="D42" s="170"/>
      <c r="E42" s="145">
        <f t="shared" si="8"/>
        <v>29</v>
      </c>
      <c r="F42" s="114"/>
      <c r="G42" s="110"/>
      <c r="H42" s="110"/>
      <c r="I42" s="110"/>
      <c r="J42" s="110"/>
      <c r="K42" s="110"/>
      <c r="L42" s="110"/>
      <c r="M42" s="110"/>
      <c r="N42" s="114"/>
    </row>
    <row r="43" spans="1:14" x14ac:dyDescent="0.35">
      <c r="A43" s="231" t="s">
        <v>2260</v>
      </c>
      <c r="B43" s="232"/>
      <c r="C43" s="232"/>
      <c r="D43" s="232"/>
      <c r="E43" s="232"/>
      <c r="F43" s="232"/>
      <c r="G43" s="232"/>
      <c r="H43" s="232"/>
      <c r="I43" s="232"/>
      <c r="J43" s="232"/>
      <c r="K43" s="232"/>
      <c r="L43" s="232"/>
      <c r="M43" s="232"/>
      <c r="N43" s="233"/>
    </row>
    <row r="44" spans="1:14" ht="16" thickBot="1" x14ac:dyDescent="0.4">
      <c r="A44" s="243"/>
      <c r="B44" s="244"/>
      <c r="C44" s="244"/>
      <c r="D44" s="244"/>
      <c r="E44" s="235"/>
      <c r="F44" s="235"/>
      <c r="G44" s="235"/>
      <c r="H44" s="235"/>
      <c r="I44" s="235"/>
      <c r="J44" s="235"/>
      <c r="K44" s="235"/>
      <c r="L44" s="235"/>
      <c r="M44" s="235"/>
      <c r="N44" s="236"/>
    </row>
    <row r="45" spans="1:14" ht="16" thickBot="1" x14ac:dyDescent="0.4">
      <c r="A45" s="166"/>
      <c r="B45" s="165">
        <v>2024</v>
      </c>
      <c r="C45" s="160">
        <v>2025</v>
      </c>
      <c r="D45" s="153" t="s">
        <v>2261</v>
      </c>
      <c r="E45" s="163"/>
      <c r="F45" s="114"/>
      <c r="G45" s="114"/>
      <c r="H45" s="114"/>
      <c r="I45" s="114"/>
      <c r="J45" s="114"/>
      <c r="K45" s="114"/>
      <c r="L45" s="114"/>
      <c r="M45" s="114"/>
      <c r="N45" s="114"/>
    </row>
    <row r="46" spans="1:14" x14ac:dyDescent="0.35">
      <c r="A46" s="181" t="s">
        <v>2262</v>
      </c>
      <c r="B46" s="177">
        <f>AllTasksPivot!N6</f>
        <v>147.37504412203916</v>
      </c>
      <c r="C46" s="176">
        <f>AllTasksPivot!N7</f>
        <v>145.45453596037814</v>
      </c>
      <c r="D46" s="179">
        <f>(B46-C46)/B46</f>
        <v>1.3031434006361847E-2</v>
      </c>
      <c r="E46" s="114"/>
      <c r="F46" s="114"/>
      <c r="G46" s="114"/>
      <c r="H46" s="114"/>
      <c r="I46" s="114"/>
      <c r="J46" s="114"/>
      <c r="K46" s="114"/>
      <c r="L46" s="114"/>
      <c r="M46" s="114"/>
      <c r="N46" s="114"/>
    </row>
    <row r="47" spans="1:14" ht="16" thickBot="1" x14ac:dyDescent="0.4">
      <c r="A47" s="182" t="s">
        <v>2263</v>
      </c>
      <c r="B47" s="178">
        <f>AllTasksTAT!B51</f>
        <v>90.30378472222219</v>
      </c>
      <c r="C47" s="178">
        <f>AllTasksTAT!C51</f>
        <v>92.581591435187875</v>
      </c>
      <c r="D47" s="180">
        <f>(B47-C47)/B47</f>
        <v>-2.5223823342203244E-2</v>
      </c>
      <c r="E47" s="163"/>
      <c r="F47" s="114"/>
      <c r="G47" s="114"/>
      <c r="H47" s="114"/>
      <c r="I47" s="114"/>
      <c r="J47" s="114"/>
      <c r="K47" s="114"/>
      <c r="L47" s="114"/>
      <c r="M47" s="114"/>
      <c r="N47" s="114"/>
    </row>
    <row r="48" spans="1:14" x14ac:dyDescent="0.35">
      <c r="A48" s="231" t="s">
        <v>2009</v>
      </c>
      <c r="B48" s="232"/>
      <c r="C48" s="232"/>
      <c r="D48" s="232"/>
      <c r="E48" s="232"/>
      <c r="F48" s="232"/>
      <c r="G48" s="232"/>
      <c r="H48" s="232"/>
      <c r="I48" s="232"/>
      <c r="J48" s="232"/>
      <c r="K48" s="232"/>
      <c r="L48" s="232"/>
      <c r="M48" s="232"/>
      <c r="N48" s="233"/>
    </row>
    <row r="49" spans="1:14" ht="16" thickBot="1" x14ac:dyDescent="0.4">
      <c r="A49" s="234"/>
      <c r="B49" s="235"/>
      <c r="C49" s="235"/>
      <c r="D49" s="235"/>
      <c r="E49" s="235"/>
      <c r="F49" s="235"/>
      <c r="G49" s="235"/>
      <c r="H49" s="235"/>
      <c r="I49" s="235"/>
      <c r="J49" s="235"/>
      <c r="K49" s="235"/>
      <c r="L49" s="235"/>
      <c r="M49" s="235"/>
      <c r="N49" s="236"/>
    </row>
    <row r="50" spans="1:14" x14ac:dyDescent="0.35">
      <c r="A50" s="237" t="s">
        <v>2266</v>
      </c>
      <c r="B50" s="238"/>
      <c r="C50" s="238"/>
      <c r="D50" s="238"/>
      <c r="E50" s="238"/>
      <c r="F50" s="238"/>
      <c r="G50" s="238"/>
      <c r="H50" s="238"/>
      <c r="I50" s="238"/>
      <c r="J50" s="238"/>
      <c r="K50" s="238"/>
      <c r="L50" s="238"/>
      <c r="M50" s="238"/>
      <c r="N50" s="239"/>
    </row>
    <row r="51" spans="1:14" x14ac:dyDescent="0.35">
      <c r="A51" s="150"/>
      <c r="B51" s="111" t="s">
        <v>595</v>
      </c>
      <c r="C51" s="111" t="s">
        <v>1114</v>
      </c>
      <c r="D51" s="111" t="s">
        <v>236</v>
      </c>
      <c r="E51" s="111" t="s">
        <v>198</v>
      </c>
      <c r="F51" s="111" t="s">
        <v>226</v>
      </c>
      <c r="G51" s="111" t="s">
        <v>1538</v>
      </c>
      <c r="H51" s="111" t="s">
        <v>2026</v>
      </c>
      <c r="I51" s="111" t="s">
        <v>239</v>
      </c>
      <c r="J51" s="111" t="s">
        <v>2027</v>
      </c>
      <c r="K51" s="111" t="s">
        <v>834</v>
      </c>
      <c r="L51" s="111" t="s">
        <v>751</v>
      </c>
      <c r="M51" s="111" t="s">
        <v>145</v>
      </c>
      <c r="N51" s="112" t="s">
        <v>2037</v>
      </c>
    </row>
    <row r="52" spans="1:14" x14ac:dyDescent="0.35">
      <c r="A52" s="151" t="s">
        <v>2268</v>
      </c>
      <c r="B52" s="183">
        <f>OTD!B45</f>
        <v>0.61111111111111116</v>
      </c>
      <c r="C52" s="183">
        <f>OTD!C45</f>
        <v>0.7</v>
      </c>
      <c r="D52" s="183">
        <f>OTD!D45</f>
        <v>0.59090909090909094</v>
      </c>
      <c r="E52" s="183">
        <f>OTD!E45</f>
        <v>0.56862745098039214</v>
      </c>
      <c r="F52" s="183">
        <f>OTD!F45</f>
        <v>0.52272727272727271</v>
      </c>
      <c r="G52" s="183">
        <f>OTD!G45</f>
        <v>0.48076923076923078</v>
      </c>
      <c r="H52" s="183">
        <f>OTD!H45</f>
        <v>0.63636363636363635</v>
      </c>
      <c r="I52" s="183">
        <f>OTD!I45</f>
        <v>0.66666666666666663</v>
      </c>
      <c r="J52" s="183" t="str">
        <f>OTD!J45</f>
        <v/>
      </c>
      <c r="K52" s="183" t="str">
        <f>OTD!K45</f>
        <v/>
      </c>
      <c r="L52" s="183" t="str">
        <f>OTD!L45</f>
        <v/>
      </c>
      <c r="M52" s="183" t="str">
        <f>OTD!M45</f>
        <v/>
      </c>
      <c r="N52" s="183">
        <f>OTD!N45</f>
        <v>0.59714680744092519</v>
      </c>
    </row>
    <row r="53" spans="1:14" x14ac:dyDescent="0.35">
      <c r="A53" s="156" t="s">
        <v>2269</v>
      </c>
      <c r="B53" s="186">
        <v>0.75</v>
      </c>
      <c r="C53" s="186">
        <v>0.75</v>
      </c>
      <c r="D53" s="186">
        <v>0.75</v>
      </c>
      <c r="E53" s="186">
        <v>0.75</v>
      </c>
      <c r="F53" s="186">
        <v>0.75</v>
      </c>
      <c r="G53" s="186">
        <v>0.75</v>
      </c>
      <c r="H53" s="186">
        <v>0.75</v>
      </c>
      <c r="I53" s="186">
        <v>0.75</v>
      </c>
      <c r="J53" s="186">
        <v>0.75</v>
      </c>
      <c r="K53" s="186">
        <v>0.75</v>
      </c>
      <c r="L53" s="186">
        <v>0.75</v>
      </c>
      <c r="M53" s="186">
        <v>0.75</v>
      </c>
      <c r="N53" s="114"/>
    </row>
    <row r="54" spans="1:14" x14ac:dyDescent="0.35">
      <c r="A54" s="114"/>
      <c r="B54" s="114"/>
      <c r="C54" s="114"/>
      <c r="D54" s="131"/>
      <c r="E54" s="114"/>
      <c r="F54" s="114"/>
      <c r="G54" s="114"/>
      <c r="H54" s="114"/>
      <c r="I54" s="114"/>
      <c r="J54" s="114"/>
      <c r="K54" s="114"/>
      <c r="L54" s="114"/>
      <c r="M54" s="114"/>
      <c r="N54" s="114"/>
    </row>
    <row r="55" spans="1:14" x14ac:dyDescent="0.35">
      <c r="A55" s="114"/>
      <c r="B55" s="114"/>
      <c r="C55" s="114"/>
      <c r="D55" s="131"/>
      <c r="E55" s="114"/>
      <c r="F55" s="114"/>
      <c r="G55" s="114"/>
      <c r="H55" s="114"/>
      <c r="I55" s="114"/>
      <c r="J55" s="114"/>
      <c r="K55" s="114"/>
      <c r="L55" s="114"/>
      <c r="M55" s="114"/>
      <c r="N55" s="114"/>
    </row>
    <row r="56" spans="1:14" x14ac:dyDescent="0.35">
      <c r="A56" s="114"/>
      <c r="B56" s="114"/>
      <c r="C56" s="114"/>
      <c r="D56" s="131"/>
      <c r="E56" s="114"/>
      <c r="F56" s="114"/>
      <c r="G56" s="114"/>
      <c r="H56" s="114"/>
      <c r="I56" s="114"/>
      <c r="J56" s="114"/>
      <c r="K56" s="114"/>
      <c r="L56" s="114"/>
      <c r="M56" s="114"/>
      <c r="N56" s="114"/>
    </row>
    <row r="57" spans="1:14" x14ac:dyDescent="0.35">
      <c r="B57" s="114"/>
      <c r="C57" s="114"/>
      <c r="D57" s="131"/>
      <c r="E57" s="114"/>
      <c r="F57" s="114"/>
      <c r="G57" s="114"/>
      <c r="H57" s="114"/>
      <c r="I57" s="114"/>
      <c r="J57" s="114"/>
      <c r="K57" s="114"/>
      <c r="L57" s="114"/>
      <c r="M57" s="114"/>
      <c r="N57" s="114"/>
    </row>
    <row r="58" spans="1:14" x14ac:dyDescent="0.35">
      <c r="A58" s="114"/>
      <c r="B58" s="114"/>
      <c r="C58" s="114"/>
      <c r="D58" s="131"/>
      <c r="E58" s="114"/>
      <c r="F58" s="114"/>
      <c r="G58" s="114"/>
      <c r="H58" s="114"/>
      <c r="I58" s="114"/>
      <c r="J58" s="114"/>
      <c r="K58" s="114"/>
      <c r="L58" s="114"/>
      <c r="M58" s="114"/>
      <c r="N58" s="114"/>
    </row>
    <row r="59" spans="1:14" x14ac:dyDescent="0.35">
      <c r="A59" s="114"/>
      <c r="B59" s="114"/>
      <c r="C59" s="114"/>
      <c r="D59" s="131"/>
      <c r="E59" s="114"/>
      <c r="F59" s="114"/>
      <c r="G59" s="114"/>
      <c r="H59" s="114"/>
      <c r="I59" s="114"/>
      <c r="J59" s="114"/>
      <c r="K59" s="114"/>
      <c r="L59" s="114"/>
      <c r="M59" s="114"/>
      <c r="N59" s="114"/>
    </row>
    <row r="60" spans="1:14" x14ac:dyDescent="0.35">
      <c r="A60" s="114"/>
      <c r="B60" s="114"/>
      <c r="C60" s="114"/>
      <c r="D60" s="131"/>
      <c r="E60" s="114"/>
      <c r="F60" s="114"/>
      <c r="G60" s="114"/>
      <c r="H60" s="114"/>
      <c r="I60" s="114"/>
      <c r="J60" s="114"/>
      <c r="K60" s="114"/>
      <c r="L60" s="114"/>
      <c r="M60" s="114"/>
      <c r="N60" s="114"/>
    </row>
    <row r="61" spans="1:14" x14ac:dyDescent="0.35">
      <c r="A61" s="114"/>
      <c r="B61" s="114"/>
      <c r="C61" s="114"/>
      <c r="D61" s="131"/>
      <c r="E61" s="114"/>
      <c r="F61" s="114"/>
      <c r="G61" s="114"/>
      <c r="H61" s="114"/>
      <c r="I61" s="114"/>
      <c r="J61" s="114"/>
      <c r="K61" s="114"/>
      <c r="L61" s="114"/>
      <c r="M61" s="114"/>
      <c r="N61" s="114"/>
    </row>
    <row r="62" spans="1:14" x14ac:dyDescent="0.35">
      <c r="A62" s="114"/>
      <c r="B62" s="114"/>
      <c r="C62" s="114"/>
      <c r="D62" s="131"/>
      <c r="E62" s="114"/>
      <c r="F62" s="114"/>
      <c r="G62" s="114"/>
      <c r="H62" s="114"/>
      <c r="I62" s="114"/>
      <c r="J62" s="114"/>
      <c r="K62" s="114"/>
      <c r="L62" s="114"/>
      <c r="M62" s="114"/>
      <c r="N62" s="114"/>
    </row>
    <row r="63" spans="1:14" x14ac:dyDescent="0.35">
      <c r="A63" s="114"/>
      <c r="B63" s="114"/>
      <c r="C63" s="114"/>
      <c r="D63" s="131"/>
      <c r="E63" s="114"/>
      <c r="F63" s="114"/>
      <c r="G63" s="114"/>
      <c r="H63" s="114"/>
      <c r="I63" s="114"/>
      <c r="J63" s="114"/>
      <c r="K63" s="114"/>
      <c r="L63" s="114"/>
      <c r="M63" s="114"/>
      <c r="N63" s="114"/>
    </row>
    <row r="64" spans="1:14" x14ac:dyDescent="0.35">
      <c r="A64" s="114"/>
      <c r="B64" s="114"/>
      <c r="C64" s="114"/>
      <c r="D64" s="131"/>
      <c r="E64" s="114"/>
      <c r="F64" s="114"/>
      <c r="G64" s="114"/>
      <c r="H64" s="114"/>
      <c r="I64" s="114"/>
      <c r="J64" s="114"/>
      <c r="K64" s="114"/>
      <c r="L64" s="114"/>
      <c r="M64" s="114"/>
      <c r="N64" s="114"/>
    </row>
    <row r="65" spans="1:16" x14ac:dyDescent="0.35">
      <c r="A65" s="114"/>
      <c r="B65" s="114"/>
      <c r="C65" s="114"/>
      <c r="D65" s="131"/>
      <c r="E65" s="114"/>
      <c r="F65" s="114"/>
      <c r="G65" s="114"/>
      <c r="H65" s="114"/>
      <c r="I65" s="114"/>
      <c r="J65" s="114"/>
      <c r="K65" s="114"/>
      <c r="L65" s="114"/>
      <c r="M65" s="114"/>
      <c r="N65" s="114"/>
      <c r="O65" s="110"/>
      <c r="P65" s="110"/>
    </row>
    <row r="66" spans="1:16" x14ac:dyDescent="0.35">
      <c r="A66" s="114"/>
      <c r="B66" s="114"/>
      <c r="C66" s="114"/>
      <c r="D66" s="131"/>
      <c r="E66" s="114"/>
      <c r="F66" s="114"/>
      <c r="G66" s="114"/>
      <c r="H66" s="114"/>
      <c r="I66" s="114"/>
      <c r="J66" s="114"/>
      <c r="K66" s="114"/>
      <c r="L66" s="114"/>
      <c r="M66" s="114"/>
      <c r="N66" s="114"/>
      <c r="O66" s="110"/>
      <c r="P66" s="110"/>
    </row>
    <row r="67" spans="1:16" x14ac:dyDescent="0.35">
      <c r="A67" s="114"/>
      <c r="B67" s="114"/>
      <c r="C67" s="114"/>
      <c r="D67" s="131"/>
      <c r="E67" s="114"/>
      <c r="F67" s="114"/>
      <c r="G67" s="114"/>
      <c r="H67" s="114"/>
      <c r="I67" s="114"/>
      <c r="J67" s="114"/>
      <c r="K67" s="114"/>
      <c r="L67" s="114"/>
      <c r="M67" s="114"/>
      <c r="N67" s="114"/>
      <c r="O67" s="110"/>
      <c r="P67" s="110"/>
    </row>
    <row r="68" spans="1:16" x14ac:dyDescent="0.35">
      <c r="A68" s="114"/>
      <c r="B68" s="114"/>
      <c r="C68" s="114"/>
      <c r="D68" s="131"/>
      <c r="E68" s="114"/>
      <c r="F68" s="114"/>
      <c r="G68" s="114"/>
      <c r="H68" s="114"/>
      <c r="I68" s="114"/>
      <c r="J68" s="114"/>
      <c r="K68" s="114"/>
      <c r="L68" s="114"/>
      <c r="M68" s="114"/>
      <c r="N68" s="114"/>
      <c r="O68" s="110"/>
      <c r="P68" s="110"/>
    </row>
    <row r="69" spans="1:16" x14ac:dyDescent="0.35">
      <c r="A69" s="114"/>
      <c r="B69" s="114"/>
      <c r="C69" s="114"/>
      <c r="D69" s="131"/>
      <c r="E69" s="114"/>
      <c r="F69" s="114"/>
      <c r="G69" s="114"/>
      <c r="H69" s="114"/>
      <c r="I69" s="114"/>
      <c r="J69" s="114"/>
      <c r="K69" s="114"/>
      <c r="L69" s="114"/>
      <c r="M69" s="114"/>
      <c r="N69" s="114"/>
      <c r="O69" s="110"/>
      <c r="P69" s="110"/>
    </row>
    <row r="70" spans="1:16" x14ac:dyDescent="0.35">
      <c r="A70" s="114"/>
      <c r="B70" s="114"/>
      <c r="C70" s="114"/>
      <c r="D70" s="131"/>
      <c r="E70" s="114"/>
      <c r="F70" s="114"/>
      <c r="G70" s="114"/>
      <c r="H70" s="114"/>
      <c r="I70" s="114"/>
      <c r="J70" s="114"/>
      <c r="K70" s="114"/>
      <c r="L70" s="114"/>
      <c r="M70" s="114"/>
      <c r="N70" s="114"/>
      <c r="O70" s="110"/>
      <c r="P70" s="110"/>
    </row>
    <row r="71" spans="1:16" x14ac:dyDescent="0.35">
      <c r="A71" s="114"/>
      <c r="B71" s="114"/>
      <c r="C71" s="114"/>
      <c r="D71" s="131"/>
      <c r="E71" s="114"/>
      <c r="F71" s="114"/>
      <c r="G71" s="114"/>
      <c r="H71" s="114"/>
      <c r="I71" s="114"/>
      <c r="J71" s="114"/>
      <c r="K71" s="114"/>
      <c r="L71" s="114"/>
      <c r="M71" s="114"/>
      <c r="N71" s="114"/>
      <c r="O71" s="110"/>
      <c r="P71" s="110"/>
    </row>
    <row r="72" spans="1:16" x14ac:dyDescent="0.35">
      <c r="A72" s="114"/>
      <c r="B72" s="114"/>
      <c r="C72" s="114"/>
      <c r="D72" s="131"/>
      <c r="E72" s="114"/>
      <c r="F72" s="114"/>
      <c r="G72" s="114"/>
      <c r="H72" s="114"/>
      <c r="I72" s="114"/>
      <c r="J72" s="114"/>
      <c r="K72" s="114"/>
      <c r="L72" s="114"/>
      <c r="M72" s="114"/>
      <c r="N72" s="114"/>
      <c r="O72" s="110"/>
      <c r="P72" s="110"/>
    </row>
    <row r="73" spans="1:16" x14ac:dyDescent="0.35">
      <c r="A73" s="114"/>
      <c r="B73" s="114"/>
      <c r="C73" s="114"/>
      <c r="D73" s="131"/>
      <c r="E73" s="114"/>
      <c r="F73" s="114"/>
      <c r="G73" s="114"/>
      <c r="H73" s="114"/>
      <c r="I73" s="114"/>
      <c r="J73" s="114"/>
      <c r="K73" s="114"/>
      <c r="L73" s="114"/>
      <c r="M73" s="114"/>
      <c r="N73" s="114"/>
      <c r="O73" s="110"/>
      <c r="P73" s="110"/>
    </row>
    <row r="74" spans="1:16" x14ac:dyDescent="0.35">
      <c r="A74" s="114"/>
      <c r="B74" s="114"/>
      <c r="C74" s="114"/>
      <c r="D74" s="131"/>
      <c r="E74" s="114"/>
      <c r="F74" s="114"/>
      <c r="G74" s="114"/>
      <c r="H74" s="114"/>
      <c r="I74" s="114"/>
      <c r="J74" s="114"/>
      <c r="K74" s="114"/>
      <c r="L74" s="114"/>
      <c r="M74" s="114"/>
      <c r="N74" s="114"/>
      <c r="O74" s="110"/>
      <c r="P74" s="110"/>
    </row>
    <row r="75" spans="1:16" x14ac:dyDescent="0.35">
      <c r="A75" s="114"/>
      <c r="B75" s="114"/>
      <c r="C75" s="114"/>
      <c r="D75" s="131"/>
      <c r="E75" s="114"/>
      <c r="F75" s="114"/>
      <c r="G75" s="114"/>
      <c r="H75" s="114"/>
      <c r="I75" s="114"/>
      <c r="J75" s="114"/>
      <c r="K75" s="114"/>
      <c r="L75" s="114"/>
      <c r="M75" s="114"/>
      <c r="N75" s="114"/>
    </row>
    <row r="76" spans="1:16" x14ac:dyDescent="0.35">
      <c r="A76" s="114"/>
      <c r="B76" s="114"/>
      <c r="C76" s="114"/>
      <c r="D76" s="131"/>
      <c r="E76" s="114"/>
      <c r="F76" s="114"/>
      <c r="G76" s="114"/>
      <c r="H76" s="114"/>
      <c r="I76" s="114"/>
      <c r="J76" s="114"/>
      <c r="K76" s="114"/>
      <c r="L76" s="114"/>
      <c r="M76" s="114"/>
      <c r="N76" s="114"/>
    </row>
    <row r="77" spans="1:16" x14ac:dyDescent="0.35">
      <c r="A77" s="114"/>
      <c r="B77" s="114"/>
      <c r="C77" s="114"/>
      <c r="D77" s="131"/>
      <c r="E77" s="114"/>
      <c r="F77" s="114"/>
      <c r="G77" s="114"/>
      <c r="H77" s="114"/>
      <c r="I77" s="114"/>
      <c r="J77" s="114"/>
      <c r="K77" s="114"/>
      <c r="L77" s="114"/>
      <c r="M77" s="114"/>
      <c r="N77" s="114"/>
    </row>
    <row r="78" spans="1:16" x14ac:dyDescent="0.35">
      <c r="A78" s="114"/>
      <c r="B78" s="114"/>
      <c r="C78" s="114"/>
      <c r="D78" s="131"/>
      <c r="E78" s="114"/>
      <c r="F78" s="114"/>
      <c r="G78" s="114"/>
      <c r="H78" s="114"/>
      <c r="I78" s="114"/>
      <c r="J78" s="114"/>
      <c r="K78" s="114"/>
      <c r="L78" s="114"/>
      <c r="M78" s="114"/>
      <c r="N78" s="114"/>
      <c r="P78" s="149"/>
    </row>
    <row r="79" spans="1:16" x14ac:dyDescent="0.35">
      <c r="A79" s="114"/>
      <c r="B79" s="114"/>
      <c r="C79" s="114"/>
      <c r="D79" s="131"/>
      <c r="E79" s="114"/>
      <c r="F79" s="114"/>
      <c r="G79" s="114"/>
      <c r="H79" s="114"/>
      <c r="I79" s="114"/>
      <c r="J79" s="114"/>
      <c r="K79" s="114"/>
      <c r="L79" s="114"/>
      <c r="M79" s="114"/>
      <c r="N79" s="114"/>
    </row>
    <row r="80" spans="1:16" x14ac:dyDescent="0.35">
      <c r="A80" s="114"/>
      <c r="B80" s="114"/>
      <c r="C80" s="114"/>
      <c r="D80" s="131"/>
      <c r="E80" s="114"/>
      <c r="F80" s="114"/>
      <c r="G80" s="114"/>
      <c r="H80" s="114"/>
      <c r="I80" s="114"/>
      <c r="J80" s="114"/>
      <c r="K80" s="114"/>
      <c r="L80" s="114"/>
      <c r="M80" s="114"/>
      <c r="N80" s="114"/>
    </row>
    <row r="81" spans="1:14" x14ac:dyDescent="0.35">
      <c r="A81" s="114"/>
      <c r="B81" s="114"/>
      <c r="C81" s="114"/>
      <c r="D81" s="131"/>
      <c r="E81" s="114"/>
      <c r="F81" s="114"/>
      <c r="G81" s="114"/>
      <c r="H81" s="114"/>
      <c r="I81" s="114"/>
      <c r="J81" s="114"/>
      <c r="K81" s="114"/>
      <c r="L81" s="114"/>
      <c r="M81" s="114"/>
      <c r="N81" s="114"/>
    </row>
    <row r="82" spans="1:14" x14ac:dyDescent="0.35">
      <c r="A82" s="114"/>
      <c r="B82" s="114"/>
      <c r="C82" s="114"/>
      <c r="D82" s="131"/>
      <c r="E82" s="114"/>
      <c r="F82" s="114"/>
      <c r="G82" s="114"/>
      <c r="H82" s="114"/>
      <c r="I82" s="114"/>
      <c r="J82" s="114"/>
      <c r="K82" s="114"/>
      <c r="L82" s="114"/>
      <c r="M82" s="114"/>
      <c r="N82" s="114"/>
    </row>
    <row r="83" spans="1:14" x14ac:dyDescent="0.35">
      <c r="A83" s="114"/>
      <c r="B83" s="114"/>
      <c r="C83" s="114"/>
      <c r="D83" s="131"/>
      <c r="E83" s="114"/>
      <c r="F83" s="114"/>
      <c r="G83" s="114"/>
      <c r="H83" s="114"/>
      <c r="I83" s="114"/>
      <c r="J83" s="114"/>
      <c r="K83" s="114"/>
      <c r="L83" s="114"/>
      <c r="M83" s="114"/>
      <c r="N83" s="114"/>
    </row>
    <row r="84" spans="1:14" x14ac:dyDescent="0.35">
      <c r="A84" s="114"/>
      <c r="B84" s="114"/>
      <c r="C84" s="114"/>
      <c r="D84" s="131"/>
      <c r="E84" s="114"/>
      <c r="F84" s="114"/>
      <c r="G84" s="114"/>
      <c r="H84" s="114"/>
      <c r="I84" s="114"/>
      <c r="J84" s="114"/>
      <c r="K84" s="114"/>
      <c r="L84" s="114"/>
      <c r="M84" s="114"/>
      <c r="N84" s="114"/>
    </row>
    <row r="85" spans="1:14" x14ac:dyDescent="0.35">
      <c r="A85" s="114"/>
      <c r="B85" s="114"/>
      <c r="C85" s="114"/>
      <c r="D85" s="131"/>
      <c r="E85" s="114" t="s">
        <v>2265</v>
      </c>
      <c r="F85" s="114"/>
      <c r="G85" s="114"/>
      <c r="H85" s="114"/>
      <c r="I85" s="114"/>
      <c r="J85" s="114"/>
      <c r="K85" s="114"/>
      <c r="L85" s="114"/>
      <c r="M85" s="114"/>
      <c r="N85" s="114"/>
    </row>
    <row r="86" spans="1:14" x14ac:dyDescent="0.35">
      <c r="A86" s="114"/>
      <c r="B86" s="114"/>
      <c r="C86" s="114"/>
      <c r="D86" s="131"/>
      <c r="E86" s="114"/>
      <c r="F86" s="114"/>
      <c r="G86" s="114"/>
      <c r="H86" s="114"/>
      <c r="I86" s="114"/>
      <c r="J86" s="114"/>
      <c r="K86" s="114"/>
      <c r="L86" s="114"/>
      <c r="M86" s="114"/>
      <c r="N86" s="114"/>
    </row>
    <row r="87" spans="1:14" x14ac:dyDescent="0.35">
      <c r="A87" s="114"/>
      <c r="B87" s="114"/>
      <c r="C87" s="114"/>
      <c r="D87" s="131"/>
      <c r="E87" s="114"/>
      <c r="F87" s="114"/>
      <c r="G87" s="114"/>
      <c r="H87" s="114"/>
      <c r="I87" s="114"/>
      <c r="J87" s="114"/>
      <c r="K87" s="114"/>
      <c r="L87" s="114"/>
      <c r="M87" s="114"/>
      <c r="N87" s="114"/>
    </row>
    <row r="88" spans="1:14" x14ac:dyDescent="0.35">
      <c r="A88" s="114"/>
      <c r="B88" s="114"/>
      <c r="C88" s="114"/>
      <c r="D88" s="131"/>
      <c r="E88" s="114"/>
      <c r="F88" s="114"/>
      <c r="G88" s="114"/>
      <c r="H88" s="114"/>
      <c r="I88" s="114"/>
      <c r="J88" s="114"/>
      <c r="K88" s="114"/>
      <c r="L88" s="114"/>
      <c r="M88" s="114"/>
      <c r="N88" s="114"/>
    </row>
    <row r="89" spans="1:14" x14ac:dyDescent="0.35">
      <c r="A89" s="114"/>
      <c r="B89" s="114"/>
      <c r="C89" s="114"/>
      <c r="D89" s="131"/>
      <c r="E89" s="114"/>
      <c r="F89" s="114"/>
      <c r="G89" s="114"/>
      <c r="H89" s="114"/>
      <c r="I89" s="114"/>
      <c r="J89" s="114"/>
      <c r="K89" s="114"/>
      <c r="L89" s="114"/>
      <c r="M89" s="114"/>
      <c r="N89" s="114"/>
    </row>
    <row r="90" spans="1:14" x14ac:dyDescent="0.35">
      <c r="A90" s="114"/>
      <c r="B90" s="114"/>
      <c r="C90" s="114"/>
      <c r="D90" s="131"/>
      <c r="E90" s="114"/>
      <c r="F90" s="114"/>
      <c r="G90" s="114"/>
      <c r="H90" s="114"/>
      <c r="I90" s="114"/>
      <c r="J90" s="114"/>
      <c r="K90" s="114"/>
      <c r="L90" s="114"/>
      <c r="M90" s="114"/>
      <c r="N90" s="114"/>
    </row>
    <row r="91" spans="1:14" x14ac:dyDescent="0.35">
      <c r="A91" s="114"/>
      <c r="B91" s="114"/>
      <c r="C91" s="114"/>
      <c r="D91" s="131"/>
      <c r="E91" s="114"/>
      <c r="F91" s="114"/>
      <c r="G91" s="114"/>
      <c r="H91" s="114"/>
      <c r="I91" s="114"/>
      <c r="J91" s="114"/>
      <c r="K91" s="114"/>
      <c r="L91" s="114"/>
      <c r="M91" s="114"/>
      <c r="N91" s="114"/>
    </row>
    <row r="92" spans="1:14" x14ac:dyDescent="0.35">
      <c r="A92" s="114"/>
      <c r="B92" s="114"/>
      <c r="C92" s="114"/>
      <c r="D92" s="131"/>
      <c r="E92" s="114"/>
      <c r="F92" s="114"/>
      <c r="G92" s="114"/>
      <c r="H92" s="114"/>
      <c r="I92" s="114"/>
      <c r="J92" s="114"/>
      <c r="K92" s="114"/>
      <c r="L92" s="114"/>
      <c r="M92" s="114"/>
      <c r="N92" s="114"/>
    </row>
    <row r="93" spans="1:14" x14ac:dyDescent="0.35">
      <c r="A93" s="114"/>
      <c r="B93" s="114"/>
      <c r="C93" s="114"/>
      <c r="D93" s="131"/>
      <c r="E93" s="114"/>
      <c r="F93" s="114"/>
      <c r="G93" s="114"/>
      <c r="H93" s="114"/>
      <c r="I93" s="114"/>
      <c r="J93" s="114"/>
      <c r="K93" s="114"/>
      <c r="L93" s="114"/>
      <c r="M93" s="114"/>
      <c r="N93" s="114"/>
    </row>
    <row r="94" spans="1:14" x14ac:dyDescent="0.35">
      <c r="A94" s="114"/>
      <c r="B94" s="114"/>
      <c r="C94" s="114"/>
      <c r="D94" s="131"/>
      <c r="E94" s="114"/>
      <c r="F94" s="114"/>
      <c r="G94" s="114"/>
      <c r="H94" s="114"/>
      <c r="I94" s="114"/>
      <c r="J94" s="114"/>
      <c r="K94" s="114"/>
      <c r="L94" s="114"/>
      <c r="M94" s="114"/>
      <c r="N94" s="114"/>
    </row>
    <row r="95" spans="1:14" x14ac:dyDescent="0.35">
      <c r="A95" s="114"/>
      <c r="B95" s="114"/>
      <c r="C95" s="114"/>
      <c r="D95" s="131"/>
      <c r="E95" s="114"/>
      <c r="F95" s="114"/>
      <c r="G95" s="114"/>
      <c r="H95" s="114"/>
      <c r="I95" s="114"/>
      <c r="J95" s="114"/>
      <c r="K95" s="114"/>
      <c r="L95" s="114"/>
      <c r="M95" s="114"/>
      <c r="N95" s="114"/>
    </row>
    <row r="96" spans="1:14" x14ac:dyDescent="0.35">
      <c r="A96" s="114"/>
      <c r="B96" s="114"/>
      <c r="C96" s="114"/>
      <c r="D96" s="131"/>
      <c r="E96" s="114"/>
      <c r="F96" s="114"/>
      <c r="G96" s="114"/>
      <c r="H96" s="114"/>
      <c r="I96" s="114"/>
      <c r="J96" s="114"/>
      <c r="K96" s="114"/>
      <c r="L96" s="114"/>
      <c r="M96" s="114"/>
      <c r="N96" s="114"/>
    </row>
    <row r="97" spans="1:14" x14ac:dyDescent="0.35">
      <c r="A97" s="114"/>
      <c r="B97" s="114"/>
      <c r="C97" s="114"/>
      <c r="D97" s="131"/>
      <c r="E97" s="114"/>
      <c r="F97" s="114"/>
      <c r="G97" s="114"/>
      <c r="H97" s="114"/>
      <c r="I97" s="114"/>
      <c r="J97" s="114"/>
      <c r="K97" s="114"/>
      <c r="L97" s="114"/>
      <c r="M97" s="114"/>
      <c r="N97" s="114"/>
    </row>
    <row r="98" spans="1:14" x14ac:dyDescent="0.35">
      <c r="A98" s="114"/>
      <c r="B98" s="114"/>
      <c r="C98" s="114"/>
      <c r="D98" s="131"/>
      <c r="E98" s="114"/>
      <c r="F98" s="114"/>
      <c r="G98" s="114"/>
      <c r="H98" s="114"/>
      <c r="I98" s="114"/>
      <c r="J98" s="114"/>
      <c r="K98" s="114"/>
      <c r="L98" s="114"/>
      <c r="M98" s="114"/>
      <c r="N98" s="114"/>
    </row>
    <row r="99" spans="1:14" x14ac:dyDescent="0.35">
      <c r="A99" s="114"/>
      <c r="B99" s="114"/>
      <c r="C99" s="114"/>
      <c r="D99" s="131"/>
      <c r="E99" s="114"/>
      <c r="F99" s="114"/>
      <c r="G99" s="114"/>
      <c r="H99" s="114"/>
      <c r="I99" s="114"/>
      <c r="J99" s="114"/>
      <c r="K99" s="114"/>
      <c r="L99" s="114"/>
      <c r="M99" s="114"/>
      <c r="N99" s="114"/>
    </row>
    <row r="100" spans="1:14" x14ac:dyDescent="0.35">
      <c r="A100" s="114"/>
      <c r="B100" s="114"/>
      <c r="C100" s="114"/>
      <c r="D100" s="131"/>
      <c r="E100" s="114"/>
      <c r="F100" s="114"/>
      <c r="G100" s="114"/>
      <c r="H100" s="114"/>
      <c r="I100" s="114"/>
      <c r="J100" s="114"/>
      <c r="K100" s="114"/>
      <c r="L100" s="114"/>
      <c r="M100" s="114"/>
      <c r="N100" s="114"/>
    </row>
    <row r="101" spans="1:14" x14ac:dyDescent="0.35">
      <c r="A101" s="114"/>
      <c r="B101" s="114"/>
      <c r="C101" s="114"/>
      <c r="D101" s="131"/>
      <c r="E101" s="114"/>
      <c r="F101" s="114"/>
      <c r="G101" s="114"/>
      <c r="H101" s="114"/>
      <c r="I101" s="114"/>
      <c r="J101" s="114"/>
      <c r="K101" s="114"/>
      <c r="L101" s="114"/>
      <c r="M101" s="114"/>
      <c r="N101" s="114"/>
    </row>
    <row r="102" spans="1:14" x14ac:dyDescent="0.35">
      <c r="A102" s="114"/>
      <c r="B102" s="114"/>
      <c r="C102" s="114"/>
      <c r="D102" s="131"/>
      <c r="E102" s="114"/>
      <c r="F102" s="114"/>
      <c r="G102" s="114"/>
      <c r="H102" s="114"/>
      <c r="I102" s="114"/>
      <c r="J102" s="114"/>
      <c r="K102" s="114"/>
      <c r="L102" s="114"/>
      <c r="M102" s="114"/>
      <c r="N102" s="114"/>
    </row>
    <row r="103" spans="1:14" x14ac:dyDescent="0.35">
      <c r="A103" s="114"/>
      <c r="B103" s="114"/>
      <c r="C103" s="114"/>
      <c r="D103" s="131"/>
      <c r="E103" s="114"/>
      <c r="F103" s="114"/>
      <c r="G103" s="114"/>
      <c r="H103" s="114"/>
      <c r="I103" s="114"/>
      <c r="J103" s="114"/>
      <c r="K103" s="114"/>
      <c r="L103" s="114"/>
      <c r="M103" s="114"/>
      <c r="N103" s="114"/>
    </row>
    <row r="104" spans="1:14" x14ac:dyDescent="0.35">
      <c r="A104" s="114"/>
      <c r="B104" s="114"/>
      <c r="C104" s="114"/>
      <c r="D104" s="131"/>
      <c r="E104" s="114"/>
      <c r="F104" s="114"/>
      <c r="G104" s="114"/>
      <c r="H104" s="114"/>
      <c r="I104" s="114"/>
      <c r="J104" s="114"/>
      <c r="K104" s="114"/>
      <c r="L104" s="114"/>
      <c r="M104" s="114"/>
      <c r="N104" s="114"/>
    </row>
    <row r="105" spans="1:14" x14ac:dyDescent="0.35">
      <c r="A105" s="114"/>
      <c r="B105" s="114"/>
      <c r="C105" s="114"/>
      <c r="D105" s="131"/>
      <c r="E105" s="114"/>
      <c r="F105" s="114"/>
      <c r="G105" s="114"/>
      <c r="H105" s="114"/>
      <c r="I105" s="114"/>
      <c r="J105" s="114"/>
      <c r="K105" s="114"/>
      <c r="L105" s="114"/>
      <c r="M105" s="114"/>
      <c r="N105" s="114"/>
    </row>
    <row r="106" spans="1:14" x14ac:dyDescent="0.35">
      <c r="A106" s="114"/>
      <c r="B106" s="114"/>
      <c r="C106" s="114"/>
      <c r="D106" s="131"/>
      <c r="E106" s="114"/>
      <c r="F106" s="114"/>
      <c r="G106" s="114"/>
      <c r="H106" s="114"/>
      <c r="I106" s="114"/>
      <c r="J106" s="114"/>
      <c r="K106" s="114"/>
      <c r="L106" s="114"/>
      <c r="M106" s="114"/>
      <c r="N106" s="114"/>
    </row>
    <row r="107" spans="1:14" x14ac:dyDescent="0.35">
      <c r="A107" s="114"/>
      <c r="B107" s="114"/>
      <c r="C107" s="114"/>
      <c r="D107" s="131"/>
      <c r="E107" s="114"/>
      <c r="F107" s="114"/>
      <c r="G107" s="114"/>
      <c r="H107" s="114"/>
      <c r="I107" s="114"/>
      <c r="J107" s="114"/>
      <c r="K107" s="114"/>
      <c r="L107" s="114"/>
      <c r="M107" s="114"/>
      <c r="N107" s="114"/>
    </row>
    <row r="108" spans="1:14" x14ac:dyDescent="0.35">
      <c r="A108" s="114"/>
      <c r="B108" s="114"/>
      <c r="C108" s="114"/>
      <c r="D108" s="131"/>
      <c r="E108" s="114"/>
      <c r="F108" s="114"/>
      <c r="G108" s="114"/>
      <c r="H108" s="114"/>
      <c r="I108" s="114"/>
      <c r="J108" s="114"/>
      <c r="K108" s="114"/>
      <c r="L108" s="114"/>
      <c r="M108" s="114"/>
      <c r="N108" s="114"/>
    </row>
    <row r="109" spans="1:14" x14ac:dyDescent="0.35">
      <c r="A109" s="114"/>
      <c r="B109" s="114"/>
      <c r="C109" s="114"/>
      <c r="D109" s="131"/>
      <c r="E109" s="114"/>
      <c r="F109" s="114"/>
      <c r="G109" s="114"/>
      <c r="H109" s="114"/>
      <c r="I109" s="114"/>
      <c r="J109" s="114"/>
      <c r="K109" s="114"/>
      <c r="L109" s="114"/>
      <c r="M109" s="114"/>
      <c r="N109" s="114"/>
    </row>
    <row r="110" spans="1:14" x14ac:dyDescent="0.35">
      <c r="A110" s="114"/>
      <c r="B110" s="114"/>
      <c r="C110" s="114"/>
      <c r="D110" s="131"/>
      <c r="E110" s="114"/>
      <c r="F110" s="114"/>
      <c r="G110" s="114"/>
      <c r="H110" s="114"/>
      <c r="I110" s="114"/>
      <c r="J110" s="114"/>
      <c r="K110" s="114"/>
      <c r="L110" s="114"/>
      <c r="M110" s="114"/>
      <c r="N110" s="114"/>
    </row>
    <row r="111" spans="1:14" x14ac:dyDescent="0.35">
      <c r="A111" s="114"/>
      <c r="B111" s="114"/>
      <c r="C111" s="114"/>
      <c r="D111" s="131"/>
      <c r="E111" s="114"/>
      <c r="F111" s="114"/>
      <c r="G111" s="114"/>
      <c r="H111" s="114"/>
      <c r="I111" s="114"/>
      <c r="J111" s="114"/>
      <c r="K111" s="114"/>
      <c r="L111" s="114"/>
      <c r="M111" s="114"/>
      <c r="N111" s="114"/>
    </row>
    <row r="112" spans="1:14" x14ac:dyDescent="0.35">
      <c r="A112" s="114"/>
      <c r="B112" s="114"/>
      <c r="C112" s="114"/>
      <c r="D112" s="131"/>
      <c r="E112" s="114"/>
      <c r="F112" s="114"/>
      <c r="G112" s="114"/>
      <c r="H112" s="114"/>
      <c r="I112" s="114"/>
      <c r="J112" s="114"/>
      <c r="K112" s="114"/>
      <c r="L112" s="114"/>
      <c r="M112" s="114"/>
      <c r="N112" s="114"/>
    </row>
    <row r="113" spans="1:14" x14ac:dyDescent="0.35">
      <c r="A113" s="114"/>
      <c r="B113" s="114"/>
      <c r="C113" s="114"/>
      <c r="D113" s="131"/>
      <c r="E113" s="114"/>
      <c r="F113" s="114"/>
      <c r="G113" s="114"/>
      <c r="H113" s="114"/>
      <c r="I113" s="114"/>
      <c r="J113" s="114"/>
      <c r="K113" s="114"/>
      <c r="L113" s="114"/>
      <c r="M113" s="114"/>
      <c r="N113" s="114"/>
    </row>
    <row r="114" spans="1:14" x14ac:dyDescent="0.35">
      <c r="A114" s="114"/>
      <c r="B114" s="114"/>
      <c r="C114" s="114"/>
      <c r="D114" s="131"/>
      <c r="E114" s="114"/>
      <c r="F114" s="114"/>
      <c r="G114" s="114"/>
      <c r="H114" s="114"/>
      <c r="I114" s="114"/>
      <c r="J114" s="114"/>
      <c r="K114" s="114"/>
      <c r="L114" s="114"/>
      <c r="M114" s="114"/>
      <c r="N114" s="114"/>
    </row>
    <row r="115" spans="1:14" x14ac:dyDescent="0.35">
      <c r="A115" s="114"/>
      <c r="B115" s="114"/>
      <c r="C115" s="114"/>
      <c r="D115" s="131"/>
      <c r="E115" s="114"/>
      <c r="F115" s="114"/>
      <c r="G115" s="114"/>
      <c r="H115" s="114"/>
      <c r="I115" s="114"/>
      <c r="J115" s="114"/>
      <c r="K115" s="114"/>
      <c r="L115" s="114"/>
      <c r="M115" s="114"/>
      <c r="N115" s="114"/>
    </row>
    <row r="116" spans="1:14" x14ac:dyDescent="0.35">
      <c r="A116" s="114"/>
      <c r="B116" s="114"/>
      <c r="C116" s="114"/>
      <c r="D116" s="131"/>
      <c r="E116" s="114"/>
      <c r="F116" s="114"/>
      <c r="G116" s="114"/>
      <c r="H116" s="114"/>
      <c r="I116" s="114"/>
      <c r="J116" s="114"/>
      <c r="K116" s="114"/>
      <c r="L116" s="114"/>
      <c r="M116" s="114"/>
      <c r="N116" s="114"/>
    </row>
    <row r="117" spans="1:14" x14ac:dyDescent="0.35">
      <c r="A117" s="114"/>
      <c r="B117" s="114"/>
      <c r="C117" s="114"/>
      <c r="D117" s="131"/>
      <c r="E117" s="114"/>
      <c r="F117" s="114"/>
      <c r="G117" s="114"/>
      <c r="H117" s="114"/>
      <c r="I117" s="114"/>
      <c r="J117" s="114"/>
      <c r="K117" s="114"/>
      <c r="L117" s="114"/>
      <c r="M117" s="114"/>
      <c r="N117" s="114"/>
    </row>
    <row r="118" spans="1:14" x14ac:dyDescent="0.35">
      <c r="A118" s="114"/>
      <c r="B118" s="114"/>
      <c r="C118" s="114"/>
      <c r="D118" s="131"/>
      <c r="E118" s="114"/>
      <c r="F118" s="114"/>
      <c r="G118" s="114"/>
      <c r="H118" s="114"/>
      <c r="I118" s="114"/>
      <c r="J118" s="114"/>
      <c r="K118" s="114"/>
      <c r="L118" s="114"/>
      <c r="M118" s="114"/>
      <c r="N118" s="114"/>
    </row>
    <row r="119" spans="1:14" x14ac:dyDescent="0.35">
      <c r="A119" s="114"/>
      <c r="B119" s="114"/>
      <c r="C119" s="114"/>
      <c r="D119" s="131"/>
      <c r="E119" s="114"/>
      <c r="F119" s="114"/>
      <c r="G119" s="114"/>
      <c r="H119" s="114"/>
      <c r="I119" s="114"/>
      <c r="J119" s="114"/>
      <c r="K119" s="114"/>
      <c r="L119" s="114"/>
      <c r="M119" s="114"/>
      <c r="N119" s="114"/>
    </row>
    <row r="120" spans="1:14" x14ac:dyDescent="0.35">
      <c r="A120" s="114"/>
      <c r="B120" s="114"/>
      <c r="C120" s="114"/>
      <c r="D120" s="131"/>
      <c r="E120" s="114"/>
      <c r="F120" s="114"/>
      <c r="G120" s="114"/>
      <c r="H120" s="114"/>
      <c r="I120" s="114"/>
      <c r="J120" s="114"/>
      <c r="K120" s="114"/>
      <c r="L120" s="114"/>
      <c r="M120" s="114"/>
      <c r="N120" s="114"/>
    </row>
    <row r="121" spans="1:14" x14ac:dyDescent="0.35">
      <c r="A121" s="114"/>
      <c r="B121" s="114"/>
      <c r="C121" s="114"/>
      <c r="D121" s="131"/>
      <c r="E121" s="114"/>
      <c r="F121" s="114"/>
      <c r="G121" s="114"/>
      <c r="H121" s="114"/>
      <c r="I121" s="114"/>
      <c r="J121" s="114"/>
      <c r="K121" s="114"/>
      <c r="L121" s="114"/>
      <c r="M121" s="114"/>
      <c r="N121" s="114"/>
    </row>
    <row r="122" spans="1:14" x14ac:dyDescent="0.35">
      <c r="A122" s="114"/>
      <c r="B122" s="114"/>
      <c r="C122" s="114"/>
      <c r="D122" s="131"/>
      <c r="E122" s="114"/>
      <c r="F122" s="114"/>
      <c r="G122" s="114"/>
      <c r="H122" s="114"/>
      <c r="I122" s="114"/>
      <c r="J122" s="114"/>
      <c r="K122" s="114"/>
      <c r="L122" s="114"/>
      <c r="M122" s="114"/>
      <c r="N122" s="114"/>
    </row>
    <row r="123" spans="1:14" x14ac:dyDescent="0.35">
      <c r="A123" s="114"/>
      <c r="B123" s="114"/>
      <c r="C123" s="114"/>
      <c r="D123" s="131"/>
      <c r="E123" s="114"/>
      <c r="F123" s="114"/>
      <c r="G123" s="114"/>
      <c r="H123" s="114"/>
      <c r="I123" s="114"/>
      <c r="J123" s="114"/>
      <c r="K123" s="114"/>
      <c r="L123" s="114"/>
      <c r="M123" s="114"/>
      <c r="N123" s="114"/>
    </row>
    <row r="124" spans="1:14" x14ac:dyDescent="0.35">
      <c r="A124" s="114"/>
      <c r="B124" s="114"/>
      <c r="C124" s="114"/>
      <c r="D124" s="131"/>
      <c r="E124" s="114"/>
      <c r="F124" s="114"/>
      <c r="G124" s="114"/>
      <c r="H124" s="114"/>
      <c r="I124" s="114"/>
      <c r="J124" s="114"/>
      <c r="K124" s="114"/>
      <c r="L124" s="114"/>
      <c r="M124" s="114"/>
      <c r="N124" s="114"/>
    </row>
    <row r="125" spans="1:14" x14ac:dyDescent="0.35">
      <c r="A125" s="114"/>
      <c r="B125" s="114"/>
      <c r="C125" s="114"/>
      <c r="D125" s="131"/>
      <c r="E125" s="114"/>
      <c r="F125" s="114"/>
      <c r="G125" s="114"/>
      <c r="H125" s="114"/>
      <c r="I125" s="114"/>
      <c r="J125" s="114"/>
      <c r="K125" s="114"/>
      <c r="L125" s="114"/>
      <c r="M125" s="114"/>
      <c r="N125" s="114"/>
    </row>
    <row r="126" spans="1:14" x14ac:dyDescent="0.35">
      <c r="A126" s="114"/>
      <c r="B126" s="114"/>
      <c r="C126" s="114"/>
      <c r="D126" s="131"/>
      <c r="E126" s="114"/>
      <c r="F126" s="114"/>
      <c r="G126" s="114"/>
      <c r="H126" s="114"/>
      <c r="I126" s="114"/>
      <c r="J126" s="114"/>
      <c r="K126" s="114"/>
      <c r="L126" s="114"/>
      <c r="M126" s="114"/>
      <c r="N126" s="114"/>
    </row>
    <row r="127" spans="1:14" x14ac:dyDescent="0.35">
      <c r="A127" s="114"/>
      <c r="B127" s="114"/>
      <c r="C127" s="114"/>
      <c r="D127" s="131"/>
      <c r="E127" s="114"/>
      <c r="F127" s="114"/>
      <c r="G127" s="114"/>
      <c r="H127" s="114"/>
      <c r="I127" s="114"/>
      <c r="J127" s="114"/>
      <c r="K127" s="114"/>
      <c r="L127" s="114"/>
      <c r="M127" s="114"/>
      <c r="N127" s="114"/>
    </row>
    <row r="128" spans="1:14" x14ac:dyDescent="0.35">
      <c r="A128" s="114"/>
      <c r="B128" s="114"/>
      <c r="C128" s="114"/>
      <c r="D128" s="131"/>
      <c r="E128" s="114"/>
      <c r="F128" s="114"/>
      <c r="G128" s="114"/>
      <c r="H128" s="114"/>
      <c r="I128" s="114"/>
      <c r="J128" s="114"/>
      <c r="K128" s="114"/>
      <c r="L128" s="114"/>
      <c r="M128" s="114"/>
      <c r="N128" s="114"/>
    </row>
    <row r="129" spans="1:14" x14ac:dyDescent="0.35">
      <c r="A129" s="114"/>
      <c r="B129" s="114"/>
      <c r="C129" s="114"/>
      <c r="D129" s="131"/>
      <c r="E129" s="114"/>
      <c r="F129" s="114"/>
      <c r="G129" s="114"/>
      <c r="H129" s="114"/>
      <c r="I129" s="114"/>
      <c r="J129" s="114"/>
      <c r="K129" s="114"/>
      <c r="L129" s="114"/>
      <c r="M129" s="114"/>
      <c r="N129" s="114"/>
    </row>
    <row r="130" spans="1:14" x14ac:dyDescent="0.35">
      <c r="A130" s="114"/>
      <c r="B130" s="114"/>
      <c r="C130" s="114"/>
      <c r="D130" s="131"/>
      <c r="E130" s="114"/>
      <c r="F130" s="114"/>
      <c r="G130" s="114"/>
      <c r="H130" s="114"/>
      <c r="I130" s="114"/>
      <c r="J130" s="114"/>
      <c r="K130" s="114"/>
      <c r="L130" s="114"/>
      <c r="M130" s="114"/>
      <c r="N130" s="114"/>
    </row>
    <row r="131" spans="1:14" x14ac:dyDescent="0.35">
      <c r="A131" s="114"/>
      <c r="B131" s="114"/>
      <c r="C131" s="114"/>
      <c r="D131" s="131"/>
      <c r="E131" s="114"/>
      <c r="F131" s="114"/>
      <c r="G131" s="114"/>
      <c r="H131" s="114"/>
      <c r="I131" s="114"/>
      <c r="J131" s="114"/>
      <c r="K131" s="114"/>
      <c r="L131" s="114"/>
      <c r="M131" s="114"/>
      <c r="N131" s="114"/>
    </row>
    <row r="132" spans="1:14" x14ac:dyDescent="0.35">
      <c r="A132" s="114"/>
      <c r="B132" s="114"/>
      <c r="C132" s="114"/>
      <c r="D132" s="131"/>
      <c r="E132" s="114"/>
      <c r="F132" s="114"/>
      <c r="G132" s="114"/>
      <c r="H132" s="114"/>
      <c r="I132" s="114"/>
      <c r="J132" s="114"/>
      <c r="K132" s="114"/>
      <c r="L132" s="114"/>
      <c r="M132" s="114"/>
      <c r="N132" s="114"/>
    </row>
    <row r="133" spans="1:14" x14ac:dyDescent="0.35">
      <c r="A133" s="114"/>
      <c r="B133" s="114"/>
      <c r="C133" s="114"/>
      <c r="D133" s="131"/>
      <c r="E133" s="114"/>
      <c r="F133" s="114"/>
      <c r="G133" s="114"/>
      <c r="H133" s="114"/>
      <c r="I133" s="114"/>
      <c r="J133" s="114"/>
      <c r="K133" s="114"/>
      <c r="L133" s="114"/>
      <c r="M133" s="114"/>
      <c r="N133" s="114"/>
    </row>
    <row r="134" spans="1:14" x14ac:dyDescent="0.35">
      <c r="A134" s="114"/>
      <c r="B134" s="114"/>
      <c r="C134" s="114"/>
      <c r="D134" s="131"/>
      <c r="E134" s="114"/>
      <c r="F134" s="114"/>
      <c r="G134" s="114"/>
      <c r="H134" s="114"/>
      <c r="I134" s="114"/>
      <c r="J134" s="114"/>
      <c r="K134" s="114"/>
      <c r="L134" s="114"/>
      <c r="M134" s="114"/>
      <c r="N134" s="114"/>
    </row>
    <row r="135" spans="1:14" x14ac:dyDescent="0.35">
      <c r="A135" s="114"/>
      <c r="B135" s="114"/>
      <c r="C135" s="114"/>
      <c r="D135" s="131"/>
      <c r="E135" s="114"/>
      <c r="F135" s="114"/>
      <c r="G135" s="114"/>
      <c r="H135" s="114"/>
      <c r="I135" s="114"/>
      <c r="J135" s="114"/>
      <c r="K135" s="114"/>
      <c r="L135" s="114"/>
      <c r="M135" s="114"/>
      <c r="N135" s="114"/>
    </row>
    <row r="136" spans="1:14" x14ac:dyDescent="0.35">
      <c r="A136" s="114"/>
      <c r="B136" s="114"/>
      <c r="C136" s="114"/>
      <c r="D136" s="131"/>
      <c r="E136" s="114"/>
      <c r="F136" s="114"/>
      <c r="G136" s="114"/>
      <c r="H136" s="114"/>
      <c r="I136" s="114"/>
      <c r="J136" s="114"/>
      <c r="K136" s="114"/>
      <c r="L136" s="114"/>
      <c r="M136" s="114"/>
      <c r="N136" s="114"/>
    </row>
    <row r="137" spans="1:14" x14ac:dyDescent="0.35">
      <c r="A137" s="114"/>
      <c r="B137" s="114"/>
      <c r="C137" s="114"/>
      <c r="D137" s="131"/>
      <c r="E137" s="114"/>
      <c r="F137" s="114"/>
      <c r="G137" s="114"/>
      <c r="H137" s="114"/>
      <c r="I137" s="114"/>
      <c r="J137" s="114"/>
      <c r="K137" s="114"/>
      <c r="L137" s="114"/>
      <c r="M137" s="114"/>
      <c r="N137" s="114"/>
    </row>
    <row r="138" spans="1:14" x14ac:dyDescent="0.35">
      <c r="A138" s="114"/>
      <c r="B138" s="114"/>
      <c r="C138" s="114"/>
      <c r="D138" s="131"/>
      <c r="E138" s="114"/>
      <c r="F138" s="114"/>
      <c r="G138" s="114"/>
      <c r="H138" s="114"/>
      <c r="I138" s="114"/>
      <c r="J138" s="114"/>
      <c r="K138" s="114"/>
      <c r="L138" s="114"/>
      <c r="M138" s="114"/>
      <c r="N138" s="114"/>
    </row>
    <row r="139" spans="1:14" x14ac:dyDescent="0.35">
      <c r="A139" s="114"/>
      <c r="B139" s="114"/>
      <c r="C139" s="114"/>
      <c r="D139" s="131"/>
      <c r="E139" s="114"/>
      <c r="F139" s="114"/>
      <c r="G139" s="114"/>
      <c r="H139" s="114"/>
      <c r="I139" s="114"/>
      <c r="J139" s="114"/>
      <c r="K139" s="114"/>
      <c r="L139" s="114"/>
      <c r="M139" s="114"/>
      <c r="N139" s="114"/>
    </row>
    <row r="140" spans="1:14" x14ac:dyDescent="0.35">
      <c r="A140" s="114"/>
      <c r="B140" s="114"/>
      <c r="C140" s="114"/>
      <c r="D140" s="131"/>
      <c r="E140" s="114"/>
      <c r="F140" s="114"/>
      <c r="G140" s="114"/>
      <c r="H140" s="114"/>
      <c r="I140" s="114"/>
      <c r="J140" s="114"/>
      <c r="K140" s="114"/>
      <c r="L140" s="114"/>
      <c r="M140" s="114"/>
      <c r="N140" s="114"/>
    </row>
    <row r="141" spans="1:14" x14ac:dyDescent="0.35">
      <c r="A141" s="114"/>
      <c r="B141" s="114"/>
      <c r="C141" s="114"/>
      <c r="D141" s="131"/>
      <c r="E141" s="114"/>
      <c r="F141" s="114"/>
      <c r="G141" s="114"/>
      <c r="H141" s="114"/>
      <c r="I141" s="114"/>
      <c r="J141" s="114"/>
      <c r="K141" s="114"/>
      <c r="L141" s="114"/>
      <c r="M141" s="114"/>
      <c r="N141" s="114"/>
    </row>
    <row r="142" spans="1:14" x14ac:dyDescent="0.35">
      <c r="A142" s="114"/>
      <c r="B142" s="114"/>
      <c r="C142" s="114"/>
      <c r="D142" s="131"/>
      <c r="E142" s="114"/>
      <c r="F142" s="114"/>
      <c r="G142" s="114"/>
      <c r="H142" s="114"/>
      <c r="I142" s="114"/>
      <c r="J142" s="114"/>
      <c r="K142" s="114"/>
      <c r="L142" s="114"/>
      <c r="M142" s="114"/>
      <c r="N142" s="114"/>
    </row>
    <row r="143" spans="1:14" x14ac:dyDescent="0.35">
      <c r="A143" s="114"/>
      <c r="B143" s="114"/>
      <c r="C143" s="114"/>
      <c r="D143" s="131"/>
      <c r="E143" s="114"/>
      <c r="F143" s="114"/>
      <c r="G143" s="114"/>
      <c r="H143" s="114"/>
      <c r="I143" s="114"/>
      <c r="J143" s="114"/>
      <c r="K143" s="114"/>
      <c r="L143" s="114"/>
      <c r="M143" s="114"/>
      <c r="N143" s="114"/>
    </row>
    <row r="144" spans="1:14" x14ac:dyDescent="0.35">
      <c r="A144" s="114"/>
      <c r="B144" s="114"/>
      <c r="C144" s="114"/>
      <c r="D144" s="131"/>
      <c r="E144" s="114"/>
      <c r="F144" s="114"/>
      <c r="G144" s="114"/>
      <c r="H144" s="114"/>
      <c r="I144" s="114"/>
      <c r="J144" s="114"/>
      <c r="K144" s="114"/>
      <c r="L144" s="114"/>
      <c r="M144" s="114"/>
      <c r="N144" s="114"/>
    </row>
    <row r="145" spans="1:14" x14ac:dyDescent="0.35">
      <c r="A145" s="114"/>
      <c r="B145" s="114"/>
      <c r="C145" s="114"/>
      <c r="D145" s="131"/>
      <c r="E145" s="114"/>
      <c r="F145" s="114"/>
      <c r="G145" s="114"/>
      <c r="H145" s="114"/>
      <c r="I145" s="114"/>
      <c r="J145" s="114"/>
      <c r="K145" s="114"/>
      <c r="L145" s="114"/>
      <c r="M145" s="114"/>
      <c r="N145" s="114"/>
    </row>
    <row r="146" spans="1:14" x14ac:dyDescent="0.35">
      <c r="A146" s="114"/>
      <c r="B146" s="114"/>
      <c r="C146" s="114"/>
      <c r="D146" s="131"/>
      <c r="E146" s="114"/>
      <c r="F146" s="114"/>
      <c r="G146" s="114"/>
      <c r="H146" s="114"/>
      <c r="I146" s="114"/>
      <c r="J146" s="114"/>
      <c r="K146" s="114"/>
      <c r="L146" s="114"/>
      <c r="M146" s="114"/>
      <c r="N146" s="114"/>
    </row>
    <row r="147" spans="1:14" x14ac:dyDescent="0.35">
      <c r="A147" s="114"/>
      <c r="B147" s="114"/>
      <c r="C147" s="114"/>
      <c r="D147" s="131"/>
      <c r="E147" s="114"/>
      <c r="F147" s="114"/>
      <c r="G147" s="114"/>
      <c r="H147" s="114"/>
      <c r="I147" s="114"/>
      <c r="J147" s="114"/>
      <c r="K147" s="114"/>
      <c r="L147" s="114"/>
      <c r="M147" s="114"/>
      <c r="N147" s="114"/>
    </row>
    <row r="148" spans="1:14" x14ac:dyDescent="0.35">
      <c r="A148" s="114"/>
      <c r="B148" s="114"/>
      <c r="C148" s="114"/>
      <c r="D148" s="131"/>
      <c r="E148" s="114"/>
      <c r="F148" s="114"/>
      <c r="G148" s="114"/>
      <c r="H148" s="114"/>
      <c r="I148" s="114"/>
      <c r="J148" s="114"/>
      <c r="K148" s="114"/>
      <c r="L148" s="114"/>
      <c r="M148" s="114"/>
      <c r="N148" s="114"/>
    </row>
    <row r="149" spans="1:14" x14ac:dyDescent="0.35">
      <c r="A149" s="114"/>
      <c r="B149" s="114"/>
      <c r="C149" s="114"/>
      <c r="D149" s="131"/>
      <c r="E149" s="114"/>
      <c r="F149" s="114"/>
      <c r="G149" s="114"/>
      <c r="H149" s="114"/>
      <c r="I149" s="114"/>
      <c r="J149" s="114"/>
      <c r="K149" s="114"/>
      <c r="L149" s="114"/>
      <c r="M149" s="114"/>
      <c r="N149" s="114"/>
    </row>
    <row r="150" spans="1:14" x14ac:dyDescent="0.35">
      <c r="A150" s="114"/>
      <c r="B150" s="114"/>
      <c r="C150" s="114"/>
      <c r="D150" s="131"/>
      <c r="E150" s="114"/>
      <c r="F150" s="114"/>
      <c r="G150" s="114"/>
      <c r="H150" s="114"/>
      <c r="I150" s="114"/>
      <c r="J150" s="114"/>
      <c r="K150" s="114"/>
      <c r="L150" s="114"/>
      <c r="M150" s="114"/>
      <c r="N150" s="114"/>
    </row>
    <row r="151" spans="1:14" x14ac:dyDescent="0.35">
      <c r="A151" s="114"/>
      <c r="B151" s="114"/>
      <c r="C151" s="114"/>
      <c r="D151" s="131"/>
      <c r="E151" s="114"/>
      <c r="F151" s="114"/>
      <c r="G151" s="114"/>
      <c r="H151" s="114"/>
      <c r="I151" s="114"/>
      <c r="J151" s="114"/>
      <c r="K151" s="114"/>
      <c r="L151" s="114"/>
      <c r="M151" s="114"/>
      <c r="N151" s="114"/>
    </row>
    <row r="152" spans="1:14" x14ac:dyDescent="0.35">
      <c r="A152" s="114"/>
      <c r="B152" s="114"/>
      <c r="C152" s="114"/>
      <c r="D152" s="131"/>
      <c r="E152" s="114"/>
      <c r="F152" s="114"/>
      <c r="G152" s="114"/>
      <c r="H152" s="114"/>
      <c r="I152" s="114"/>
      <c r="J152" s="114"/>
      <c r="K152" s="114"/>
      <c r="L152" s="114"/>
      <c r="M152" s="114"/>
      <c r="N152" s="114"/>
    </row>
    <row r="153" spans="1:14" x14ac:dyDescent="0.35">
      <c r="A153" s="114"/>
      <c r="B153" s="114"/>
      <c r="C153" s="114"/>
      <c r="D153" s="131"/>
      <c r="E153" s="114"/>
      <c r="F153" s="114"/>
      <c r="G153" s="114"/>
      <c r="H153" s="114"/>
      <c r="I153" s="114"/>
      <c r="J153" s="114"/>
      <c r="K153" s="114"/>
      <c r="L153" s="114"/>
      <c r="M153" s="114"/>
      <c r="N153" s="114"/>
    </row>
    <row r="154" spans="1:14" x14ac:dyDescent="0.35">
      <c r="A154" s="114"/>
      <c r="B154" s="114"/>
      <c r="C154" s="114"/>
      <c r="D154" s="131"/>
      <c r="E154" s="114"/>
      <c r="F154" s="114"/>
      <c r="G154" s="114"/>
      <c r="H154" s="114"/>
      <c r="I154" s="114"/>
      <c r="J154" s="114"/>
      <c r="K154" s="114"/>
      <c r="L154" s="114"/>
      <c r="M154" s="114"/>
      <c r="N154" s="114"/>
    </row>
    <row r="155" spans="1:14" x14ac:dyDescent="0.35">
      <c r="A155" s="114"/>
      <c r="B155" s="114"/>
      <c r="C155" s="114"/>
      <c r="D155" s="131"/>
      <c r="E155" s="114"/>
      <c r="F155" s="114"/>
      <c r="G155" s="114"/>
      <c r="H155" s="114"/>
      <c r="I155" s="114"/>
      <c r="J155" s="114"/>
      <c r="K155" s="114"/>
      <c r="L155" s="114"/>
      <c r="M155" s="114"/>
      <c r="N155" s="114"/>
    </row>
    <row r="156" spans="1:14" x14ac:dyDescent="0.35">
      <c r="A156" s="114"/>
      <c r="B156" s="114"/>
      <c r="C156" s="114"/>
      <c r="D156" s="131"/>
      <c r="E156" s="114"/>
      <c r="F156" s="114"/>
      <c r="G156" s="114"/>
      <c r="H156" s="114"/>
      <c r="I156" s="114"/>
      <c r="J156" s="114"/>
      <c r="K156" s="114"/>
      <c r="L156" s="114"/>
      <c r="M156" s="114"/>
      <c r="N156" s="114"/>
    </row>
    <row r="157" spans="1:14" x14ac:dyDescent="0.35">
      <c r="A157" s="114"/>
      <c r="B157" s="114"/>
      <c r="C157" s="114"/>
      <c r="D157" s="131"/>
      <c r="E157" s="114"/>
      <c r="F157" s="114"/>
      <c r="G157" s="114"/>
      <c r="H157" s="114"/>
      <c r="I157" s="114"/>
      <c r="J157" s="114"/>
      <c r="K157" s="114"/>
      <c r="L157" s="114"/>
      <c r="M157" s="114"/>
      <c r="N157" s="114"/>
    </row>
    <row r="158" spans="1:14" x14ac:dyDescent="0.35">
      <c r="A158" s="114"/>
      <c r="B158" s="114"/>
      <c r="C158" s="114"/>
      <c r="D158" s="131"/>
      <c r="E158" s="114"/>
      <c r="F158" s="114"/>
      <c r="G158" s="114"/>
      <c r="H158" s="114"/>
      <c r="I158" s="114"/>
      <c r="J158" s="114"/>
      <c r="K158" s="114"/>
      <c r="L158" s="114"/>
      <c r="M158" s="114"/>
      <c r="N158" s="114"/>
    </row>
    <row r="159" spans="1:14" x14ac:dyDescent="0.35">
      <c r="A159" s="114"/>
      <c r="B159" s="114"/>
      <c r="C159" s="114"/>
      <c r="D159" s="131"/>
      <c r="E159" s="114"/>
      <c r="F159" s="114"/>
      <c r="G159" s="114"/>
      <c r="H159" s="114"/>
      <c r="I159" s="114"/>
      <c r="J159" s="114"/>
      <c r="K159" s="114"/>
      <c r="L159" s="114"/>
      <c r="M159" s="114"/>
      <c r="N159" s="114"/>
    </row>
    <row r="160" spans="1:14" x14ac:dyDescent="0.35">
      <c r="A160" s="114"/>
      <c r="B160" s="114"/>
      <c r="C160" s="114"/>
      <c r="D160" s="131"/>
      <c r="E160" s="114"/>
      <c r="F160" s="114"/>
      <c r="G160" s="114"/>
      <c r="H160" s="114"/>
      <c r="I160" s="114"/>
      <c r="J160" s="114"/>
      <c r="K160" s="114"/>
      <c r="L160" s="114"/>
      <c r="M160" s="114"/>
      <c r="N160" s="114"/>
    </row>
    <row r="161" spans="1:14" x14ac:dyDescent="0.35">
      <c r="A161" s="114"/>
      <c r="B161" s="114"/>
      <c r="C161" s="114"/>
      <c r="D161" s="131"/>
      <c r="E161" s="114"/>
      <c r="F161" s="114"/>
      <c r="G161" s="114"/>
      <c r="H161" s="114"/>
      <c r="I161" s="114"/>
      <c r="J161" s="114"/>
      <c r="K161" s="114"/>
      <c r="L161" s="114"/>
      <c r="M161" s="114"/>
      <c r="N161" s="114"/>
    </row>
    <row r="162" spans="1:14" x14ac:dyDescent="0.35">
      <c r="A162" s="114"/>
      <c r="B162" s="114"/>
      <c r="C162" s="114"/>
      <c r="D162" s="131"/>
      <c r="E162" s="114"/>
      <c r="F162" s="114"/>
      <c r="G162" s="114"/>
      <c r="H162" s="114"/>
      <c r="I162" s="114"/>
      <c r="J162" s="114"/>
      <c r="K162" s="114"/>
      <c r="L162" s="114"/>
      <c r="M162" s="114"/>
      <c r="N162" s="114"/>
    </row>
    <row r="163" spans="1:14" x14ac:dyDescent="0.35">
      <c r="A163" s="114"/>
      <c r="B163" s="114"/>
      <c r="C163" s="114"/>
      <c r="D163" s="131"/>
      <c r="E163" s="114"/>
      <c r="F163" s="114"/>
      <c r="G163" s="114"/>
      <c r="H163" s="114"/>
      <c r="I163" s="114"/>
      <c r="J163" s="114"/>
      <c r="K163" s="114"/>
      <c r="L163" s="114"/>
      <c r="M163" s="114"/>
      <c r="N163" s="114"/>
    </row>
    <row r="164" spans="1:14" x14ac:dyDescent="0.35">
      <c r="A164" s="114"/>
      <c r="B164" s="114"/>
      <c r="C164" s="114"/>
      <c r="D164" s="131"/>
      <c r="E164" s="114"/>
      <c r="F164" s="114"/>
      <c r="G164" s="114"/>
      <c r="H164" s="114"/>
      <c r="I164" s="114"/>
      <c r="J164" s="114"/>
      <c r="K164" s="114"/>
      <c r="L164" s="114"/>
      <c r="M164" s="114"/>
      <c r="N164" s="114"/>
    </row>
    <row r="165" spans="1:14" x14ac:dyDescent="0.35">
      <c r="A165" s="114"/>
      <c r="B165" s="114"/>
      <c r="C165" s="114"/>
      <c r="D165" s="131"/>
      <c r="E165" s="114"/>
      <c r="F165" s="114"/>
      <c r="G165" s="114"/>
      <c r="H165" s="114"/>
      <c r="I165" s="114"/>
      <c r="J165" s="114"/>
      <c r="K165" s="114"/>
      <c r="L165" s="114"/>
      <c r="M165" s="114"/>
      <c r="N165" s="114"/>
    </row>
    <row r="166" spans="1:14" x14ac:dyDescent="0.35">
      <c r="A166" s="114"/>
      <c r="B166" s="114"/>
      <c r="C166" s="114"/>
      <c r="D166" s="131"/>
      <c r="E166" s="114"/>
      <c r="F166" s="114"/>
      <c r="G166" s="114"/>
      <c r="H166" s="114"/>
      <c r="I166" s="114"/>
      <c r="J166" s="114"/>
      <c r="K166" s="114"/>
      <c r="L166" s="114"/>
      <c r="M166" s="114"/>
      <c r="N166" s="114"/>
    </row>
    <row r="167" spans="1:14" x14ac:dyDescent="0.35">
      <c r="A167" s="114"/>
      <c r="B167" s="114"/>
      <c r="C167" s="114"/>
      <c r="D167" s="131"/>
      <c r="E167" s="114"/>
      <c r="F167" s="114"/>
      <c r="G167" s="114"/>
      <c r="H167" s="114"/>
      <c r="I167" s="114"/>
      <c r="J167" s="114"/>
      <c r="K167" s="114"/>
      <c r="L167" s="114"/>
      <c r="M167" s="114"/>
      <c r="N167" s="114"/>
    </row>
    <row r="168" spans="1:14" x14ac:dyDescent="0.35">
      <c r="A168" s="114"/>
      <c r="B168" s="114"/>
      <c r="C168" s="114"/>
      <c r="D168" s="131"/>
      <c r="E168" s="114"/>
      <c r="F168" s="114"/>
      <c r="G168" s="114"/>
      <c r="H168" s="114"/>
      <c r="I168" s="114"/>
      <c r="J168" s="114"/>
      <c r="K168" s="114"/>
      <c r="L168" s="114"/>
      <c r="M168" s="114"/>
      <c r="N168" s="114"/>
    </row>
    <row r="169" spans="1:14" x14ac:dyDescent="0.35">
      <c r="A169" s="114"/>
      <c r="B169" s="114"/>
      <c r="C169" s="114"/>
      <c r="D169" s="131"/>
      <c r="E169" s="114"/>
      <c r="F169" s="114"/>
      <c r="G169" s="114"/>
      <c r="H169" s="114"/>
      <c r="I169" s="114"/>
      <c r="J169" s="114"/>
      <c r="K169" s="114"/>
      <c r="L169" s="114"/>
      <c r="M169" s="114"/>
      <c r="N169" s="114"/>
    </row>
    <row r="170" spans="1:14" x14ac:dyDescent="0.35">
      <c r="A170" s="114"/>
      <c r="B170" s="114"/>
      <c r="C170" s="114"/>
      <c r="D170" s="131"/>
      <c r="E170" s="114"/>
      <c r="F170" s="114"/>
      <c r="G170" s="114"/>
      <c r="H170" s="114"/>
      <c r="I170" s="114"/>
      <c r="J170" s="114"/>
      <c r="K170" s="114"/>
      <c r="L170" s="114"/>
      <c r="M170" s="114"/>
      <c r="N170" s="114"/>
    </row>
    <row r="171" spans="1:14" x14ac:dyDescent="0.35">
      <c r="A171" s="114"/>
      <c r="B171" s="114"/>
      <c r="C171" s="114"/>
      <c r="D171" s="131"/>
      <c r="E171" s="114"/>
      <c r="F171" s="114"/>
      <c r="G171" s="114"/>
      <c r="H171" s="114"/>
      <c r="I171" s="114"/>
      <c r="J171" s="114"/>
      <c r="K171" s="114"/>
      <c r="L171" s="114"/>
      <c r="M171" s="114"/>
      <c r="N171" s="114"/>
    </row>
    <row r="172" spans="1:14" x14ac:dyDescent="0.35">
      <c r="A172" s="114"/>
      <c r="B172" s="114"/>
      <c r="C172" s="114"/>
      <c r="D172" s="131"/>
      <c r="E172" s="114"/>
      <c r="F172" s="114"/>
      <c r="G172" s="114"/>
      <c r="H172" s="114"/>
      <c r="I172" s="114"/>
      <c r="J172" s="114"/>
      <c r="K172" s="114"/>
      <c r="L172" s="114"/>
      <c r="M172" s="114"/>
      <c r="N172" s="114"/>
    </row>
    <row r="173" spans="1:14" x14ac:dyDescent="0.35">
      <c r="A173" s="114"/>
      <c r="B173" s="114"/>
      <c r="C173" s="114"/>
      <c r="D173" s="131"/>
      <c r="E173" s="114"/>
      <c r="F173" s="114"/>
      <c r="G173" s="114"/>
      <c r="H173" s="114"/>
      <c r="I173" s="114"/>
      <c r="J173" s="114"/>
      <c r="K173" s="114"/>
      <c r="L173" s="114"/>
      <c r="M173" s="114"/>
      <c r="N173" s="114"/>
    </row>
    <row r="174" spans="1:14" x14ac:dyDescent="0.35">
      <c r="A174" s="114"/>
      <c r="B174" s="114"/>
      <c r="C174" s="114"/>
      <c r="D174" s="131"/>
      <c r="E174" s="114"/>
      <c r="F174" s="114"/>
      <c r="G174" s="114"/>
      <c r="H174" s="114"/>
      <c r="I174" s="114"/>
      <c r="J174" s="114"/>
      <c r="K174" s="114"/>
      <c r="L174" s="114"/>
      <c r="M174" s="114"/>
      <c r="N174" s="114"/>
    </row>
    <row r="175" spans="1:14" x14ac:dyDescent="0.35">
      <c r="A175" s="114"/>
      <c r="B175" s="114"/>
      <c r="C175" s="114"/>
      <c r="D175" s="131"/>
      <c r="E175" s="114"/>
      <c r="F175" s="114"/>
      <c r="G175" s="114"/>
      <c r="H175" s="114"/>
      <c r="I175" s="114"/>
      <c r="J175" s="114"/>
      <c r="K175" s="114"/>
      <c r="L175" s="114"/>
      <c r="M175" s="114"/>
      <c r="N175" s="114"/>
    </row>
    <row r="176" spans="1:14" x14ac:dyDescent="0.35">
      <c r="A176" s="114"/>
      <c r="B176" s="114"/>
      <c r="C176" s="114"/>
      <c r="D176" s="131"/>
      <c r="E176" s="114"/>
      <c r="F176" s="114"/>
      <c r="G176" s="114"/>
      <c r="H176" s="114"/>
      <c r="I176" s="114"/>
      <c r="J176" s="114"/>
      <c r="K176" s="114"/>
      <c r="L176" s="114"/>
      <c r="M176" s="114"/>
      <c r="N176" s="114"/>
    </row>
    <row r="177" spans="1:14" x14ac:dyDescent="0.35">
      <c r="A177" s="114"/>
      <c r="B177" s="114"/>
      <c r="C177" s="114"/>
      <c r="D177" s="131"/>
      <c r="E177" s="114"/>
      <c r="F177" s="114"/>
      <c r="G177" s="114"/>
      <c r="H177" s="114"/>
      <c r="I177" s="114"/>
      <c r="J177" s="114"/>
      <c r="K177" s="114"/>
      <c r="L177" s="114"/>
      <c r="M177" s="114"/>
      <c r="N177" s="114"/>
    </row>
    <row r="178" spans="1:14" x14ac:dyDescent="0.35">
      <c r="A178" s="114"/>
      <c r="B178" s="114"/>
      <c r="C178" s="114"/>
      <c r="D178" s="131"/>
      <c r="E178" s="114"/>
      <c r="F178" s="114"/>
      <c r="G178" s="114"/>
      <c r="H178" s="114"/>
      <c r="I178" s="114"/>
      <c r="J178" s="114"/>
      <c r="K178" s="114"/>
      <c r="L178" s="114"/>
      <c r="M178" s="114"/>
      <c r="N178" s="114"/>
    </row>
    <row r="179" spans="1:14" x14ac:dyDescent="0.35">
      <c r="A179" s="114"/>
      <c r="B179" s="114"/>
      <c r="C179" s="114"/>
      <c r="D179" s="131"/>
      <c r="E179" s="114"/>
      <c r="F179" s="114"/>
      <c r="G179" s="114"/>
      <c r="H179" s="114"/>
      <c r="I179" s="114"/>
      <c r="J179" s="114"/>
      <c r="K179" s="114"/>
      <c r="L179" s="114"/>
      <c r="M179" s="114"/>
      <c r="N179" s="114"/>
    </row>
    <row r="180" spans="1:14" x14ac:dyDescent="0.35">
      <c r="A180" s="114"/>
      <c r="B180" s="114"/>
      <c r="C180" s="114"/>
      <c r="D180" s="131"/>
      <c r="E180" s="114"/>
      <c r="F180" s="114"/>
      <c r="G180" s="114"/>
      <c r="H180" s="114"/>
      <c r="I180" s="114"/>
      <c r="J180" s="114"/>
      <c r="K180" s="114"/>
      <c r="L180" s="114"/>
      <c r="M180" s="114"/>
      <c r="N180" s="114"/>
    </row>
    <row r="181" spans="1:14" x14ac:dyDescent="0.35">
      <c r="A181" s="114"/>
      <c r="B181" s="114"/>
      <c r="C181" s="114"/>
      <c r="D181" s="131"/>
      <c r="E181" s="114"/>
      <c r="F181" s="114"/>
      <c r="G181" s="114"/>
      <c r="H181" s="114"/>
      <c r="I181" s="114"/>
      <c r="J181" s="114"/>
      <c r="K181" s="114"/>
      <c r="L181" s="114"/>
      <c r="M181" s="114"/>
      <c r="N181" s="114"/>
    </row>
    <row r="182" spans="1:14" x14ac:dyDescent="0.35">
      <c r="A182" s="114"/>
      <c r="B182" s="114"/>
      <c r="C182" s="114"/>
      <c r="D182" s="131"/>
      <c r="E182" s="114"/>
      <c r="F182" s="114"/>
      <c r="G182" s="114"/>
      <c r="H182" s="114"/>
      <c r="I182" s="114"/>
      <c r="J182" s="114"/>
      <c r="K182" s="114"/>
      <c r="L182" s="114"/>
      <c r="M182" s="114"/>
      <c r="N182" s="114"/>
    </row>
    <row r="183" spans="1:14" x14ac:dyDescent="0.35">
      <c r="A183" s="114"/>
      <c r="B183" s="114"/>
      <c r="C183" s="114"/>
      <c r="D183" s="131"/>
      <c r="E183" s="114"/>
      <c r="F183" s="114"/>
      <c r="G183" s="114"/>
      <c r="H183" s="114"/>
      <c r="I183" s="114"/>
      <c r="J183" s="114"/>
      <c r="K183" s="114"/>
      <c r="L183" s="114"/>
      <c r="M183" s="114"/>
      <c r="N183" s="114"/>
    </row>
    <row r="184" spans="1:14" x14ac:dyDescent="0.35">
      <c r="A184" s="114"/>
      <c r="B184" s="114"/>
      <c r="C184" s="114"/>
      <c r="D184" s="131"/>
      <c r="E184" s="114"/>
      <c r="F184" s="114"/>
      <c r="G184" s="114"/>
      <c r="H184" s="114"/>
      <c r="I184" s="114"/>
      <c r="J184" s="114"/>
      <c r="K184" s="114"/>
      <c r="L184" s="114"/>
      <c r="M184" s="114"/>
      <c r="N184" s="114"/>
    </row>
    <row r="185" spans="1:14" x14ac:dyDescent="0.35">
      <c r="A185" s="114"/>
      <c r="B185" s="114"/>
      <c r="C185" s="114"/>
      <c r="D185" s="131"/>
      <c r="E185" s="114"/>
      <c r="F185" s="114"/>
      <c r="G185" s="114"/>
      <c r="H185" s="114"/>
      <c r="I185" s="114"/>
      <c r="J185" s="114"/>
      <c r="K185" s="114"/>
      <c r="L185" s="114"/>
      <c r="M185" s="114"/>
      <c r="N185" s="114"/>
    </row>
    <row r="186" spans="1:14" x14ac:dyDescent="0.35">
      <c r="A186" s="114"/>
      <c r="B186" s="114"/>
      <c r="C186" s="114"/>
      <c r="D186" s="131"/>
      <c r="E186" s="114"/>
      <c r="F186" s="114"/>
      <c r="G186" s="114"/>
      <c r="H186" s="114"/>
      <c r="I186" s="114"/>
      <c r="J186" s="114"/>
      <c r="K186" s="114"/>
      <c r="L186" s="114"/>
      <c r="M186" s="114"/>
      <c r="N186" s="114"/>
    </row>
    <row r="187" spans="1:14" x14ac:dyDescent="0.35">
      <c r="A187" s="114"/>
      <c r="B187" s="114"/>
      <c r="C187" s="114"/>
      <c r="D187" s="131"/>
      <c r="E187" s="114"/>
      <c r="F187" s="114"/>
      <c r="G187" s="114"/>
      <c r="H187" s="114"/>
      <c r="I187" s="114"/>
      <c r="J187" s="114"/>
      <c r="K187" s="114"/>
      <c r="L187" s="114"/>
      <c r="M187" s="114"/>
      <c r="N187" s="114"/>
    </row>
    <row r="188" spans="1:14" x14ac:dyDescent="0.35">
      <c r="A188" s="114"/>
      <c r="B188" s="114"/>
      <c r="C188" s="114"/>
      <c r="D188" s="131"/>
      <c r="E188" s="114"/>
      <c r="F188" s="114"/>
      <c r="G188" s="114"/>
      <c r="H188" s="114"/>
      <c r="I188" s="114"/>
      <c r="J188" s="114"/>
      <c r="K188" s="114"/>
      <c r="L188" s="114"/>
      <c r="M188" s="114"/>
      <c r="N188" s="114"/>
    </row>
    <row r="189" spans="1:14" x14ac:dyDescent="0.35">
      <c r="A189" s="114"/>
      <c r="B189" s="114"/>
      <c r="C189" s="114"/>
      <c r="D189" s="131"/>
      <c r="E189" s="114"/>
      <c r="F189" s="114"/>
      <c r="G189" s="114"/>
      <c r="H189" s="114"/>
      <c r="I189" s="114"/>
      <c r="J189" s="114"/>
      <c r="K189" s="114"/>
      <c r="L189" s="114"/>
      <c r="M189" s="114"/>
      <c r="N189" s="114"/>
    </row>
    <row r="190" spans="1:14" x14ac:dyDescent="0.35">
      <c r="A190" s="114"/>
      <c r="B190" s="114"/>
      <c r="C190" s="114"/>
      <c r="D190" s="131"/>
      <c r="E190" s="114"/>
      <c r="F190" s="114"/>
      <c r="G190" s="114"/>
      <c r="H190" s="114"/>
      <c r="I190" s="114"/>
      <c r="J190" s="114"/>
      <c r="K190" s="114"/>
      <c r="L190" s="114"/>
      <c r="M190" s="114"/>
      <c r="N190" s="114"/>
    </row>
    <row r="191" spans="1:14" x14ac:dyDescent="0.35">
      <c r="A191" s="114"/>
      <c r="B191" s="114"/>
      <c r="C191" s="114"/>
      <c r="D191" s="131"/>
      <c r="E191" s="114"/>
      <c r="F191" s="114"/>
      <c r="G191" s="114"/>
      <c r="H191" s="114"/>
      <c r="I191" s="114"/>
      <c r="J191" s="114"/>
      <c r="K191" s="114"/>
      <c r="L191" s="114"/>
      <c r="M191" s="114"/>
      <c r="N191" s="114"/>
    </row>
    <row r="192" spans="1:14" x14ac:dyDescent="0.35">
      <c r="A192" s="114"/>
      <c r="B192" s="114"/>
      <c r="C192" s="114"/>
      <c r="D192" s="131"/>
      <c r="E192" s="114"/>
      <c r="F192" s="114"/>
      <c r="G192" s="114"/>
      <c r="H192" s="114"/>
      <c r="I192" s="114"/>
      <c r="J192" s="114"/>
      <c r="K192" s="114"/>
      <c r="L192" s="114"/>
      <c r="M192" s="114"/>
      <c r="N192" s="114"/>
    </row>
    <row r="193" spans="1:14" x14ac:dyDescent="0.35">
      <c r="A193" s="114"/>
      <c r="B193" s="114"/>
      <c r="C193" s="114"/>
      <c r="D193" s="131"/>
      <c r="E193" s="114"/>
      <c r="F193" s="114"/>
      <c r="G193" s="114"/>
      <c r="H193" s="114"/>
      <c r="I193" s="114"/>
      <c r="J193" s="114"/>
      <c r="K193" s="114"/>
      <c r="L193" s="114"/>
      <c r="M193" s="114"/>
      <c r="N193" s="114"/>
    </row>
    <row r="194" spans="1:14" x14ac:dyDescent="0.35">
      <c r="A194" s="114"/>
      <c r="B194" s="114"/>
      <c r="C194" s="114"/>
      <c r="D194" s="131"/>
      <c r="E194" s="114"/>
      <c r="F194" s="114"/>
      <c r="G194" s="114"/>
      <c r="H194" s="114"/>
      <c r="I194" s="114"/>
      <c r="J194" s="114"/>
      <c r="K194" s="114"/>
      <c r="L194" s="114"/>
      <c r="M194" s="114"/>
      <c r="N194" s="114"/>
    </row>
    <row r="195" spans="1:14" x14ac:dyDescent="0.35">
      <c r="A195" s="114"/>
      <c r="B195" s="114"/>
      <c r="C195" s="114"/>
      <c r="D195" s="131"/>
      <c r="E195" s="114"/>
      <c r="F195" s="114"/>
      <c r="G195" s="114"/>
      <c r="H195" s="114"/>
      <c r="I195" s="114"/>
      <c r="J195" s="114"/>
      <c r="K195" s="114"/>
      <c r="L195" s="114"/>
      <c r="M195" s="114"/>
      <c r="N195" s="114"/>
    </row>
    <row r="196" spans="1:14" x14ac:dyDescent="0.35">
      <c r="A196" s="114"/>
      <c r="B196" s="114"/>
      <c r="C196" s="114"/>
      <c r="D196" s="131"/>
      <c r="E196" s="114"/>
      <c r="F196" s="114"/>
      <c r="G196" s="114"/>
      <c r="H196" s="114"/>
      <c r="I196" s="114"/>
      <c r="J196" s="114"/>
      <c r="K196" s="114"/>
      <c r="L196" s="114"/>
      <c r="M196" s="114"/>
      <c r="N196" s="114"/>
    </row>
    <row r="197" spans="1:14" x14ac:dyDescent="0.35">
      <c r="A197" s="114"/>
      <c r="B197" s="114"/>
      <c r="C197" s="114"/>
      <c r="D197" s="131"/>
      <c r="E197" s="114"/>
      <c r="F197" s="114"/>
      <c r="G197" s="114"/>
      <c r="H197" s="114"/>
      <c r="I197" s="114"/>
      <c r="J197" s="114"/>
      <c r="K197" s="114"/>
      <c r="L197" s="114"/>
      <c r="M197" s="114"/>
      <c r="N197" s="114"/>
    </row>
    <row r="198" spans="1:14" x14ac:dyDescent="0.35">
      <c r="A198" s="114"/>
      <c r="B198" s="114"/>
      <c r="C198" s="114"/>
      <c r="D198" s="131"/>
      <c r="E198" s="114"/>
      <c r="F198" s="114"/>
      <c r="G198" s="114"/>
      <c r="H198" s="114"/>
      <c r="I198" s="114"/>
      <c r="J198" s="114"/>
      <c r="K198" s="114"/>
      <c r="L198" s="114"/>
      <c r="M198" s="114"/>
      <c r="N198" s="114"/>
    </row>
    <row r="199" spans="1:14" x14ac:dyDescent="0.35">
      <c r="A199" s="114"/>
      <c r="B199" s="114"/>
      <c r="C199" s="114"/>
      <c r="D199" s="131"/>
      <c r="E199" s="114"/>
      <c r="F199" s="114"/>
      <c r="G199" s="114"/>
      <c r="H199" s="114"/>
      <c r="I199" s="114"/>
      <c r="J199" s="114"/>
      <c r="K199" s="114"/>
      <c r="L199" s="114"/>
      <c r="M199" s="114"/>
      <c r="N199" s="114"/>
    </row>
    <row r="200" spans="1:14" x14ac:dyDescent="0.35">
      <c r="A200" s="114"/>
      <c r="B200" s="114"/>
      <c r="C200" s="114"/>
      <c r="D200" s="131"/>
      <c r="E200" s="114"/>
      <c r="F200" s="114"/>
      <c r="G200" s="114"/>
      <c r="H200" s="114"/>
      <c r="I200" s="114"/>
      <c r="J200" s="114"/>
      <c r="K200" s="114"/>
      <c r="L200" s="114"/>
      <c r="M200" s="114"/>
      <c r="N200" s="114"/>
    </row>
    <row r="201" spans="1:14" x14ac:dyDescent="0.35">
      <c r="A201" s="114"/>
      <c r="B201" s="114"/>
      <c r="C201" s="114"/>
      <c r="D201" s="131"/>
      <c r="E201" s="114"/>
      <c r="F201" s="114"/>
      <c r="G201" s="114"/>
      <c r="H201" s="114"/>
      <c r="I201" s="114"/>
      <c r="J201" s="114"/>
      <c r="K201" s="114"/>
      <c r="L201" s="114"/>
      <c r="M201" s="114"/>
      <c r="N201" s="114"/>
    </row>
    <row r="202" spans="1:14" x14ac:dyDescent="0.35">
      <c r="A202" s="114"/>
      <c r="B202" s="114"/>
      <c r="C202" s="114"/>
      <c r="D202" s="131"/>
      <c r="E202" s="114"/>
      <c r="F202" s="114"/>
      <c r="G202" s="114"/>
      <c r="H202" s="114"/>
      <c r="I202" s="114"/>
      <c r="J202" s="114"/>
      <c r="K202" s="114"/>
      <c r="L202" s="114"/>
      <c r="M202" s="114"/>
      <c r="N202" s="114"/>
    </row>
    <row r="203" spans="1:14" x14ac:dyDescent="0.35">
      <c r="A203" s="114"/>
      <c r="B203" s="114"/>
      <c r="C203" s="114"/>
      <c r="D203" s="131"/>
      <c r="E203" s="114"/>
      <c r="F203" s="114"/>
      <c r="G203" s="114"/>
      <c r="H203" s="114"/>
      <c r="I203" s="114"/>
      <c r="J203" s="114"/>
      <c r="K203" s="114"/>
      <c r="L203" s="114"/>
      <c r="M203" s="114"/>
      <c r="N203" s="114"/>
    </row>
    <row r="204" spans="1:14" x14ac:dyDescent="0.35">
      <c r="A204" s="114"/>
      <c r="B204" s="114"/>
      <c r="C204" s="114"/>
      <c r="D204" s="131"/>
      <c r="E204" s="114"/>
      <c r="F204" s="114"/>
      <c r="G204" s="114"/>
      <c r="H204" s="114"/>
      <c r="I204" s="114"/>
      <c r="J204" s="114"/>
      <c r="K204" s="114"/>
      <c r="L204" s="114"/>
      <c r="M204" s="114"/>
      <c r="N204" s="114"/>
    </row>
    <row r="205" spans="1:14" x14ac:dyDescent="0.35">
      <c r="A205" s="114"/>
      <c r="B205" s="114"/>
      <c r="C205" s="114"/>
      <c r="D205" s="131"/>
      <c r="E205" s="114"/>
      <c r="F205" s="114"/>
      <c r="G205" s="114"/>
      <c r="H205" s="114"/>
      <c r="I205" s="114"/>
      <c r="J205" s="114"/>
      <c r="K205" s="114"/>
      <c r="L205" s="114"/>
      <c r="M205" s="114"/>
      <c r="N205" s="114"/>
    </row>
    <row r="206" spans="1:14" x14ac:dyDescent="0.35">
      <c r="A206" s="114"/>
      <c r="B206" s="114"/>
      <c r="C206" s="114"/>
      <c r="D206" s="131"/>
      <c r="E206" s="114"/>
      <c r="F206" s="114"/>
      <c r="G206" s="114"/>
      <c r="H206" s="114"/>
      <c r="I206" s="114"/>
      <c r="J206" s="114"/>
      <c r="K206" s="114"/>
      <c r="L206" s="114"/>
      <c r="M206" s="114"/>
      <c r="N206" s="114"/>
    </row>
    <row r="207" spans="1:14" x14ac:dyDescent="0.35">
      <c r="A207" s="114"/>
      <c r="B207" s="114"/>
      <c r="C207" s="114"/>
      <c r="D207" s="131"/>
      <c r="E207" s="114"/>
      <c r="F207" s="114"/>
      <c r="G207" s="114"/>
      <c r="H207" s="114"/>
      <c r="I207" s="114"/>
      <c r="J207" s="114"/>
      <c r="K207" s="114"/>
      <c r="L207" s="114"/>
      <c r="M207" s="114"/>
      <c r="N207" s="114"/>
    </row>
    <row r="208" spans="1:14" x14ac:dyDescent="0.35">
      <c r="A208" s="114"/>
      <c r="B208" s="114"/>
      <c r="C208" s="114"/>
      <c r="D208" s="131"/>
      <c r="E208" s="114"/>
      <c r="F208" s="114"/>
      <c r="G208" s="114"/>
      <c r="H208" s="114"/>
      <c r="I208" s="114"/>
      <c r="J208" s="114"/>
      <c r="K208" s="114"/>
      <c r="L208" s="114"/>
      <c r="M208" s="114"/>
      <c r="N208" s="114"/>
    </row>
    <row r="209" spans="1:14" x14ac:dyDescent="0.35">
      <c r="A209" s="114"/>
      <c r="B209" s="114"/>
      <c r="C209" s="114"/>
      <c r="D209" s="131"/>
      <c r="E209" s="114"/>
      <c r="F209" s="114"/>
      <c r="G209" s="114"/>
      <c r="H209" s="114"/>
      <c r="I209" s="114"/>
      <c r="J209" s="114"/>
      <c r="K209" s="114"/>
      <c r="L209" s="114"/>
      <c r="M209" s="114"/>
      <c r="N209" s="114"/>
    </row>
    <row r="210" spans="1:14" x14ac:dyDescent="0.35">
      <c r="A210" s="114"/>
      <c r="B210" s="114"/>
      <c r="C210" s="114"/>
      <c r="D210" s="131"/>
      <c r="E210" s="114"/>
      <c r="F210" s="114"/>
      <c r="G210" s="114"/>
      <c r="H210" s="114"/>
      <c r="I210" s="114"/>
      <c r="J210" s="114"/>
      <c r="K210" s="114"/>
      <c r="L210" s="114"/>
      <c r="M210" s="114"/>
      <c r="N210" s="114"/>
    </row>
    <row r="211" spans="1:14" x14ac:dyDescent="0.35">
      <c r="A211" s="114"/>
      <c r="B211" s="114"/>
      <c r="C211" s="114"/>
      <c r="D211" s="131"/>
      <c r="E211" s="114"/>
      <c r="F211" s="114"/>
      <c r="G211" s="114"/>
      <c r="H211" s="114"/>
      <c r="I211" s="114"/>
      <c r="J211" s="114"/>
      <c r="K211" s="114"/>
      <c r="L211" s="114"/>
      <c r="M211" s="114"/>
      <c r="N211" s="114"/>
    </row>
    <row r="212" spans="1:14" x14ac:dyDescent="0.35">
      <c r="A212" s="114"/>
      <c r="B212" s="114"/>
      <c r="C212" s="114"/>
      <c r="D212" s="131"/>
      <c r="E212" s="114"/>
      <c r="F212" s="114"/>
      <c r="G212" s="114"/>
      <c r="H212" s="114"/>
      <c r="I212" s="114"/>
      <c r="J212" s="114"/>
      <c r="K212" s="114"/>
      <c r="L212" s="114"/>
      <c r="M212" s="114"/>
      <c r="N212" s="114"/>
    </row>
    <row r="213" spans="1:14" x14ac:dyDescent="0.35">
      <c r="A213" s="114"/>
      <c r="B213" s="114"/>
      <c r="C213" s="114"/>
      <c r="D213" s="131"/>
      <c r="E213" s="114"/>
      <c r="F213" s="114"/>
      <c r="G213" s="114"/>
      <c r="H213" s="114"/>
      <c r="I213" s="114"/>
      <c r="J213" s="114"/>
      <c r="K213" s="114"/>
      <c r="L213" s="114"/>
      <c r="M213" s="114"/>
      <c r="N213" s="114"/>
    </row>
    <row r="214" spans="1:14" x14ac:dyDescent="0.35">
      <c r="A214" s="114"/>
      <c r="B214" s="114"/>
      <c r="C214" s="114"/>
      <c r="D214" s="131"/>
      <c r="E214" s="114"/>
      <c r="F214" s="114"/>
      <c r="G214" s="114"/>
      <c r="H214" s="114"/>
      <c r="I214" s="114"/>
      <c r="J214" s="114"/>
      <c r="K214" s="114"/>
      <c r="L214" s="114"/>
      <c r="M214" s="114"/>
      <c r="N214" s="114"/>
    </row>
    <row r="215" spans="1:14" x14ac:dyDescent="0.35">
      <c r="A215" s="114"/>
      <c r="B215" s="114"/>
      <c r="C215" s="114"/>
      <c r="D215" s="131"/>
      <c r="E215" s="114"/>
      <c r="F215" s="114"/>
      <c r="G215" s="114"/>
      <c r="H215" s="114"/>
      <c r="I215" s="114"/>
      <c r="J215" s="114"/>
      <c r="K215" s="114"/>
      <c r="L215" s="114"/>
      <c r="M215" s="114"/>
      <c r="N215" s="114"/>
    </row>
    <row r="216" spans="1:14" x14ac:dyDescent="0.35">
      <c r="A216" s="114"/>
      <c r="B216" s="114"/>
      <c r="C216" s="114"/>
      <c r="D216" s="131"/>
      <c r="E216" s="114"/>
      <c r="F216" s="114"/>
      <c r="G216" s="114"/>
      <c r="H216" s="114"/>
      <c r="I216" s="114"/>
      <c r="J216" s="114"/>
      <c r="K216" s="114"/>
      <c r="L216" s="114"/>
      <c r="M216" s="114"/>
      <c r="N216" s="114"/>
    </row>
    <row r="217" spans="1:14" x14ac:dyDescent="0.35">
      <c r="A217" s="114"/>
      <c r="B217" s="114"/>
      <c r="C217" s="114"/>
      <c r="D217" s="131"/>
      <c r="E217" s="114"/>
      <c r="F217" s="114"/>
      <c r="G217" s="114"/>
      <c r="H217" s="114"/>
      <c r="I217" s="114"/>
      <c r="J217" s="114"/>
      <c r="K217" s="114"/>
      <c r="L217" s="114"/>
      <c r="M217" s="114"/>
      <c r="N217" s="114"/>
    </row>
    <row r="218" spans="1:14" x14ac:dyDescent="0.35">
      <c r="A218" s="114"/>
      <c r="B218" s="114"/>
      <c r="C218" s="114"/>
      <c r="D218" s="131"/>
      <c r="E218" s="114"/>
      <c r="F218" s="114"/>
      <c r="G218" s="114"/>
      <c r="H218" s="114"/>
      <c r="I218" s="114"/>
      <c r="J218" s="114"/>
      <c r="K218" s="114"/>
      <c r="L218" s="114"/>
      <c r="M218" s="114"/>
      <c r="N218" s="114"/>
    </row>
    <row r="219" spans="1:14" x14ac:dyDescent="0.35">
      <c r="A219" s="114"/>
      <c r="B219" s="114"/>
      <c r="C219" s="114"/>
      <c r="D219" s="131"/>
      <c r="E219" s="114"/>
      <c r="F219" s="114"/>
      <c r="G219" s="114"/>
      <c r="H219" s="114"/>
      <c r="I219" s="114"/>
      <c r="J219" s="114"/>
      <c r="K219" s="114"/>
      <c r="L219" s="114"/>
      <c r="M219" s="114"/>
      <c r="N219" s="114"/>
    </row>
    <row r="220" spans="1:14" x14ac:dyDescent="0.35">
      <c r="A220" s="114"/>
      <c r="B220" s="114"/>
      <c r="C220" s="114"/>
      <c r="D220" s="131"/>
      <c r="E220" s="114"/>
      <c r="F220" s="114"/>
      <c r="G220" s="114"/>
      <c r="H220" s="114"/>
      <c r="I220" s="114"/>
      <c r="J220" s="114"/>
      <c r="K220" s="114"/>
      <c r="L220" s="114"/>
      <c r="M220" s="114"/>
      <c r="N220" s="114"/>
    </row>
    <row r="221" spans="1:14" x14ac:dyDescent="0.35">
      <c r="A221" s="114"/>
      <c r="B221" s="114"/>
      <c r="C221" s="114"/>
      <c r="D221" s="131"/>
      <c r="E221" s="114"/>
      <c r="F221" s="114"/>
      <c r="G221" s="114"/>
      <c r="H221" s="114"/>
      <c r="I221" s="114"/>
      <c r="J221" s="114"/>
      <c r="K221" s="114"/>
      <c r="L221" s="114"/>
      <c r="M221" s="114"/>
      <c r="N221" s="114"/>
    </row>
    <row r="222" spans="1:14" x14ac:dyDescent="0.35">
      <c r="A222" s="114"/>
      <c r="B222" s="114"/>
      <c r="C222" s="114"/>
      <c r="D222" s="131"/>
      <c r="E222" s="114"/>
      <c r="F222" s="114"/>
      <c r="G222" s="114"/>
      <c r="H222" s="114"/>
      <c r="I222" s="114"/>
      <c r="J222" s="114"/>
      <c r="K222" s="114"/>
      <c r="L222" s="114"/>
      <c r="M222" s="114"/>
      <c r="N222" s="114"/>
    </row>
    <row r="223" spans="1:14" x14ac:dyDescent="0.35">
      <c r="A223" s="114"/>
      <c r="B223" s="114"/>
      <c r="C223" s="114"/>
      <c r="D223" s="131"/>
      <c r="E223" s="114"/>
      <c r="F223" s="114"/>
      <c r="G223" s="114"/>
      <c r="H223" s="114"/>
      <c r="I223" s="114"/>
      <c r="J223" s="114"/>
      <c r="K223" s="114"/>
      <c r="L223" s="114"/>
      <c r="M223" s="114"/>
      <c r="N223" s="114"/>
    </row>
    <row r="224" spans="1:14" x14ac:dyDescent="0.35">
      <c r="A224" s="114"/>
      <c r="B224" s="114"/>
      <c r="C224" s="114"/>
      <c r="D224" s="131"/>
      <c r="E224" s="114"/>
      <c r="F224" s="114"/>
      <c r="G224" s="114"/>
      <c r="H224" s="114"/>
      <c r="I224" s="114"/>
      <c r="J224" s="114"/>
      <c r="K224" s="114"/>
      <c r="L224" s="114"/>
      <c r="M224" s="114"/>
      <c r="N224" s="114"/>
    </row>
    <row r="225" spans="1:14" x14ac:dyDescent="0.35">
      <c r="A225" s="114"/>
      <c r="B225" s="114"/>
      <c r="C225" s="114"/>
      <c r="D225" s="131"/>
      <c r="E225" s="114"/>
      <c r="F225" s="114"/>
      <c r="G225" s="114"/>
      <c r="H225" s="114"/>
      <c r="I225" s="114"/>
      <c r="J225" s="114"/>
      <c r="K225" s="114"/>
      <c r="L225" s="114"/>
      <c r="M225" s="114"/>
      <c r="N225" s="114"/>
    </row>
    <row r="226" spans="1:14" x14ac:dyDescent="0.35">
      <c r="A226" s="114"/>
      <c r="B226" s="114"/>
      <c r="C226" s="114"/>
      <c r="D226" s="131"/>
      <c r="E226" s="114"/>
      <c r="F226" s="114"/>
      <c r="G226" s="114"/>
      <c r="H226" s="114"/>
      <c r="I226" s="114"/>
      <c r="J226" s="114"/>
      <c r="K226" s="114"/>
      <c r="L226" s="114"/>
      <c r="M226" s="114"/>
      <c r="N226" s="114"/>
    </row>
    <row r="227" spans="1:14" x14ac:dyDescent="0.35">
      <c r="A227" s="114"/>
      <c r="B227" s="114"/>
      <c r="C227" s="114"/>
      <c r="D227" s="131"/>
      <c r="E227" s="114"/>
      <c r="F227" s="114"/>
      <c r="G227" s="114"/>
      <c r="H227" s="114"/>
      <c r="I227" s="114"/>
      <c r="J227" s="114"/>
      <c r="K227" s="114"/>
      <c r="L227" s="114"/>
      <c r="M227" s="114"/>
      <c r="N227" s="114"/>
    </row>
    <row r="228" spans="1:14" x14ac:dyDescent="0.35">
      <c r="A228" s="114"/>
      <c r="B228" s="114"/>
      <c r="C228" s="114"/>
      <c r="D228" s="131"/>
      <c r="E228" s="114"/>
      <c r="F228" s="114"/>
      <c r="G228" s="114"/>
      <c r="H228" s="114"/>
      <c r="I228" s="114"/>
      <c r="J228" s="114"/>
      <c r="K228" s="114"/>
      <c r="L228" s="114"/>
      <c r="M228" s="114"/>
      <c r="N228" s="114"/>
    </row>
    <row r="229" spans="1:14" x14ac:dyDescent="0.35">
      <c r="A229" s="114"/>
      <c r="B229" s="114"/>
      <c r="C229" s="114"/>
      <c r="D229" s="131"/>
      <c r="E229" s="114"/>
      <c r="F229" s="114"/>
      <c r="G229" s="114"/>
      <c r="H229" s="114"/>
      <c r="I229" s="114"/>
      <c r="J229" s="114"/>
      <c r="K229" s="114"/>
      <c r="L229" s="114"/>
      <c r="M229" s="114"/>
      <c r="N229" s="114"/>
    </row>
    <row r="230" spans="1:14" x14ac:dyDescent="0.35">
      <c r="A230" s="114"/>
      <c r="B230" s="114"/>
      <c r="C230" s="114"/>
      <c r="D230" s="131"/>
      <c r="E230" s="114"/>
      <c r="F230" s="114"/>
      <c r="G230" s="114"/>
      <c r="H230" s="114"/>
      <c r="I230" s="114"/>
      <c r="J230" s="114"/>
      <c r="K230" s="114"/>
      <c r="L230" s="114"/>
      <c r="M230" s="114"/>
      <c r="N230" s="114"/>
    </row>
    <row r="231" spans="1:14" x14ac:dyDescent="0.35">
      <c r="A231" s="114"/>
      <c r="B231" s="114"/>
      <c r="C231" s="114"/>
      <c r="D231" s="131"/>
      <c r="E231" s="114"/>
      <c r="F231" s="114"/>
      <c r="G231" s="114"/>
      <c r="H231" s="114"/>
      <c r="I231" s="114"/>
      <c r="J231" s="114"/>
      <c r="K231" s="114"/>
      <c r="L231" s="114"/>
      <c r="M231" s="114"/>
      <c r="N231" s="114"/>
    </row>
    <row r="232" spans="1:14" x14ac:dyDescent="0.35">
      <c r="A232" s="114"/>
      <c r="B232" s="114"/>
      <c r="C232" s="114"/>
      <c r="D232" s="131"/>
      <c r="E232" s="114"/>
      <c r="F232" s="114"/>
      <c r="G232" s="114"/>
      <c r="H232" s="114"/>
      <c r="I232" s="114"/>
      <c r="J232" s="114"/>
      <c r="K232" s="114"/>
      <c r="L232" s="114"/>
      <c r="M232" s="114"/>
      <c r="N232" s="114"/>
    </row>
    <row r="233" spans="1:14" x14ac:dyDescent="0.35">
      <c r="A233" s="114"/>
      <c r="B233" s="114"/>
      <c r="C233" s="114"/>
      <c r="D233" s="131"/>
      <c r="E233" s="114"/>
      <c r="F233" s="114"/>
      <c r="G233" s="114"/>
      <c r="H233" s="114"/>
      <c r="I233" s="114"/>
      <c r="J233" s="114"/>
      <c r="K233" s="114"/>
      <c r="L233" s="114"/>
      <c r="M233" s="114"/>
      <c r="N233" s="114"/>
    </row>
    <row r="234" spans="1:14" x14ac:dyDescent="0.35">
      <c r="A234" s="114"/>
      <c r="B234" s="114"/>
      <c r="C234" s="114"/>
      <c r="D234" s="131"/>
      <c r="E234" s="114"/>
      <c r="F234" s="114"/>
      <c r="G234" s="114"/>
      <c r="H234" s="114"/>
      <c r="I234" s="114"/>
      <c r="J234" s="114"/>
      <c r="K234" s="114"/>
      <c r="L234" s="114"/>
      <c r="M234" s="114"/>
      <c r="N234" s="114"/>
    </row>
    <row r="235" spans="1:14" x14ac:dyDescent="0.35">
      <c r="A235" s="114"/>
      <c r="B235" s="114"/>
      <c r="C235" s="114"/>
      <c r="D235" s="131"/>
      <c r="E235" s="114"/>
      <c r="F235" s="114"/>
      <c r="G235" s="114"/>
      <c r="H235" s="114"/>
      <c r="I235" s="114"/>
      <c r="J235" s="114"/>
      <c r="K235" s="114"/>
      <c r="L235" s="114"/>
      <c r="M235" s="114"/>
      <c r="N235" s="114"/>
    </row>
    <row r="236" spans="1:14" x14ac:dyDescent="0.35">
      <c r="A236" s="114"/>
      <c r="B236" s="114"/>
      <c r="C236" s="114"/>
      <c r="D236" s="131"/>
      <c r="E236" s="114"/>
      <c r="F236" s="114"/>
      <c r="G236" s="114"/>
      <c r="H236" s="114"/>
      <c r="I236" s="114"/>
      <c r="J236" s="114"/>
      <c r="K236" s="114"/>
      <c r="L236" s="114"/>
      <c r="M236" s="114"/>
      <c r="N236" s="114"/>
    </row>
    <row r="237" spans="1:14" x14ac:dyDescent="0.35">
      <c r="A237" s="114"/>
      <c r="B237" s="114"/>
      <c r="C237" s="114"/>
      <c r="D237" s="131"/>
      <c r="E237" s="114"/>
      <c r="F237" s="114"/>
      <c r="G237" s="114"/>
      <c r="H237" s="114"/>
      <c r="I237" s="114"/>
      <c r="J237" s="114"/>
      <c r="K237" s="114"/>
      <c r="L237" s="114"/>
      <c r="M237" s="114"/>
      <c r="N237" s="114"/>
    </row>
    <row r="238" spans="1:14" x14ac:dyDescent="0.35">
      <c r="A238" s="114"/>
      <c r="B238" s="114"/>
      <c r="C238" s="114"/>
      <c r="D238" s="131"/>
      <c r="E238" s="114"/>
      <c r="F238" s="114"/>
      <c r="G238" s="114"/>
      <c r="H238" s="114"/>
      <c r="I238" s="114"/>
      <c r="J238" s="114"/>
      <c r="K238" s="114"/>
      <c r="L238" s="114"/>
      <c r="M238" s="114"/>
      <c r="N238" s="114"/>
    </row>
    <row r="239" spans="1:14" x14ac:dyDescent="0.35">
      <c r="A239" s="114"/>
      <c r="B239" s="114"/>
      <c r="C239" s="114"/>
      <c r="D239" s="131"/>
      <c r="E239" s="114"/>
      <c r="F239" s="114"/>
      <c r="G239" s="114"/>
      <c r="H239" s="114"/>
      <c r="I239" s="114"/>
      <c r="J239" s="114"/>
      <c r="K239" s="114"/>
      <c r="L239" s="114"/>
      <c r="M239" s="114"/>
      <c r="N239" s="114"/>
    </row>
    <row r="240" spans="1:14" x14ac:dyDescent="0.35">
      <c r="A240" s="114"/>
      <c r="B240" s="114"/>
      <c r="C240" s="114"/>
      <c r="D240" s="131"/>
      <c r="E240" s="114"/>
      <c r="F240" s="114"/>
      <c r="G240" s="114"/>
      <c r="H240" s="114"/>
      <c r="I240" s="114"/>
      <c r="J240" s="114"/>
      <c r="K240" s="114"/>
      <c r="L240" s="114"/>
      <c r="M240" s="114"/>
      <c r="N240" s="114"/>
    </row>
    <row r="241" spans="1:14" x14ac:dyDescent="0.35">
      <c r="A241" s="114"/>
      <c r="B241" s="114"/>
      <c r="C241" s="114"/>
      <c r="D241" s="131"/>
      <c r="E241" s="114"/>
      <c r="F241" s="114"/>
      <c r="G241" s="114"/>
      <c r="H241" s="114"/>
      <c r="I241" s="114"/>
      <c r="J241" s="114"/>
      <c r="K241" s="114"/>
      <c r="L241" s="114"/>
      <c r="M241" s="114"/>
      <c r="N241" s="114"/>
    </row>
    <row r="242" spans="1:14" x14ac:dyDescent="0.35">
      <c r="A242" s="114"/>
      <c r="B242" s="114"/>
      <c r="C242" s="114"/>
      <c r="D242" s="131"/>
      <c r="E242" s="114"/>
      <c r="F242" s="114"/>
      <c r="G242" s="114"/>
      <c r="H242" s="114"/>
      <c r="I242" s="114"/>
      <c r="J242" s="114"/>
      <c r="K242" s="114"/>
      <c r="L242" s="114"/>
      <c r="M242" s="114"/>
      <c r="N242" s="114"/>
    </row>
    <row r="243" spans="1:14" x14ac:dyDescent="0.35">
      <c r="A243" s="114"/>
      <c r="B243" s="114"/>
      <c r="C243" s="114"/>
      <c r="D243" s="131"/>
      <c r="E243" s="114"/>
      <c r="F243" s="114"/>
      <c r="G243" s="114"/>
      <c r="H243" s="114"/>
      <c r="I243" s="114"/>
      <c r="J243" s="114"/>
      <c r="K243" s="114"/>
      <c r="L243" s="114"/>
      <c r="M243" s="114"/>
      <c r="N243" s="114"/>
    </row>
    <row r="244" spans="1:14" x14ac:dyDescent="0.35">
      <c r="A244" s="114"/>
      <c r="B244" s="114"/>
      <c r="C244" s="114"/>
      <c r="D244" s="131"/>
      <c r="E244" s="114"/>
      <c r="F244" s="114"/>
      <c r="G244" s="114"/>
      <c r="H244" s="114"/>
      <c r="I244" s="114"/>
      <c r="J244" s="114"/>
      <c r="K244" s="114"/>
      <c r="L244" s="114"/>
      <c r="M244" s="114"/>
      <c r="N244" s="114"/>
    </row>
    <row r="245" spans="1:14" x14ac:dyDescent="0.35">
      <c r="A245" s="114"/>
      <c r="B245" s="114"/>
      <c r="C245" s="114"/>
      <c r="D245" s="131"/>
      <c r="E245" s="114"/>
      <c r="F245" s="114"/>
      <c r="G245" s="114"/>
      <c r="H245" s="114"/>
      <c r="I245" s="114"/>
      <c r="J245" s="114"/>
      <c r="K245" s="114"/>
      <c r="L245" s="114"/>
      <c r="M245" s="114"/>
      <c r="N245" s="114"/>
    </row>
    <row r="246" spans="1:14" x14ac:dyDescent="0.35">
      <c r="A246" s="114"/>
      <c r="B246" s="114"/>
      <c r="C246" s="114"/>
      <c r="D246" s="131"/>
      <c r="E246" s="114"/>
      <c r="F246" s="114"/>
      <c r="G246" s="114"/>
      <c r="H246" s="114"/>
      <c r="I246" s="114"/>
      <c r="J246" s="114"/>
      <c r="K246" s="114"/>
      <c r="L246" s="114"/>
      <c r="M246" s="114"/>
      <c r="N246" s="114"/>
    </row>
    <row r="247" spans="1:14" x14ac:dyDescent="0.35">
      <c r="A247" s="114"/>
      <c r="B247" s="114"/>
      <c r="C247" s="114"/>
      <c r="D247" s="131"/>
      <c r="E247" s="114"/>
      <c r="F247" s="114"/>
      <c r="G247" s="114"/>
      <c r="H247" s="114"/>
      <c r="I247" s="114"/>
      <c r="J247" s="114"/>
      <c r="K247" s="114"/>
      <c r="L247" s="114"/>
      <c r="M247" s="114"/>
      <c r="N247" s="114"/>
    </row>
    <row r="248" spans="1:14" x14ac:dyDescent="0.35">
      <c r="A248" s="114"/>
      <c r="B248" s="114"/>
      <c r="C248" s="114"/>
      <c r="D248" s="131"/>
      <c r="E248" s="114"/>
      <c r="F248" s="114"/>
      <c r="G248" s="114"/>
      <c r="H248" s="114"/>
      <c r="I248" s="114"/>
      <c r="J248" s="114"/>
      <c r="K248" s="114"/>
      <c r="L248" s="114"/>
      <c r="M248" s="114"/>
      <c r="N248" s="114"/>
    </row>
    <row r="249" spans="1:14" x14ac:dyDescent="0.35">
      <c r="A249" s="114"/>
      <c r="B249" s="114"/>
      <c r="C249" s="114"/>
      <c r="D249" s="131"/>
      <c r="E249" s="114"/>
      <c r="F249" s="114"/>
      <c r="G249" s="114"/>
      <c r="H249" s="114"/>
      <c r="I249" s="114"/>
      <c r="J249" s="114"/>
      <c r="K249" s="114"/>
      <c r="L249" s="114"/>
      <c r="M249" s="114"/>
      <c r="N249" s="114"/>
    </row>
    <row r="250" spans="1:14" x14ac:dyDescent="0.35">
      <c r="A250" s="114"/>
      <c r="B250" s="114"/>
      <c r="C250" s="114"/>
      <c r="D250" s="131"/>
      <c r="E250" s="114"/>
      <c r="F250" s="114"/>
      <c r="G250" s="114"/>
      <c r="H250" s="114"/>
      <c r="I250" s="114"/>
      <c r="J250" s="114"/>
      <c r="K250" s="114"/>
      <c r="L250" s="114"/>
      <c r="M250" s="114"/>
      <c r="N250" s="114"/>
    </row>
    <row r="251" spans="1:14" x14ac:dyDescent="0.35">
      <c r="A251" s="114"/>
      <c r="B251" s="114"/>
      <c r="C251" s="114"/>
      <c r="D251" s="131"/>
      <c r="E251" s="114"/>
      <c r="F251" s="114"/>
      <c r="G251" s="114"/>
      <c r="H251" s="114"/>
      <c r="I251" s="114"/>
      <c r="J251" s="114"/>
      <c r="K251" s="114"/>
      <c r="L251" s="114"/>
      <c r="M251" s="114"/>
      <c r="N251" s="114"/>
    </row>
    <row r="252" spans="1:14" x14ac:dyDescent="0.35">
      <c r="A252" s="114"/>
      <c r="B252" s="114"/>
      <c r="C252" s="114"/>
      <c r="D252" s="131"/>
      <c r="E252" s="114"/>
      <c r="F252" s="114"/>
      <c r="G252" s="114"/>
      <c r="H252" s="114"/>
      <c r="I252" s="114"/>
      <c r="J252" s="114"/>
      <c r="K252" s="114"/>
      <c r="L252" s="114"/>
      <c r="M252" s="114"/>
      <c r="N252" s="114"/>
    </row>
    <row r="253" spans="1:14" x14ac:dyDescent="0.35">
      <c r="A253" s="114"/>
      <c r="B253" s="114"/>
      <c r="C253" s="114"/>
      <c r="D253" s="131"/>
      <c r="E253" s="114"/>
      <c r="F253" s="114"/>
      <c r="G253" s="114"/>
      <c r="H253" s="114"/>
      <c r="I253" s="114"/>
      <c r="J253" s="114"/>
      <c r="K253" s="114"/>
      <c r="L253" s="114"/>
      <c r="M253" s="114"/>
      <c r="N253" s="114"/>
    </row>
    <row r="254" spans="1:14" x14ac:dyDescent="0.35">
      <c r="A254" s="114"/>
      <c r="B254" s="114"/>
      <c r="C254" s="114"/>
      <c r="D254" s="131"/>
      <c r="E254" s="114"/>
      <c r="F254" s="114"/>
      <c r="G254" s="114"/>
      <c r="H254" s="114"/>
      <c r="I254" s="114"/>
      <c r="J254" s="114"/>
      <c r="K254" s="114"/>
      <c r="L254" s="114"/>
      <c r="M254" s="114"/>
      <c r="N254" s="114"/>
    </row>
    <row r="255" spans="1:14" x14ac:dyDescent="0.35">
      <c r="A255" s="114"/>
      <c r="B255" s="114"/>
      <c r="C255" s="114"/>
      <c r="D255" s="131"/>
      <c r="E255" s="114"/>
      <c r="F255" s="114"/>
      <c r="G255" s="114"/>
      <c r="H255" s="114"/>
      <c r="I255" s="114"/>
      <c r="J255" s="114"/>
      <c r="K255" s="114"/>
      <c r="L255" s="114"/>
      <c r="M255" s="114"/>
      <c r="N255" s="114"/>
    </row>
    <row r="256" spans="1:14" x14ac:dyDescent="0.35">
      <c r="A256" s="114"/>
      <c r="B256" s="114"/>
      <c r="C256" s="114"/>
      <c r="D256" s="131"/>
      <c r="E256" s="114"/>
      <c r="F256" s="114"/>
      <c r="G256" s="114"/>
      <c r="H256" s="114"/>
      <c r="I256" s="114"/>
      <c r="J256" s="114"/>
      <c r="K256" s="114"/>
      <c r="L256" s="114"/>
      <c r="M256" s="114"/>
      <c r="N256" s="114"/>
    </row>
    <row r="257" spans="1:14" x14ac:dyDescent="0.35">
      <c r="A257" s="114"/>
      <c r="B257" s="114"/>
      <c r="C257" s="114"/>
      <c r="D257" s="131"/>
      <c r="E257" s="114"/>
      <c r="F257" s="114"/>
      <c r="G257" s="114"/>
      <c r="H257" s="114"/>
      <c r="I257" s="114"/>
      <c r="J257" s="114"/>
      <c r="K257" s="114"/>
      <c r="L257" s="114"/>
      <c r="M257" s="114"/>
      <c r="N257" s="114"/>
    </row>
    <row r="258" spans="1:14" x14ac:dyDescent="0.35">
      <c r="A258" s="114"/>
      <c r="B258" s="114"/>
      <c r="C258" s="114"/>
      <c r="D258" s="131"/>
      <c r="E258" s="114"/>
      <c r="F258" s="114"/>
      <c r="G258" s="114"/>
      <c r="H258" s="114"/>
      <c r="I258" s="114"/>
      <c r="J258" s="114"/>
      <c r="K258" s="114"/>
      <c r="L258" s="114"/>
      <c r="M258" s="114"/>
      <c r="N258" s="114"/>
    </row>
    <row r="259" spans="1:14" x14ac:dyDescent="0.35">
      <c r="A259" s="114"/>
      <c r="B259" s="114"/>
      <c r="C259" s="114"/>
      <c r="D259" s="131"/>
      <c r="E259" s="114"/>
      <c r="F259" s="114"/>
      <c r="G259" s="114"/>
      <c r="H259" s="114"/>
      <c r="I259" s="114"/>
      <c r="J259" s="114"/>
      <c r="K259" s="114"/>
      <c r="L259" s="114"/>
      <c r="M259" s="114"/>
      <c r="N259" s="114"/>
    </row>
    <row r="260" spans="1:14" x14ac:dyDescent="0.35">
      <c r="A260" s="114"/>
      <c r="B260" s="114"/>
      <c r="C260" s="114"/>
      <c r="D260" s="131"/>
      <c r="E260" s="114"/>
      <c r="F260" s="114"/>
      <c r="G260" s="114"/>
      <c r="H260" s="114"/>
      <c r="I260" s="114"/>
      <c r="J260" s="114"/>
      <c r="K260" s="114"/>
      <c r="L260" s="114"/>
      <c r="M260" s="114"/>
      <c r="N260" s="114"/>
    </row>
    <row r="261" spans="1:14" x14ac:dyDescent="0.35">
      <c r="A261" s="114"/>
      <c r="B261" s="114"/>
      <c r="C261" s="114"/>
      <c r="D261" s="131"/>
      <c r="E261" s="114"/>
      <c r="F261" s="114"/>
      <c r="G261" s="114"/>
      <c r="H261" s="114"/>
      <c r="I261" s="114"/>
      <c r="J261" s="114"/>
      <c r="K261" s="114"/>
      <c r="L261" s="114"/>
      <c r="M261" s="114"/>
      <c r="N261" s="114"/>
    </row>
    <row r="262" spans="1:14" x14ac:dyDescent="0.35">
      <c r="A262" s="114"/>
      <c r="B262" s="114"/>
      <c r="C262" s="114"/>
      <c r="D262" s="131"/>
      <c r="E262" s="114"/>
      <c r="F262" s="114"/>
      <c r="G262" s="114"/>
      <c r="H262" s="114"/>
      <c r="I262" s="114"/>
      <c r="J262" s="114"/>
      <c r="K262" s="114"/>
      <c r="L262" s="114"/>
      <c r="M262" s="114"/>
      <c r="N262" s="114"/>
    </row>
    <row r="263" spans="1:14" x14ac:dyDescent="0.35">
      <c r="A263" s="114"/>
      <c r="B263" s="114"/>
      <c r="C263" s="114"/>
      <c r="D263" s="131"/>
      <c r="E263" s="114"/>
      <c r="F263" s="114"/>
      <c r="G263" s="114"/>
      <c r="H263" s="114"/>
      <c r="I263" s="114"/>
      <c r="J263" s="114"/>
      <c r="K263" s="114"/>
      <c r="L263" s="114"/>
      <c r="M263" s="114"/>
      <c r="N263" s="114"/>
    </row>
    <row r="264" spans="1:14" x14ac:dyDescent="0.35">
      <c r="A264" s="114"/>
      <c r="B264" s="114"/>
      <c r="C264" s="114"/>
      <c r="D264" s="131"/>
      <c r="E264" s="114"/>
      <c r="F264" s="114"/>
      <c r="G264" s="114"/>
      <c r="H264" s="114"/>
      <c r="I264" s="114"/>
      <c r="J264" s="114"/>
      <c r="K264" s="114"/>
      <c r="L264" s="114"/>
      <c r="M264" s="114"/>
      <c r="N264" s="114"/>
    </row>
    <row r="265" spans="1:14" x14ac:dyDescent="0.35">
      <c r="A265" s="114"/>
      <c r="B265" s="114"/>
      <c r="C265" s="114"/>
      <c r="D265" s="131"/>
      <c r="E265" s="114"/>
      <c r="F265" s="114"/>
      <c r="G265" s="114"/>
      <c r="H265" s="114"/>
      <c r="I265" s="114"/>
      <c r="J265" s="114"/>
      <c r="K265" s="114"/>
      <c r="L265" s="114"/>
      <c r="M265" s="114"/>
      <c r="N265" s="114"/>
    </row>
    <row r="266" spans="1:14" x14ac:dyDescent="0.35">
      <c r="A266" s="114"/>
      <c r="B266" s="114"/>
      <c r="C266" s="114"/>
      <c r="D266" s="131"/>
      <c r="E266" s="114"/>
      <c r="F266" s="114"/>
      <c r="G266" s="114"/>
      <c r="H266" s="114"/>
      <c r="I266" s="114"/>
      <c r="J266" s="114"/>
      <c r="K266" s="114"/>
      <c r="L266" s="114"/>
      <c r="M266" s="114"/>
      <c r="N266" s="114"/>
    </row>
    <row r="267" spans="1:14" x14ac:dyDescent="0.35">
      <c r="A267" s="114"/>
      <c r="B267" s="114"/>
      <c r="C267" s="114"/>
      <c r="D267" s="131"/>
      <c r="E267" s="114"/>
      <c r="F267" s="114"/>
      <c r="G267" s="114"/>
      <c r="H267" s="114"/>
      <c r="I267" s="114"/>
      <c r="J267" s="114"/>
      <c r="K267" s="114"/>
      <c r="L267" s="114"/>
      <c r="M267" s="114"/>
      <c r="N267" s="114"/>
    </row>
    <row r="268" spans="1:14" x14ac:dyDescent="0.35">
      <c r="A268" s="114"/>
      <c r="B268" s="114"/>
      <c r="C268" s="114"/>
      <c r="D268" s="131"/>
      <c r="E268" s="114"/>
      <c r="F268" s="114"/>
      <c r="G268" s="114"/>
      <c r="H268" s="114"/>
      <c r="I268" s="114"/>
      <c r="J268" s="114"/>
      <c r="K268" s="114"/>
      <c r="L268" s="114"/>
      <c r="M268" s="114"/>
      <c r="N268" s="114"/>
    </row>
    <row r="269" spans="1:14" x14ac:dyDescent="0.35">
      <c r="A269" s="114"/>
      <c r="B269" s="114"/>
      <c r="C269" s="114"/>
      <c r="D269" s="131"/>
      <c r="E269" s="114"/>
      <c r="F269" s="114"/>
      <c r="G269" s="114"/>
      <c r="H269" s="114"/>
      <c r="I269" s="114"/>
      <c r="J269" s="114"/>
      <c r="K269" s="114"/>
      <c r="L269" s="114"/>
      <c r="M269" s="114"/>
      <c r="N269" s="114"/>
    </row>
    <row r="270" spans="1:14" x14ac:dyDescent="0.35">
      <c r="A270" s="114"/>
      <c r="B270" s="114"/>
      <c r="C270" s="114"/>
      <c r="D270" s="131"/>
      <c r="E270" s="114"/>
      <c r="F270" s="114"/>
      <c r="G270" s="114"/>
      <c r="H270" s="114"/>
      <c r="I270" s="114"/>
      <c r="J270" s="114"/>
      <c r="K270" s="114"/>
      <c r="L270" s="114"/>
      <c r="M270" s="114"/>
      <c r="N270" s="114"/>
    </row>
    <row r="271" spans="1:14" x14ac:dyDescent="0.35">
      <c r="A271" s="114"/>
      <c r="B271" s="114"/>
      <c r="C271" s="114"/>
      <c r="D271" s="131"/>
      <c r="E271" s="114"/>
      <c r="F271" s="114"/>
      <c r="G271" s="114"/>
      <c r="H271" s="114"/>
      <c r="I271" s="114"/>
      <c r="J271" s="114"/>
      <c r="K271" s="114"/>
      <c r="L271" s="114"/>
      <c r="M271" s="114"/>
      <c r="N271" s="114"/>
    </row>
    <row r="272" spans="1:14" x14ac:dyDescent="0.35">
      <c r="A272" s="114"/>
      <c r="B272" s="114"/>
      <c r="C272" s="114"/>
      <c r="D272" s="131"/>
      <c r="E272" s="114"/>
      <c r="F272" s="114"/>
      <c r="G272" s="114"/>
      <c r="H272" s="114"/>
      <c r="I272" s="114"/>
      <c r="J272" s="114"/>
      <c r="K272" s="114"/>
      <c r="L272" s="114"/>
      <c r="M272" s="114"/>
      <c r="N272" s="114"/>
    </row>
    <row r="273" spans="1:14" x14ac:dyDescent="0.35">
      <c r="A273" s="114"/>
      <c r="B273" s="114"/>
      <c r="C273" s="114"/>
      <c r="D273" s="131"/>
      <c r="E273" s="114"/>
      <c r="F273" s="114"/>
      <c r="G273" s="114"/>
      <c r="H273" s="114"/>
      <c r="I273" s="114"/>
      <c r="J273" s="114"/>
      <c r="K273" s="114"/>
      <c r="L273" s="114"/>
      <c r="M273" s="114"/>
      <c r="N273" s="114"/>
    </row>
    <row r="274" spans="1:14" x14ac:dyDescent="0.35">
      <c r="A274" s="114"/>
      <c r="B274" s="114"/>
      <c r="C274" s="114"/>
      <c r="D274" s="131"/>
      <c r="E274" s="114"/>
      <c r="F274" s="114"/>
      <c r="G274" s="114"/>
      <c r="H274" s="114"/>
      <c r="I274" s="114"/>
      <c r="J274" s="114"/>
      <c r="K274" s="114"/>
      <c r="L274" s="114"/>
      <c r="M274" s="114"/>
      <c r="N274" s="114"/>
    </row>
    <row r="275" spans="1:14" x14ac:dyDescent="0.35">
      <c r="A275" s="114"/>
      <c r="B275" s="114"/>
      <c r="C275" s="114"/>
      <c r="D275" s="131"/>
      <c r="E275" s="114"/>
      <c r="F275" s="114"/>
      <c r="G275" s="114"/>
      <c r="H275" s="114"/>
      <c r="I275" s="114"/>
      <c r="J275" s="114"/>
      <c r="K275" s="114"/>
      <c r="L275" s="114"/>
      <c r="M275" s="114"/>
      <c r="N275" s="114"/>
    </row>
    <row r="276" spans="1:14" x14ac:dyDescent="0.35">
      <c r="A276" s="114"/>
      <c r="B276" s="114"/>
      <c r="C276" s="114"/>
      <c r="D276" s="131"/>
      <c r="E276" s="114"/>
      <c r="F276" s="114"/>
      <c r="G276" s="114"/>
      <c r="H276" s="114"/>
      <c r="I276" s="114"/>
      <c r="J276" s="114"/>
      <c r="K276" s="114"/>
      <c r="L276" s="114"/>
      <c r="M276" s="114"/>
      <c r="N276" s="114"/>
    </row>
    <row r="277" spans="1:14" x14ac:dyDescent="0.35">
      <c r="A277" s="114"/>
      <c r="B277" s="114"/>
      <c r="C277" s="114"/>
      <c r="D277" s="131"/>
      <c r="E277" s="114"/>
      <c r="F277" s="114"/>
      <c r="G277" s="114"/>
      <c r="H277" s="114"/>
      <c r="I277" s="114"/>
      <c r="J277" s="114"/>
      <c r="K277" s="114"/>
      <c r="L277" s="114"/>
      <c r="M277" s="114"/>
      <c r="N277" s="114"/>
    </row>
    <row r="278" spans="1:14" x14ac:dyDescent="0.35">
      <c r="A278" s="114"/>
      <c r="B278" s="114"/>
      <c r="C278" s="114"/>
      <c r="D278" s="131"/>
      <c r="E278" s="114"/>
      <c r="F278" s="114"/>
      <c r="G278" s="114"/>
      <c r="H278" s="114"/>
      <c r="I278" s="114"/>
      <c r="J278" s="114"/>
      <c r="K278" s="114"/>
      <c r="L278" s="114"/>
      <c r="M278" s="114"/>
      <c r="N278" s="114"/>
    </row>
    <row r="279" spans="1:14" x14ac:dyDescent="0.35">
      <c r="A279" s="114"/>
      <c r="B279" s="114"/>
      <c r="C279" s="114"/>
      <c r="D279" s="131"/>
      <c r="E279" s="114"/>
      <c r="F279" s="114"/>
      <c r="G279" s="114"/>
      <c r="H279" s="114"/>
      <c r="I279" s="114"/>
      <c r="J279" s="114"/>
      <c r="K279" s="114"/>
      <c r="L279" s="114"/>
      <c r="M279" s="114"/>
      <c r="N279" s="114"/>
    </row>
    <row r="280" spans="1:14" x14ac:dyDescent="0.35">
      <c r="A280" s="114"/>
      <c r="B280" s="114"/>
      <c r="C280" s="114"/>
      <c r="D280" s="131"/>
      <c r="E280" s="114"/>
      <c r="F280" s="114"/>
      <c r="G280" s="114"/>
      <c r="H280" s="114"/>
      <c r="I280" s="114"/>
      <c r="J280" s="114"/>
      <c r="K280" s="114"/>
      <c r="L280" s="114"/>
      <c r="M280" s="114"/>
      <c r="N280" s="114"/>
    </row>
    <row r="281" spans="1:14" x14ac:dyDescent="0.35">
      <c r="A281" s="114"/>
      <c r="B281" s="114"/>
      <c r="C281" s="114"/>
      <c r="D281" s="131"/>
      <c r="E281" s="114"/>
      <c r="F281" s="114"/>
      <c r="G281" s="114"/>
      <c r="H281" s="114"/>
      <c r="I281" s="114"/>
      <c r="J281" s="114"/>
      <c r="K281" s="114"/>
      <c r="L281" s="114"/>
      <c r="M281" s="114"/>
      <c r="N281" s="114"/>
    </row>
    <row r="282" spans="1:14" x14ac:dyDescent="0.35">
      <c r="A282" s="114"/>
      <c r="B282" s="114"/>
      <c r="C282" s="114"/>
      <c r="D282" s="131"/>
      <c r="E282" s="114"/>
      <c r="F282" s="114"/>
      <c r="G282" s="114"/>
      <c r="H282" s="114"/>
      <c r="I282" s="114"/>
      <c r="J282" s="114"/>
      <c r="K282" s="114"/>
      <c r="L282" s="114"/>
      <c r="M282" s="114"/>
      <c r="N282" s="114"/>
    </row>
    <row r="283" spans="1:14" x14ac:dyDescent="0.35">
      <c r="A283" s="114"/>
      <c r="B283" s="114"/>
      <c r="C283" s="114"/>
      <c r="D283" s="131"/>
      <c r="E283" s="114"/>
      <c r="F283" s="114"/>
      <c r="G283" s="114"/>
      <c r="H283" s="114"/>
      <c r="I283" s="114"/>
      <c r="J283" s="114"/>
      <c r="K283" s="114"/>
      <c r="L283" s="114"/>
      <c r="M283" s="114"/>
      <c r="N283" s="114"/>
    </row>
    <row r="284" spans="1:14" x14ac:dyDescent="0.35">
      <c r="A284" s="114"/>
      <c r="B284" s="114"/>
      <c r="C284" s="114"/>
      <c r="D284" s="131"/>
      <c r="E284" s="114"/>
      <c r="F284" s="114"/>
      <c r="G284" s="114"/>
      <c r="H284" s="114"/>
      <c r="I284" s="114"/>
      <c r="J284" s="114"/>
      <c r="K284" s="114"/>
      <c r="L284" s="114"/>
      <c r="M284" s="114"/>
      <c r="N284" s="114"/>
    </row>
    <row r="285" spans="1:14" x14ac:dyDescent="0.35">
      <c r="A285" s="114"/>
      <c r="B285" s="114"/>
      <c r="C285" s="114"/>
      <c r="D285" s="131"/>
      <c r="E285" s="114"/>
      <c r="F285" s="114"/>
      <c r="G285" s="114"/>
      <c r="H285" s="114"/>
      <c r="I285" s="114"/>
      <c r="J285" s="114"/>
      <c r="K285" s="114"/>
      <c r="L285" s="114"/>
      <c r="M285" s="114"/>
      <c r="N285" s="114"/>
    </row>
    <row r="286" spans="1:14" x14ac:dyDescent="0.35">
      <c r="A286" s="114"/>
      <c r="B286" s="114"/>
      <c r="C286" s="114"/>
      <c r="D286" s="131"/>
      <c r="E286" s="114"/>
      <c r="F286" s="114"/>
      <c r="G286" s="114"/>
      <c r="H286" s="114"/>
      <c r="I286" s="114"/>
      <c r="J286" s="114"/>
      <c r="K286" s="114"/>
      <c r="L286" s="114"/>
      <c r="M286" s="114"/>
      <c r="N286" s="114"/>
    </row>
    <row r="287" spans="1:14" x14ac:dyDescent="0.35">
      <c r="A287" s="114"/>
      <c r="B287" s="114"/>
      <c r="C287" s="114"/>
      <c r="D287" s="131"/>
      <c r="E287" s="114"/>
      <c r="F287" s="114"/>
      <c r="G287" s="114"/>
      <c r="H287" s="114"/>
      <c r="I287" s="114"/>
      <c r="J287" s="114"/>
      <c r="K287" s="114"/>
      <c r="L287" s="114"/>
      <c r="M287" s="114"/>
      <c r="N287" s="114"/>
    </row>
    <row r="288" spans="1:14" x14ac:dyDescent="0.35">
      <c r="A288" s="114"/>
      <c r="B288" s="114"/>
      <c r="C288" s="114"/>
      <c r="D288" s="131"/>
      <c r="E288" s="114"/>
      <c r="F288" s="114"/>
      <c r="G288" s="114"/>
      <c r="H288" s="114"/>
      <c r="I288" s="114"/>
      <c r="J288" s="114"/>
      <c r="K288" s="114"/>
      <c r="L288" s="114"/>
      <c r="M288" s="114"/>
      <c r="N288" s="114"/>
    </row>
    <row r="289" spans="1:14" x14ac:dyDescent="0.35">
      <c r="A289" s="114"/>
      <c r="B289" s="114"/>
      <c r="C289" s="114"/>
      <c r="D289" s="131"/>
      <c r="E289" s="114"/>
      <c r="F289" s="114"/>
      <c r="G289" s="114"/>
      <c r="H289" s="114"/>
      <c r="I289" s="114"/>
      <c r="J289" s="114"/>
      <c r="K289" s="114"/>
      <c r="L289" s="114"/>
      <c r="M289" s="114"/>
      <c r="N289" s="114"/>
    </row>
    <row r="290" spans="1:14" x14ac:dyDescent="0.35">
      <c r="A290" s="114"/>
      <c r="B290" s="114"/>
      <c r="C290" s="114"/>
      <c r="D290" s="131"/>
      <c r="E290" s="114"/>
      <c r="F290" s="114"/>
      <c r="G290" s="114"/>
      <c r="H290" s="114"/>
      <c r="I290" s="114"/>
      <c r="J290" s="114"/>
      <c r="K290" s="114"/>
      <c r="L290" s="114"/>
      <c r="M290" s="114"/>
      <c r="N290" s="114"/>
    </row>
    <row r="291" spans="1:14" x14ac:dyDescent="0.35">
      <c r="A291" s="114"/>
      <c r="B291" s="114"/>
      <c r="C291" s="114"/>
      <c r="D291" s="131"/>
      <c r="E291" s="114"/>
      <c r="F291" s="114"/>
      <c r="G291" s="114"/>
      <c r="H291" s="114"/>
      <c r="I291" s="114"/>
      <c r="J291" s="114"/>
      <c r="K291" s="114"/>
      <c r="L291" s="114"/>
      <c r="M291" s="114"/>
      <c r="N291" s="114"/>
    </row>
    <row r="292" spans="1:14" x14ac:dyDescent="0.35">
      <c r="A292" s="114"/>
      <c r="B292" s="114"/>
      <c r="C292" s="114"/>
      <c r="D292" s="131"/>
      <c r="E292" s="114"/>
      <c r="F292" s="114"/>
      <c r="G292" s="114"/>
      <c r="H292" s="114"/>
      <c r="I292" s="114"/>
      <c r="J292" s="114"/>
      <c r="K292" s="114"/>
      <c r="L292" s="114"/>
      <c r="M292" s="114"/>
      <c r="N292" s="114"/>
    </row>
    <row r="293" spans="1:14" x14ac:dyDescent="0.35">
      <c r="A293" s="114"/>
      <c r="B293" s="114"/>
      <c r="C293" s="114"/>
      <c r="D293" s="131"/>
      <c r="E293" s="114"/>
      <c r="F293" s="114"/>
      <c r="G293" s="114"/>
      <c r="H293" s="114"/>
      <c r="I293" s="114"/>
      <c r="J293" s="114"/>
      <c r="K293" s="114"/>
      <c r="L293" s="114"/>
      <c r="M293" s="114"/>
      <c r="N293" s="114"/>
    </row>
    <row r="294" spans="1:14" x14ac:dyDescent="0.35">
      <c r="A294" s="114"/>
      <c r="B294" s="114"/>
      <c r="C294" s="114"/>
      <c r="D294" s="131"/>
      <c r="E294" s="114"/>
      <c r="F294" s="114"/>
      <c r="G294" s="114"/>
      <c r="H294" s="114"/>
      <c r="I294" s="114"/>
      <c r="J294" s="114"/>
      <c r="K294" s="114"/>
      <c r="L294" s="114"/>
      <c r="M294" s="114"/>
      <c r="N294" s="114"/>
    </row>
    <row r="295" spans="1:14" x14ac:dyDescent="0.35">
      <c r="A295" s="114"/>
      <c r="B295" s="114"/>
      <c r="C295" s="114"/>
      <c r="D295" s="131"/>
      <c r="E295" s="114"/>
      <c r="F295" s="114"/>
      <c r="G295" s="114"/>
      <c r="H295" s="114"/>
      <c r="I295" s="114"/>
      <c r="J295" s="114"/>
      <c r="K295" s="114"/>
      <c r="L295" s="114"/>
      <c r="M295" s="114"/>
      <c r="N295" s="114"/>
    </row>
    <row r="296" spans="1:14" x14ac:dyDescent="0.35">
      <c r="A296" s="114"/>
      <c r="B296" s="114"/>
      <c r="C296" s="114"/>
      <c r="D296" s="131"/>
      <c r="E296" s="114"/>
      <c r="F296" s="114"/>
      <c r="G296" s="114"/>
      <c r="H296" s="114"/>
      <c r="I296" s="114"/>
      <c r="J296" s="114"/>
      <c r="K296" s="114"/>
      <c r="L296" s="114"/>
      <c r="M296" s="114"/>
      <c r="N296" s="114"/>
    </row>
    <row r="297" spans="1:14" x14ac:dyDescent="0.35">
      <c r="A297" s="114"/>
      <c r="B297" s="114"/>
      <c r="C297" s="114"/>
      <c r="D297" s="131"/>
      <c r="E297" s="114"/>
      <c r="F297" s="114"/>
      <c r="G297" s="114"/>
      <c r="H297" s="114"/>
      <c r="I297" s="114"/>
      <c r="J297" s="114"/>
      <c r="K297" s="114"/>
      <c r="L297" s="114"/>
      <c r="M297" s="114"/>
      <c r="N297" s="114"/>
    </row>
    <row r="298" spans="1:14" x14ac:dyDescent="0.35">
      <c r="A298" s="114"/>
      <c r="B298" s="114"/>
      <c r="C298" s="114"/>
      <c r="D298" s="131"/>
      <c r="E298" s="114"/>
      <c r="F298" s="114"/>
      <c r="G298" s="114"/>
      <c r="H298" s="114"/>
      <c r="I298" s="114"/>
      <c r="J298" s="114"/>
      <c r="K298" s="114"/>
      <c r="L298" s="114"/>
      <c r="M298" s="114"/>
      <c r="N298" s="114"/>
    </row>
    <row r="299" spans="1:14" x14ac:dyDescent="0.35">
      <c r="A299" s="114"/>
      <c r="B299" s="114"/>
      <c r="C299" s="114"/>
      <c r="D299" s="131"/>
      <c r="E299" s="114"/>
      <c r="F299" s="114"/>
      <c r="G299" s="114"/>
      <c r="H299" s="114"/>
      <c r="I299" s="114"/>
      <c r="J299" s="114"/>
      <c r="K299" s="114"/>
      <c r="L299" s="114"/>
      <c r="M299" s="114"/>
      <c r="N299" s="114"/>
    </row>
    <row r="300" spans="1:14" x14ac:dyDescent="0.35">
      <c r="A300" s="114"/>
      <c r="B300" s="114"/>
      <c r="C300" s="114"/>
      <c r="D300" s="131"/>
      <c r="E300" s="114"/>
      <c r="F300" s="114"/>
      <c r="G300" s="114"/>
      <c r="H300" s="114"/>
      <c r="I300" s="114"/>
      <c r="J300" s="114"/>
      <c r="K300" s="114"/>
      <c r="L300" s="114"/>
      <c r="M300" s="114"/>
      <c r="N300" s="114"/>
    </row>
    <row r="301" spans="1:14" x14ac:dyDescent="0.35">
      <c r="A301" s="114"/>
      <c r="B301" s="114"/>
      <c r="C301" s="114"/>
      <c r="D301" s="131"/>
      <c r="E301" s="114"/>
      <c r="F301" s="114"/>
      <c r="G301" s="114"/>
      <c r="H301" s="114"/>
      <c r="I301" s="114"/>
      <c r="J301" s="114"/>
      <c r="K301" s="114"/>
      <c r="L301" s="114"/>
      <c r="M301" s="114"/>
      <c r="N301" s="114"/>
    </row>
    <row r="302" spans="1:14" x14ac:dyDescent="0.35">
      <c r="A302" s="114"/>
      <c r="B302" s="114"/>
      <c r="C302" s="114"/>
      <c r="D302" s="131"/>
      <c r="E302" s="114"/>
      <c r="F302" s="114"/>
      <c r="G302" s="114"/>
      <c r="H302" s="114"/>
      <c r="I302" s="114"/>
      <c r="J302" s="114"/>
      <c r="K302" s="114"/>
      <c r="L302" s="114"/>
      <c r="M302" s="114"/>
      <c r="N302" s="114"/>
    </row>
    <row r="303" spans="1:14" x14ac:dyDescent="0.35">
      <c r="A303" s="114"/>
      <c r="B303" s="114"/>
      <c r="C303" s="114"/>
      <c r="D303" s="131"/>
      <c r="E303" s="114"/>
      <c r="F303" s="114"/>
      <c r="G303" s="114"/>
      <c r="H303" s="114"/>
      <c r="I303" s="114"/>
      <c r="J303" s="114"/>
      <c r="K303" s="114"/>
      <c r="L303" s="114"/>
      <c r="M303" s="114"/>
      <c r="N303" s="114"/>
    </row>
    <row r="304" spans="1:14" x14ac:dyDescent="0.35">
      <c r="A304" s="114"/>
      <c r="B304" s="114"/>
      <c r="C304" s="114"/>
      <c r="D304" s="131"/>
      <c r="E304" s="114"/>
      <c r="F304" s="114"/>
      <c r="G304" s="114"/>
      <c r="H304" s="114"/>
      <c r="I304" s="114"/>
      <c r="J304" s="114"/>
      <c r="K304" s="114"/>
      <c r="L304" s="114"/>
      <c r="M304" s="114"/>
      <c r="N304" s="114"/>
    </row>
    <row r="305" spans="1:14" x14ac:dyDescent="0.35">
      <c r="A305" s="114"/>
      <c r="B305" s="114"/>
      <c r="C305" s="114"/>
      <c r="D305" s="131"/>
      <c r="E305" s="114"/>
      <c r="F305" s="114"/>
      <c r="G305" s="114"/>
      <c r="H305" s="114"/>
      <c r="I305" s="114"/>
      <c r="J305" s="114"/>
      <c r="K305" s="114"/>
      <c r="L305" s="114"/>
      <c r="M305" s="114"/>
      <c r="N305" s="114"/>
    </row>
    <row r="306" spans="1:14" x14ac:dyDescent="0.35">
      <c r="A306" s="114"/>
      <c r="B306" s="114"/>
      <c r="C306" s="114"/>
      <c r="D306" s="131"/>
      <c r="E306" s="114"/>
      <c r="F306" s="114"/>
      <c r="G306" s="114"/>
      <c r="H306" s="114"/>
      <c r="I306" s="114"/>
      <c r="J306" s="114"/>
      <c r="K306" s="114"/>
      <c r="L306" s="114"/>
      <c r="M306" s="114"/>
      <c r="N306" s="114"/>
    </row>
    <row r="307" spans="1:14" x14ac:dyDescent="0.35">
      <c r="A307" s="114"/>
      <c r="B307" s="114"/>
      <c r="C307" s="114"/>
      <c r="D307" s="131"/>
      <c r="E307" s="114"/>
      <c r="F307" s="114"/>
      <c r="G307" s="114"/>
      <c r="H307" s="114"/>
      <c r="I307" s="114"/>
      <c r="J307" s="114"/>
      <c r="K307" s="114"/>
      <c r="L307" s="114"/>
      <c r="M307" s="114"/>
      <c r="N307" s="114"/>
    </row>
    <row r="308" spans="1:14" x14ac:dyDescent="0.35">
      <c r="A308" s="114"/>
      <c r="B308" s="114"/>
      <c r="C308" s="114"/>
      <c r="D308" s="131"/>
      <c r="E308" s="114"/>
      <c r="F308" s="114"/>
      <c r="G308" s="114"/>
      <c r="H308" s="114"/>
      <c r="I308" s="114"/>
      <c r="J308" s="114"/>
      <c r="K308" s="114"/>
      <c r="L308" s="114"/>
      <c r="M308" s="114"/>
      <c r="N308" s="114"/>
    </row>
    <row r="309" spans="1:14" x14ac:dyDescent="0.35">
      <c r="A309" s="114"/>
      <c r="B309" s="114"/>
      <c r="C309" s="114"/>
      <c r="D309" s="131"/>
      <c r="E309" s="114"/>
      <c r="F309" s="114"/>
      <c r="G309" s="114"/>
      <c r="H309" s="114"/>
      <c r="I309" s="114"/>
      <c r="J309" s="114"/>
      <c r="K309" s="114"/>
      <c r="L309" s="114"/>
      <c r="M309" s="114"/>
      <c r="N309" s="114"/>
    </row>
    <row r="310" spans="1:14" x14ac:dyDescent="0.35">
      <c r="A310" s="114"/>
      <c r="B310" s="114"/>
      <c r="C310" s="114"/>
      <c r="D310" s="131"/>
      <c r="E310" s="114"/>
      <c r="F310" s="114"/>
      <c r="G310" s="114"/>
      <c r="H310" s="114"/>
      <c r="I310" s="114"/>
      <c r="J310" s="114"/>
      <c r="K310" s="114"/>
      <c r="L310" s="114"/>
      <c r="M310" s="114"/>
      <c r="N310" s="114"/>
    </row>
    <row r="311" spans="1:14" x14ac:dyDescent="0.35">
      <c r="A311" s="114"/>
      <c r="B311" s="114"/>
      <c r="C311" s="114"/>
      <c r="D311" s="131"/>
      <c r="E311" s="114"/>
      <c r="F311" s="114"/>
      <c r="G311" s="114"/>
      <c r="H311" s="114"/>
      <c r="I311" s="114"/>
      <c r="J311" s="114"/>
      <c r="K311" s="114"/>
      <c r="L311" s="114"/>
      <c r="M311" s="114"/>
      <c r="N311" s="114"/>
    </row>
    <row r="312" spans="1:14" x14ac:dyDescent="0.35">
      <c r="A312" s="114"/>
      <c r="B312" s="114"/>
      <c r="C312" s="114"/>
      <c r="D312" s="131"/>
      <c r="E312" s="114"/>
      <c r="F312" s="114"/>
      <c r="G312" s="114"/>
      <c r="H312" s="114"/>
      <c r="I312" s="114"/>
      <c r="J312" s="114"/>
      <c r="K312" s="114"/>
      <c r="L312" s="114"/>
      <c r="M312" s="114"/>
      <c r="N312" s="114"/>
    </row>
    <row r="313" spans="1:14" x14ac:dyDescent="0.35">
      <c r="A313" s="114"/>
      <c r="B313" s="114"/>
      <c r="C313" s="114"/>
      <c r="D313" s="131"/>
      <c r="E313" s="114"/>
      <c r="F313" s="114"/>
      <c r="G313" s="114"/>
      <c r="H313" s="114"/>
      <c r="I313" s="114"/>
      <c r="J313" s="114"/>
      <c r="K313" s="114"/>
      <c r="L313" s="114"/>
      <c r="M313" s="114"/>
      <c r="N313" s="114"/>
    </row>
    <row r="314" spans="1:14" x14ac:dyDescent="0.35">
      <c r="A314" s="114"/>
      <c r="B314" s="114"/>
      <c r="C314" s="114"/>
      <c r="D314" s="131"/>
      <c r="E314" s="114"/>
      <c r="F314" s="114"/>
      <c r="G314" s="114"/>
      <c r="H314" s="114"/>
      <c r="I314" s="114"/>
      <c r="J314" s="114"/>
      <c r="K314" s="114"/>
      <c r="L314" s="114"/>
      <c r="M314" s="114"/>
      <c r="N314" s="114"/>
    </row>
    <row r="315" spans="1:14" x14ac:dyDescent="0.35">
      <c r="A315" s="114"/>
      <c r="B315" s="114"/>
      <c r="C315" s="114"/>
      <c r="D315" s="131"/>
      <c r="E315" s="114"/>
      <c r="F315" s="114"/>
      <c r="G315" s="114"/>
      <c r="H315" s="114"/>
      <c r="I315" s="114"/>
      <c r="J315" s="114"/>
      <c r="K315" s="114"/>
      <c r="L315" s="114"/>
      <c r="M315" s="114"/>
      <c r="N315" s="114"/>
    </row>
    <row r="316" spans="1:14" x14ac:dyDescent="0.35">
      <c r="A316" s="114"/>
      <c r="B316" s="114"/>
      <c r="C316" s="114"/>
      <c r="D316" s="131"/>
      <c r="E316" s="114"/>
      <c r="F316" s="114"/>
      <c r="G316" s="114"/>
      <c r="H316" s="114"/>
      <c r="I316" s="114"/>
      <c r="J316" s="114"/>
      <c r="K316" s="114"/>
      <c r="L316" s="114"/>
      <c r="M316" s="114"/>
      <c r="N316" s="114"/>
    </row>
    <row r="317" spans="1:14" x14ac:dyDescent="0.35">
      <c r="A317" s="114"/>
      <c r="B317" s="114"/>
      <c r="C317" s="114"/>
      <c r="D317" s="131"/>
      <c r="E317" s="114"/>
      <c r="F317" s="114"/>
      <c r="G317" s="114"/>
      <c r="H317" s="114"/>
      <c r="I317" s="114"/>
      <c r="J317" s="114"/>
      <c r="K317" s="114"/>
      <c r="L317" s="114"/>
      <c r="M317" s="114"/>
      <c r="N317" s="114"/>
    </row>
    <row r="318" spans="1:14" x14ac:dyDescent="0.35">
      <c r="A318" s="114"/>
      <c r="B318" s="114"/>
      <c r="C318" s="114"/>
      <c r="D318" s="131"/>
      <c r="E318" s="114"/>
      <c r="F318" s="114"/>
      <c r="G318" s="114"/>
      <c r="H318" s="114"/>
      <c r="I318" s="114"/>
      <c r="J318" s="114"/>
      <c r="K318" s="114"/>
      <c r="L318" s="114"/>
      <c r="M318" s="114"/>
      <c r="N318" s="114"/>
    </row>
    <row r="319" spans="1:14" x14ac:dyDescent="0.35">
      <c r="A319" s="114"/>
      <c r="B319" s="114"/>
      <c r="C319" s="114"/>
      <c r="D319" s="131"/>
      <c r="E319" s="114"/>
      <c r="F319" s="114"/>
      <c r="G319" s="114"/>
      <c r="H319" s="114"/>
      <c r="I319" s="114"/>
      <c r="J319" s="114"/>
      <c r="K319" s="114"/>
      <c r="L319" s="114"/>
      <c r="M319" s="114"/>
      <c r="N319" s="114"/>
    </row>
    <row r="320" spans="1:14" x14ac:dyDescent="0.35">
      <c r="A320" s="114"/>
      <c r="B320" s="114"/>
      <c r="C320" s="114"/>
      <c r="D320" s="131"/>
      <c r="E320" s="114"/>
      <c r="F320" s="114"/>
      <c r="G320" s="114"/>
      <c r="H320" s="114"/>
      <c r="I320" s="114"/>
      <c r="J320" s="114"/>
      <c r="K320" s="114"/>
      <c r="L320" s="114"/>
      <c r="M320" s="114"/>
      <c r="N320" s="114"/>
    </row>
    <row r="321" spans="1:14" x14ac:dyDescent="0.35">
      <c r="A321" s="114"/>
      <c r="B321" s="114"/>
      <c r="C321" s="114"/>
      <c r="D321" s="131"/>
      <c r="E321" s="114"/>
      <c r="F321" s="114"/>
      <c r="G321" s="114"/>
      <c r="H321" s="114"/>
      <c r="I321" s="114"/>
      <c r="J321" s="114"/>
      <c r="K321" s="114"/>
      <c r="L321" s="114"/>
      <c r="M321" s="114"/>
      <c r="N321" s="114"/>
    </row>
    <row r="322" spans="1:14" x14ac:dyDescent="0.35">
      <c r="A322" s="114"/>
      <c r="B322" s="114"/>
      <c r="C322" s="114"/>
      <c r="D322" s="131"/>
      <c r="E322" s="114"/>
      <c r="F322" s="114"/>
      <c r="G322" s="114"/>
      <c r="H322" s="114"/>
      <c r="I322" s="114"/>
      <c r="J322" s="114"/>
      <c r="K322" s="114"/>
      <c r="L322" s="114"/>
      <c r="M322" s="114"/>
      <c r="N322" s="114"/>
    </row>
    <row r="323" spans="1:14" x14ac:dyDescent="0.35">
      <c r="A323" s="114"/>
      <c r="B323" s="114"/>
      <c r="C323" s="114"/>
      <c r="D323" s="131"/>
      <c r="E323" s="114"/>
      <c r="F323" s="114"/>
      <c r="G323" s="114"/>
      <c r="H323" s="114"/>
      <c r="I323" s="114"/>
      <c r="J323" s="114"/>
      <c r="K323" s="114"/>
      <c r="L323" s="114"/>
      <c r="M323" s="114"/>
      <c r="N323" s="114"/>
    </row>
    <row r="324" spans="1:14" x14ac:dyDescent="0.35">
      <c r="A324" s="114"/>
      <c r="B324" s="114"/>
      <c r="C324" s="114"/>
      <c r="D324" s="131"/>
      <c r="E324" s="114"/>
      <c r="F324" s="114"/>
      <c r="G324" s="114"/>
      <c r="H324" s="114"/>
      <c r="I324" s="114"/>
      <c r="J324" s="114"/>
      <c r="K324" s="114"/>
      <c r="L324" s="114"/>
      <c r="M324" s="114"/>
      <c r="N324" s="114"/>
    </row>
    <row r="325" spans="1:14" x14ac:dyDescent="0.35">
      <c r="A325" s="114"/>
      <c r="B325" s="114"/>
      <c r="C325" s="114"/>
      <c r="D325" s="131"/>
      <c r="E325" s="114"/>
      <c r="F325" s="114"/>
      <c r="G325" s="114"/>
      <c r="H325" s="114"/>
      <c r="I325" s="114"/>
      <c r="J325" s="114"/>
      <c r="K325" s="114"/>
      <c r="L325" s="114"/>
      <c r="M325" s="114"/>
      <c r="N325" s="114"/>
    </row>
    <row r="326" spans="1:14" x14ac:dyDescent="0.35">
      <c r="A326" s="114"/>
      <c r="B326" s="114"/>
      <c r="C326" s="114"/>
      <c r="D326" s="131"/>
      <c r="E326" s="114"/>
      <c r="F326" s="114"/>
      <c r="G326" s="114"/>
      <c r="H326" s="114"/>
      <c r="I326" s="114"/>
      <c r="J326" s="114"/>
      <c r="K326" s="114"/>
      <c r="L326" s="114"/>
      <c r="M326" s="114"/>
      <c r="N326" s="114"/>
    </row>
    <row r="327" spans="1:14" x14ac:dyDescent="0.35">
      <c r="A327" s="114"/>
      <c r="B327" s="114"/>
      <c r="C327" s="114"/>
      <c r="D327" s="131"/>
      <c r="E327" s="114"/>
      <c r="F327" s="114"/>
      <c r="G327" s="114"/>
      <c r="H327" s="114"/>
      <c r="I327" s="114"/>
      <c r="J327" s="114"/>
      <c r="K327" s="114"/>
      <c r="L327" s="114"/>
      <c r="M327" s="114"/>
      <c r="N327" s="114"/>
    </row>
    <row r="328" spans="1:14" x14ac:dyDescent="0.35">
      <c r="A328" s="114"/>
      <c r="B328" s="114"/>
      <c r="C328" s="114"/>
      <c r="D328" s="131"/>
      <c r="E328" s="114"/>
      <c r="F328" s="114"/>
      <c r="G328" s="114"/>
      <c r="H328" s="114"/>
      <c r="I328" s="114"/>
      <c r="J328" s="114"/>
      <c r="K328" s="114"/>
      <c r="L328" s="114"/>
      <c r="M328" s="114"/>
      <c r="N328" s="114"/>
    </row>
    <row r="329" spans="1:14" x14ac:dyDescent="0.35">
      <c r="A329" s="114"/>
      <c r="B329" s="114"/>
      <c r="C329" s="114"/>
      <c r="D329" s="131"/>
      <c r="E329" s="114"/>
      <c r="F329" s="114"/>
      <c r="G329" s="114"/>
      <c r="H329" s="114"/>
      <c r="I329" s="114"/>
      <c r="J329" s="114"/>
      <c r="K329" s="114"/>
      <c r="L329" s="114"/>
      <c r="M329" s="114"/>
      <c r="N329" s="114"/>
    </row>
    <row r="330" spans="1:14" x14ac:dyDescent="0.35">
      <c r="A330" s="114"/>
      <c r="B330" s="114"/>
      <c r="C330" s="114"/>
      <c r="D330" s="131"/>
      <c r="E330" s="114"/>
      <c r="F330" s="114"/>
      <c r="G330" s="114"/>
      <c r="H330" s="114"/>
      <c r="I330" s="114"/>
      <c r="J330" s="114"/>
      <c r="K330" s="114"/>
      <c r="L330" s="114"/>
      <c r="M330" s="114"/>
      <c r="N330" s="114"/>
    </row>
    <row r="331" spans="1:14" x14ac:dyDescent="0.35">
      <c r="A331" s="114"/>
      <c r="B331" s="114"/>
      <c r="C331" s="114"/>
      <c r="D331" s="131"/>
      <c r="E331" s="114"/>
      <c r="F331" s="114"/>
      <c r="G331" s="114"/>
      <c r="H331" s="114"/>
      <c r="I331" s="114"/>
      <c r="J331" s="114"/>
      <c r="K331" s="114"/>
      <c r="L331" s="114"/>
      <c r="M331" s="114"/>
      <c r="N331" s="114"/>
    </row>
    <row r="332" spans="1:14" x14ac:dyDescent="0.35">
      <c r="A332" s="114"/>
      <c r="B332" s="114"/>
      <c r="C332" s="114"/>
      <c r="D332" s="131"/>
      <c r="E332" s="114"/>
      <c r="F332" s="114"/>
      <c r="G332" s="114"/>
      <c r="H332" s="114"/>
      <c r="I332" s="114"/>
      <c r="J332" s="114"/>
      <c r="K332" s="114"/>
      <c r="L332" s="114"/>
      <c r="M332" s="114"/>
      <c r="N332" s="114"/>
    </row>
    <row r="333" spans="1:14" x14ac:dyDescent="0.35">
      <c r="A333" s="114"/>
      <c r="B333" s="114"/>
      <c r="C333" s="114"/>
      <c r="D333" s="131"/>
      <c r="E333" s="114"/>
      <c r="F333" s="114"/>
      <c r="G333" s="114"/>
      <c r="H333" s="114"/>
      <c r="I333" s="114"/>
      <c r="J333" s="114"/>
      <c r="K333" s="114"/>
      <c r="L333" s="114"/>
      <c r="M333" s="114"/>
      <c r="N333" s="114"/>
    </row>
    <row r="334" spans="1:14" x14ac:dyDescent="0.35">
      <c r="A334" s="114"/>
      <c r="B334" s="114"/>
      <c r="C334" s="114"/>
      <c r="D334" s="131"/>
      <c r="E334" s="114"/>
      <c r="F334" s="114"/>
      <c r="G334" s="114"/>
      <c r="H334" s="114"/>
      <c r="I334" s="114"/>
      <c r="J334" s="114"/>
      <c r="K334" s="114"/>
      <c r="L334" s="114"/>
      <c r="M334" s="114"/>
      <c r="N334" s="114"/>
    </row>
    <row r="335" spans="1:14" x14ac:dyDescent="0.35">
      <c r="A335" s="114"/>
      <c r="B335" s="114"/>
      <c r="C335" s="114"/>
      <c r="D335" s="131"/>
      <c r="E335" s="114"/>
      <c r="F335" s="114"/>
      <c r="G335" s="114"/>
      <c r="H335" s="114"/>
      <c r="I335" s="114"/>
      <c r="J335" s="114"/>
      <c r="K335" s="114"/>
      <c r="L335" s="114"/>
      <c r="M335" s="114"/>
      <c r="N335" s="114"/>
    </row>
    <row r="336" spans="1:14" x14ac:dyDescent="0.35">
      <c r="A336" s="114"/>
      <c r="B336" s="114"/>
      <c r="C336" s="114"/>
      <c r="D336" s="131"/>
      <c r="E336" s="114"/>
      <c r="F336" s="114"/>
      <c r="G336" s="114"/>
      <c r="H336" s="114"/>
      <c r="I336" s="114"/>
      <c r="J336" s="114"/>
      <c r="K336" s="114"/>
      <c r="L336" s="114"/>
      <c r="M336" s="114"/>
      <c r="N336" s="114"/>
    </row>
    <row r="337" spans="1:14" x14ac:dyDescent="0.35">
      <c r="A337" s="114"/>
      <c r="B337" s="114"/>
      <c r="C337" s="114"/>
      <c r="D337" s="131"/>
      <c r="E337" s="114"/>
      <c r="F337" s="114"/>
      <c r="G337" s="114"/>
      <c r="H337" s="114"/>
      <c r="I337" s="114"/>
      <c r="J337" s="114"/>
      <c r="K337" s="114"/>
      <c r="L337" s="114"/>
      <c r="M337" s="114"/>
      <c r="N337" s="114"/>
    </row>
    <row r="338" spans="1:14" x14ac:dyDescent="0.35">
      <c r="A338" s="114"/>
      <c r="B338" s="114"/>
      <c r="C338" s="114"/>
      <c r="D338" s="131"/>
      <c r="E338" s="114"/>
      <c r="F338" s="114"/>
      <c r="G338" s="114"/>
      <c r="H338" s="114"/>
      <c r="I338" s="114"/>
      <c r="J338" s="114"/>
      <c r="K338" s="114"/>
      <c r="L338" s="114"/>
      <c r="M338" s="114"/>
      <c r="N338" s="114"/>
    </row>
    <row r="339" spans="1:14" x14ac:dyDescent="0.35">
      <c r="A339" s="114"/>
      <c r="B339" s="114"/>
      <c r="C339" s="114"/>
      <c r="D339" s="131"/>
      <c r="E339" s="114"/>
      <c r="F339" s="114"/>
      <c r="G339" s="114"/>
      <c r="H339" s="114"/>
      <c r="I339" s="114"/>
      <c r="J339" s="114"/>
      <c r="K339" s="114"/>
      <c r="L339" s="114"/>
      <c r="M339" s="114"/>
      <c r="N339" s="114"/>
    </row>
    <row r="340" spans="1:14" x14ac:dyDescent="0.35">
      <c r="A340" s="114"/>
      <c r="B340" s="114"/>
      <c r="C340" s="114"/>
      <c r="D340" s="131"/>
      <c r="E340" s="114"/>
      <c r="F340" s="114"/>
      <c r="G340" s="114"/>
      <c r="H340" s="114"/>
      <c r="I340" s="114"/>
      <c r="J340" s="114"/>
      <c r="K340" s="114"/>
      <c r="L340" s="114"/>
      <c r="M340" s="114"/>
      <c r="N340" s="114"/>
    </row>
    <row r="341" spans="1:14" x14ac:dyDescent="0.35">
      <c r="A341" s="114"/>
      <c r="B341" s="114"/>
      <c r="C341" s="114"/>
      <c r="D341" s="131"/>
      <c r="E341" s="114"/>
      <c r="F341" s="114"/>
      <c r="G341" s="114"/>
      <c r="H341" s="114"/>
      <c r="I341" s="114"/>
      <c r="J341" s="114"/>
      <c r="K341" s="114"/>
      <c r="L341" s="114"/>
      <c r="M341" s="114"/>
      <c r="N341" s="114"/>
    </row>
    <row r="342" spans="1:14" x14ac:dyDescent="0.35">
      <c r="A342" s="114"/>
      <c r="B342" s="114"/>
      <c r="C342" s="114"/>
      <c r="D342" s="131"/>
      <c r="E342" s="114"/>
      <c r="F342" s="114"/>
      <c r="G342" s="114"/>
      <c r="H342" s="114"/>
      <c r="I342" s="114"/>
      <c r="J342" s="114"/>
      <c r="K342" s="114"/>
      <c r="L342" s="114"/>
      <c r="M342" s="114"/>
      <c r="N342" s="114"/>
    </row>
    <row r="343" spans="1:14" x14ac:dyDescent="0.35">
      <c r="A343" s="114"/>
      <c r="B343" s="114"/>
      <c r="C343" s="114"/>
      <c r="D343" s="131"/>
      <c r="E343" s="114"/>
      <c r="F343" s="114"/>
      <c r="G343" s="114"/>
      <c r="H343" s="114"/>
      <c r="I343" s="114"/>
      <c r="J343" s="114"/>
      <c r="K343" s="114"/>
      <c r="L343" s="114"/>
      <c r="M343" s="114"/>
      <c r="N343" s="114"/>
    </row>
    <row r="344" spans="1:14" x14ac:dyDescent="0.35">
      <c r="A344" s="114"/>
      <c r="B344" s="114"/>
      <c r="C344" s="114"/>
      <c r="D344" s="131"/>
      <c r="E344" s="114"/>
      <c r="F344" s="114"/>
      <c r="G344" s="114"/>
      <c r="H344" s="114"/>
      <c r="I344" s="114"/>
      <c r="J344" s="114"/>
      <c r="K344" s="114"/>
      <c r="L344" s="114"/>
      <c r="M344" s="114"/>
      <c r="N344" s="114"/>
    </row>
    <row r="345" spans="1:14" x14ac:dyDescent="0.35">
      <c r="A345" s="114"/>
      <c r="B345" s="114"/>
      <c r="C345" s="114"/>
      <c r="D345" s="131"/>
      <c r="E345" s="114"/>
      <c r="F345" s="114"/>
      <c r="G345" s="114"/>
      <c r="H345" s="114"/>
      <c r="I345" s="114"/>
      <c r="J345" s="114"/>
      <c r="K345" s="114"/>
      <c r="L345" s="114"/>
      <c r="M345" s="114"/>
      <c r="N345" s="114"/>
    </row>
    <row r="346" spans="1:14" x14ac:dyDescent="0.35">
      <c r="A346" s="114"/>
      <c r="B346" s="114"/>
      <c r="C346" s="114"/>
      <c r="D346" s="131"/>
      <c r="E346" s="114"/>
      <c r="F346" s="114"/>
      <c r="G346" s="114"/>
      <c r="H346" s="114"/>
      <c r="I346" s="114"/>
      <c r="J346" s="114"/>
      <c r="K346" s="114"/>
      <c r="L346" s="114"/>
      <c r="M346" s="114"/>
      <c r="N346" s="114"/>
    </row>
    <row r="347" spans="1:14" x14ac:dyDescent="0.35">
      <c r="A347" s="114"/>
      <c r="B347" s="114"/>
      <c r="C347" s="114"/>
      <c r="D347" s="131"/>
      <c r="E347" s="114"/>
      <c r="F347" s="114"/>
      <c r="G347" s="114"/>
      <c r="H347" s="114"/>
      <c r="I347" s="114"/>
      <c r="J347" s="114"/>
      <c r="K347" s="114"/>
      <c r="L347" s="114"/>
      <c r="M347" s="114"/>
      <c r="N347" s="114"/>
    </row>
    <row r="348" spans="1:14" x14ac:dyDescent="0.35">
      <c r="A348" s="114"/>
      <c r="B348" s="114"/>
      <c r="C348" s="114"/>
      <c r="D348" s="131"/>
      <c r="E348" s="114"/>
      <c r="F348" s="114"/>
      <c r="G348" s="114"/>
      <c r="H348" s="114"/>
      <c r="I348" s="114"/>
      <c r="J348" s="114"/>
      <c r="K348" s="114"/>
      <c r="L348" s="114"/>
      <c r="M348" s="114"/>
      <c r="N348" s="114"/>
    </row>
    <row r="349" spans="1:14" x14ac:dyDescent="0.35">
      <c r="A349" s="114"/>
      <c r="B349" s="114"/>
      <c r="C349" s="114"/>
      <c r="D349" s="131"/>
      <c r="E349" s="114"/>
      <c r="F349" s="114"/>
      <c r="G349" s="114"/>
      <c r="H349" s="114"/>
      <c r="I349" s="114"/>
      <c r="J349" s="114"/>
      <c r="K349" s="114"/>
      <c r="L349" s="114"/>
      <c r="M349" s="114"/>
      <c r="N349" s="114"/>
    </row>
    <row r="350" spans="1:14" x14ac:dyDescent="0.35">
      <c r="A350" s="114"/>
      <c r="B350" s="114"/>
      <c r="C350" s="114"/>
      <c r="D350" s="131"/>
      <c r="E350" s="114"/>
      <c r="F350" s="114"/>
      <c r="G350" s="114"/>
      <c r="H350" s="114"/>
      <c r="I350" s="114"/>
      <c r="J350" s="114"/>
      <c r="K350" s="114"/>
      <c r="L350" s="114"/>
      <c r="M350" s="114"/>
      <c r="N350" s="114"/>
    </row>
    <row r="351" spans="1:14" x14ac:dyDescent="0.35">
      <c r="A351" s="114"/>
      <c r="B351" s="114"/>
      <c r="C351" s="114"/>
      <c r="D351" s="131"/>
      <c r="E351" s="114"/>
      <c r="F351" s="114"/>
      <c r="G351" s="114"/>
      <c r="H351" s="114"/>
      <c r="I351" s="114"/>
      <c r="J351" s="114"/>
      <c r="K351" s="114"/>
      <c r="L351" s="114"/>
      <c r="M351" s="114"/>
      <c r="N351" s="114"/>
    </row>
    <row r="352" spans="1:14" x14ac:dyDescent="0.35">
      <c r="A352" s="114"/>
      <c r="B352" s="114"/>
      <c r="C352" s="114"/>
      <c r="D352" s="131"/>
      <c r="E352" s="114"/>
      <c r="F352" s="114"/>
      <c r="G352" s="114"/>
      <c r="H352" s="114"/>
      <c r="I352" s="114"/>
      <c r="J352" s="114"/>
      <c r="K352" s="114"/>
      <c r="L352" s="114"/>
      <c r="M352" s="114"/>
      <c r="N352" s="114"/>
    </row>
    <row r="353" spans="1:14" x14ac:dyDescent="0.35">
      <c r="A353" s="114"/>
      <c r="B353" s="114"/>
      <c r="C353" s="114"/>
      <c r="D353" s="131"/>
      <c r="E353" s="114"/>
      <c r="F353" s="114"/>
      <c r="G353" s="114"/>
      <c r="H353" s="114"/>
      <c r="I353" s="114"/>
      <c r="J353" s="114"/>
      <c r="K353" s="114"/>
      <c r="L353" s="114"/>
      <c r="M353" s="114"/>
      <c r="N353" s="114"/>
    </row>
    <row r="354" spans="1:14" x14ac:dyDescent="0.35">
      <c r="A354" s="114"/>
      <c r="B354" s="114"/>
      <c r="C354" s="114"/>
      <c r="D354" s="131"/>
      <c r="E354" s="114"/>
      <c r="F354" s="114"/>
      <c r="G354" s="114"/>
      <c r="H354" s="114"/>
      <c r="I354" s="114"/>
      <c r="J354" s="114"/>
      <c r="K354" s="114"/>
      <c r="L354" s="114"/>
      <c r="M354" s="114"/>
      <c r="N354" s="114"/>
    </row>
    <row r="355" spans="1:14" x14ac:dyDescent="0.35">
      <c r="A355" s="114"/>
      <c r="B355" s="114"/>
      <c r="C355" s="114"/>
      <c r="D355" s="131"/>
      <c r="E355" s="114"/>
      <c r="F355" s="114"/>
      <c r="G355" s="114"/>
      <c r="H355" s="114"/>
      <c r="I355" s="114"/>
      <c r="J355" s="114"/>
      <c r="K355" s="114"/>
      <c r="L355" s="114"/>
      <c r="M355" s="114"/>
      <c r="N355" s="114"/>
    </row>
    <row r="356" spans="1:14" x14ac:dyDescent="0.35">
      <c r="A356" s="114"/>
      <c r="B356" s="114"/>
      <c r="C356" s="114"/>
      <c r="D356" s="131"/>
      <c r="E356" s="114"/>
      <c r="F356" s="114"/>
      <c r="G356" s="114"/>
      <c r="H356" s="114"/>
      <c r="I356" s="114"/>
      <c r="J356" s="114"/>
      <c r="K356" s="114"/>
      <c r="L356" s="114"/>
      <c r="M356" s="114"/>
      <c r="N356" s="114"/>
    </row>
    <row r="357" spans="1:14" x14ac:dyDescent="0.35">
      <c r="A357" s="114"/>
      <c r="B357" s="114"/>
      <c r="C357" s="114"/>
      <c r="D357" s="131"/>
      <c r="E357" s="114"/>
      <c r="F357" s="114"/>
      <c r="G357" s="114"/>
      <c r="H357" s="114"/>
      <c r="I357" s="114"/>
      <c r="J357" s="114"/>
      <c r="K357" s="114"/>
      <c r="L357" s="114"/>
      <c r="M357" s="114"/>
      <c r="N357" s="114"/>
    </row>
    <row r="358" spans="1:14" x14ac:dyDescent="0.35">
      <c r="A358" s="114"/>
      <c r="B358" s="114"/>
      <c r="C358" s="114"/>
      <c r="D358" s="131"/>
      <c r="E358" s="114"/>
      <c r="F358" s="114"/>
      <c r="G358" s="114"/>
      <c r="H358" s="114"/>
      <c r="I358" s="114"/>
      <c r="J358" s="114"/>
      <c r="K358" s="114"/>
      <c r="L358" s="114"/>
      <c r="M358" s="114"/>
      <c r="N358" s="114"/>
    </row>
    <row r="359" spans="1:14" x14ac:dyDescent="0.35">
      <c r="A359" s="114"/>
      <c r="B359" s="114"/>
      <c r="C359" s="114"/>
      <c r="D359" s="131"/>
      <c r="E359" s="114"/>
      <c r="F359" s="114"/>
      <c r="G359" s="114"/>
      <c r="H359" s="114"/>
      <c r="I359" s="114"/>
      <c r="J359" s="114"/>
      <c r="K359" s="114"/>
      <c r="L359" s="114"/>
      <c r="M359" s="114"/>
      <c r="N359" s="114"/>
    </row>
    <row r="360" spans="1:14" x14ac:dyDescent="0.35">
      <c r="A360" s="114"/>
      <c r="B360" s="114"/>
      <c r="C360" s="114"/>
      <c r="D360" s="131"/>
      <c r="E360" s="114"/>
      <c r="F360" s="114"/>
      <c r="G360" s="114"/>
      <c r="H360" s="114"/>
      <c r="I360" s="114"/>
      <c r="J360" s="114"/>
      <c r="K360" s="114"/>
      <c r="L360" s="114"/>
      <c r="M360" s="114"/>
      <c r="N360" s="114"/>
    </row>
    <row r="361" spans="1:14" x14ac:dyDescent="0.35">
      <c r="A361" s="114"/>
      <c r="B361" s="114"/>
      <c r="C361" s="114"/>
      <c r="D361" s="131"/>
      <c r="E361" s="114"/>
      <c r="F361" s="114"/>
      <c r="G361" s="114"/>
      <c r="H361" s="114"/>
      <c r="I361" s="114"/>
      <c r="J361" s="114"/>
      <c r="K361" s="114"/>
      <c r="L361" s="114"/>
      <c r="M361" s="114"/>
      <c r="N361" s="114"/>
    </row>
    <row r="362" spans="1:14" x14ac:dyDescent="0.35">
      <c r="A362" s="114"/>
      <c r="B362" s="114"/>
      <c r="C362" s="114"/>
      <c r="D362" s="131"/>
      <c r="E362" s="114"/>
      <c r="F362" s="114"/>
      <c r="G362" s="114"/>
      <c r="H362" s="114"/>
      <c r="I362" s="114"/>
      <c r="J362" s="114"/>
      <c r="K362" s="114"/>
      <c r="L362" s="114"/>
      <c r="M362" s="114"/>
      <c r="N362" s="114"/>
    </row>
    <row r="363" spans="1:14" x14ac:dyDescent="0.35">
      <c r="A363" s="114"/>
      <c r="B363" s="114"/>
      <c r="C363" s="114"/>
      <c r="D363" s="131"/>
      <c r="E363" s="114"/>
      <c r="F363" s="114"/>
      <c r="G363" s="114"/>
      <c r="H363" s="114"/>
      <c r="I363" s="114"/>
      <c r="J363" s="114"/>
      <c r="K363" s="114"/>
      <c r="L363" s="114"/>
      <c r="M363" s="114"/>
      <c r="N363" s="114"/>
    </row>
    <row r="364" spans="1:14" x14ac:dyDescent="0.35">
      <c r="A364" s="114"/>
      <c r="B364" s="114"/>
      <c r="C364" s="114"/>
      <c r="D364" s="131"/>
      <c r="E364" s="114"/>
      <c r="F364" s="114"/>
      <c r="G364" s="114"/>
      <c r="H364" s="114"/>
      <c r="I364" s="114"/>
      <c r="J364" s="114"/>
      <c r="K364" s="114"/>
      <c r="L364" s="114"/>
      <c r="M364" s="114"/>
      <c r="N364" s="114"/>
    </row>
    <row r="365" spans="1:14" x14ac:dyDescent="0.35">
      <c r="A365" s="114"/>
      <c r="B365" s="114"/>
      <c r="C365" s="114"/>
      <c r="D365" s="131"/>
      <c r="E365" s="114"/>
      <c r="F365" s="114"/>
      <c r="G365" s="114"/>
      <c r="H365" s="114"/>
      <c r="I365" s="114"/>
      <c r="J365" s="114"/>
      <c r="K365" s="114"/>
      <c r="L365" s="114"/>
      <c r="M365" s="114"/>
      <c r="N365" s="114"/>
    </row>
    <row r="366" spans="1:14" x14ac:dyDescent="0.35">
      <c r="A366" s="114"/>
      <c r="B366" s="114"/>
      <c r="C366" s="114"/>
      <c r="D366" s="131"/>
      <c r="E366" s="114"/>
      <c r="F366" s="114"/>
      <c r="G366" s="114"/>
      <c r="H366" s="114"/>
      <c r="I366" s="114"/>
      <c r="J366" s="114"/>
      <c r="K366" s="114"/>
      <c r="L366" s="114"/>
      <c r="M366" s="114"/>
      <c r="N366" s="114"/>
    </row>
    <row r="367" spans="1:14" x14ac:dyDescent="0.35">
      <c r="A367" s="114"/>
      <c r="B367" s="114"/>
      <c r="C367" s="114"/>
      <c r="D367" s="131"/>
      <c r="E367" s="114"/>
      <c r="F367" s="114"/>
      <c r="G367" s="114"/>
      <c r="H367" s="114"/>
      <c r="I367" s="114"/>
      <c r="J367" s="114"/>
      <c r="K367" s="114"/>
      <c r="L367" s="114"/>
      <c r="M367" s="114"/>
      <c r="N367" s="114"/>
    </row>
    <row r="368" spans="1:14" x14ac:dyDescent="0.35">
      <c r="A368" s="114"/>
      <c r="B368" s="114"/>
      <c r="C368" s="114"/>
      <c r="D368" s="131"/>
      <c r="E368" s="114"/>
      <c r="F368" s="114"/>
      <c r="G368" s="114"/>
      <c r="H368" s="114"/>
      <c r="I368" s="114"/>
      <c r="J368" s="114"/>
      <c r="K368" s="114"/>
      <c r="L368" s="114"/>
      <c r="M368" s="114"/>
      <c r="N368" s="114"/>
    </row>
    <row r="369" spans="1:14" x14ac:dyDescent="0.35">
      <c r="A369" s="114"/>
      <c r="B369" s="114"/>
      <c r="C369" s="114"/>
      <c r="D369" s="131"/>
      <c r="E369" s="114"/>
      <c r="F369" s="114"/>
      <c r="G369" s="114"/>
      <c r="H369" s="114"/>
      <c r="I369" s="114"/>
      <c r="J369" s="114"/>
      <c r="K369" s="114"/>
      <c r="L369" s="114"/>
      <c r="M369" s="114"/>
      <c r="N369" s="114"/>
    </row>
    <row r="370" spans="1:14" x14ac:dyDescent="0.35">
      <c r="A370" s="114"/>
      <c r="B370" s="114"/>
      <c r="C370" s="114"/>
      <c r="D370" s="131"/>
      <c r="E370" s="114"/>
      <c r="F370" s="114"/>
      <c r="G370" s="114"/>
      <c r="H370" s="114"/>
      <c r="I370" s="114"/>
      <c r="J370" s="114"/>
      <c r="K370" s="114"/>
      <c r="L370" s="114"/>
      <c r="M370" s="114"/>
      <c r="N370" s="114"/>
    </row>
    <row r="371" spans="1:14" x14ac:dyDescent="0.35">
      <c r="A371" s="114"/>
      <c r="B371" s="114"/>
      <c r="C371" s="114"/>
      <c r="D371" s="131"/>
      <c r="E371" s="114"/>
      <c r="F371" s="114"/>
      <c r="G371" s="114"/>
      <c r="H371" s="114"/>
      <c r="I371" s="114"/>
      <c r="J371" s="114"/>
      <c r="K371" s="114"/>
      <c r="L371" s="114"/>
      <c r="M371" s="114"/>
      <c r="N371" s="114"/>
    </row>
    <row r="372" spans="1:14" x14ac:dyDescent="0.35">
      <c r="A372" s="114"/>
      <c r="B372" s="114"/>
      <c r="C372" s="114"/>
      <c r="D372" s="131"/>
      <c r="E372" s="114"/>
      <c r="F372" s="114"/>
      <c r="G372" s="114"/>
      <c r="H372" s="114"/>
      <c r="I372" s="114"/>
      <c r="J372" s="114"/>
      <c r="K372" s="114"/>
      <c r="L372" s="114"/>
      <c r="M372" s="114"/>
      <c r="N372" s="114"/>
    </row>
    <row r="373" spans="1:14" x14ac:dyDescent="0.35">
      <c r="A373" s="114"/>
      <c r="B373" s="114"/>
      <c r="C373" s="114"/>
      <c r="D373" s="131"/>
      <c r="E373" s="114"/>
      <c r="F373" s="114"/>
      <c r="G373" s="114"/>
      <c r="H373" s="114"/>
      <c r="I373" s="114"/>
      <c r="J373" s="114"/>
      <c r="K373" s="114"/>
      <c r="L373" s="114"/>
      <c r="M373" s="114"/>
      <c r="N373" s="114"/>
    </row>
    <row r="374" spans="1:14" x14ac:dyDescent="0.35">
      <c r="A374" s="114"/>
      <c r="B374" s="114"/>
      <c r="C374" s="114"/>
      <c r="D374" s="131"/>
      <c r="E374" s="114"/>
      <c r="F374" s="114"/>
      <c r="G374" s="114"/>
      <c r="H374" s="114"/>
      <c r="I374" s="114"/>
      <c r="J374" s="114"/>
      <c r="K374" s="114"/>
      <c r="L374" s="114"/>
      <c r="M374" s="114"/>
      <c r="N374" s="114"/>
    </row>
    <row r="375" spans="1:14" x14ac:dyDescent="0.35">
      <c r="A375" s="114"/>
      <c r="B375" s="114"/>
      <c r="C375" s="114"/>
      <c r="D375" s="131"/>
      <c r="E375" s="114"/>
      <c r="F375" s="114"/>
      <c r="G375" s="114"/>
      <c r="H375" s="114"/>
      <c r="I375" s="114"/>
      <c r="J375" s="114"/>
      <c r="K375" s="114"/>
      <c r="L375" s="114"/>
      <c r="M375" s="114"/>
      <c r="N375" s="114"/>
    </row>
    <row r="376" spans="1:14" x14ac:dyDescent="0.35">
      <c r="A376" s="114"/>
      <c r="B376" s="114"/>
      <c r="C376" s="114"/>
      <c r="D376" s="131"/>
      <c r="E376" s="114"/>
      <c r="F376" s="114"/>
      <c r="G376" s="114"/>
      <c r="H376" s="114"/>
      <c r="I376" s="114"/>
      <c r="J376" s="114"/>
      <c r="K376" s="114"/>
      <c r="L376" s="114"/>
      <c r="M376" s="114"/>
      <c r="N376" s="114"/>
    </row>
    <row r="377" spans="1:14" x14ac:dyDescent="0.35">
      <c r="A377" s="114"/>
      <c r="B377" s="114"/>
      <c r="C377" s="114"/>
      <c r="D377" s="131"/>
      <c r="E377" s="114"/>
      <c r="F377" s="114"/>
      <c r="G377" s="114"/>
      <c r="H377" s="114"/>
      <c r="I377" s="114"/>
      <c r="J377" s="114"/>
      <c r="K377" s="114"/>
      <c r="L377" s="114"/>
      <c r="M377" s="114"/>
      <c r="N377" s="114"/>
    </row>
    <row r="378" spans="1:14" x14ac:dyDescent="0.35">
      <c r="A378" s="114"/>
      <c r="B378" s="114"/>
      <c r="C378" s="114"/>
      <c r="D378" s="131"/>
      <c r="E378" s="114"/>
      <c r="F378" s="114"/>
      <c r="G378" s="114"/>
      <c r="H378" s="114"/>
      <c r="I378" s="114"/>
      <c r="J378" s="114"/>
      <c r="K378" s="114"/>
      <c r="L378" s="114"/>
      <c r="M378" s="114"/>
      <c r="N378" s="114"/>
    </row>
    <row r="379" spans="1:14" x14ac:dyDescent="0.35">
      <c r="A379" s="114"/>
      <c r="B379" s="114"/>
      <c r="C379" s="114"/>
      <c r="D379" s="131"/>
      <c r="E379" s="114"/>
      <c r="F379" s="114"/>
      <c r="G379" s="114"/>
      <c r="H379" s="114"/>
      <c r="I379" s="114"/>
      <c r="J379" s="114"/>
      <c r="K379" s="114"/>
      <c r="L379" s="114"/>
      <c r="M379" s="114"/>
      <c r="N379" s="114"/>
    </row>
    <row r="380" spans="1:14" x14ac:dyDescent="0.35">
      <c r="A380" s="114"/>
      <c r="B380" s="114"/>
      <c r="C380" s="114"/>
      <c r="D380" s="131"/>
      <c r="E380" s="114"/>
      <c r="F380" s="114"/>
      <c r="G380" s="114"/>
      <c r="H380" s="114"/>
      <c r="I380" s="114"/>
      <c r="J380" s="114"/>
      <c r="K380" s="114"/>
      <c r="L380" s="114"/>
      <c r="M380" s="114"/>
      <c r="N380" s="114"/>
    </row>
    <row r="381" spans="1:14" x14ac:dyDescent="0.35">
      <c r="A381" s="114"/>
      <c r="B381" s="114"/>
      <c r="C381" s="114"/>
      <c r="D381" s="131"/>
      <c r="E381" s="114"/>
      <c r="F381" s="114"/>
      <c r="G381" s="114"/>
      <c r="H381" s="114"/>
      <c r="I381" s="114"/>
      <c r="J381" s="114"/>
      <c r="K381" s="114"/>
      <c r="L381" s="114"/>
      <c r="M381" s="114"/>
      <c r="N381" s="114"/>
    </row>
    <row r="382" spans="1:14" x14ac:dyDescent="0.35">
      <c r="A382" s="114"/>
      <c r="B382" s="114"/>
      <c r="C382" s="114"/>
      <c r="D382" s="131"/>
      <c r="E382" s="114"/>
      <c r="F382" s="114"/>
      <c r="G382" s="114"/>
      <c r="H382" s="114"/>
      <c r="I382" s="114"/>
      <c r="J382" s="114"/>
      <c r="K382" s="114"/>
      <c r="L382" s="114"/>
      <c r="M382" s="114"/>
      <c r="N382" s="114"/>
    </row>
    <row r="383" spans="1:14" x14ac:dyDescent="0.35">
      <c r="A383" s="114"/>
      <c r="B383" s="114"/>
      <c r="C383" s="114"/>
      <c r="D383" s="131"/>
      <c r="E383" s="114"/>
      <c r="F383" s="114"/>
      <c r="G383" s="114"/>
      <c r="H383" s="114"/>
      <c r="I383" s="114"/>
      <c r="J383" s="114"/>
      <c r="K383" s="114"/>
      <c r="L383" s="114"/>
      <c r="M383" s="114"/>
      <c r="N383" s="114"/>
    </row>
    <row r="384" spans="1:14" x14ac:dyDescent="0.35">
      <c r="A384" s="114"/>
      <c r="B384" s="114"/>
      <c r="C384" s="114"/>
      <c r="D384" s="131"/>
      <c r="E384" s="114"/>
      <c r="F384" s="114"/>
      <c r="G384" s="114"/>
      <c r="H384" s="114"/>
      <c r="I384" s="114"/>
      <c r="J384" s="114"/>
      <c r="K384" s="114"/>
      <c r="L384" s="114"/>
      <c r="M384" s="114"/>
      <c r="N384" s="114"/>
    </row>
    <row r="385" spans="1:14" x14ac:dyDescent="0.35">
      <c r="A385" s="114"/>
      <c r="B385" s="114"/>
      <c r="C385" s="114"/>
      <c r="D385" s="131"/>
      <c r="E385" s="114"/>
      <c r="F385" s="114"/>
      <c r="G385" s="114"/>
      <c r="H385" s="114"/>
      <c r="I385" s="114"/>
      <c r="J385" s="114"/>
      <c r="K385" s="114"/>
      <c r="L385" s="114"/>
      <c r="M385" s="114"/>
      <c r="N385" s="114"/>
    </row>
    <row r="386" spans="1:14" x14ac:dyDescent="0.35">
      <c r="A386" s="114"/>
      <c r="B386" s="114"/>
      <c r="C386" s="114"/>
      <c r="D386" s="131"/>
      <c r="E386" s="114"/>
      <c r="F386" s="114"/>
      <c r="G386" s="114"/>
      <c r="H386" s="114"/>
      <c r="I386" s="114"/>
      <c r="J386" s="114"/>
      <c r="K386" s="114"/>
      <c r="L386" s="114"/>
      <c r="M386" s="114"/>
      <c r="N386" s="114"/>
    </row>
    <row r="387" spans="1:14" x14ac:dyDescent="0.35">
      <c r="A387" s="114"/>
      <c r="B387" s="114"/>
      <c r="C387" s="114"/>
      <c r="D387" s="131"/>
      <c r="E387" s="114"/>
      <c r="F387" s="114"/>
      <c r="G387" s="114"/>
      <c r="H387" s="114"/>
      <c r="I387" s="114"/>
      <c r="J387" s="114"/>
      <c r="K387" s="114"/>
      <c r="L387" s="114"/>
      <c r="M387" s="114"/>
      <c r="N387" s="114"/>
    </row>
    <row r="388" spans="1:14" x14ac:dyDescent="0.35">
      <c r="A388" s="114"/>
      <c r="B388" s="114"/>
      <c r="C388" s="114"/>
      <c r="D388" s="131"/>
      <c r="E388" s="114"/>
      <c r="F388" s="114"/>
      <c r="G388" s="114"/>
      <c r="H388" s="114"/>
      <c r="I388" s="114"/>
      <c r="J388" s="114"/>
      <c r="K388" s="114"/>
      <c r="L388" s="114"/>
      <c r="M388" s="114"/>
      <c r="N388" s="114"/>
    </row>
    <row r="389" spans="1:14" x14ac:dyDescent="0.35">
      <c r="A389" s="114"/>
      <c r="B389" s="114"/>
      <c r="C389" s="114"/>
      <c r="D389" s="131"/>
      <c r="E389" s="114"/>
      <c r="F389" s="114"/>
      <c r="G389" s="114"/>
      <c r="H389" s="114"/>
      <c r="I389" s="114"/>
      <c r="J389" s="114"/>
      <c r="K389" s="114"/>
      <c r="L389" s="114"/>
      <c r="M389" s="114"/>
      <c r="N389" s="114"/>
    </row>
    <row r="390" spans="1:14" x14ac:dyDescent="0.35">
      <c r="A390" s="114"/>
      <c r="B390" s="114"/>
      <c r="C390" s="114"/>
      <c r="D390" s="131"/>
      <c r="E390" s="114"/>
      <c r="F390" s="114"/>
      <c r="G390" s="114"/>
      <c r="H390" s="114"/>
      <c r="I390" s="114"/>
      <c r="J390" s="114"/>
      <c r="K390" s="114"/>
      <c r="L390" s="114"/>
      <c r="M390" s="114"/>
      <c r="N390" s="114"/>
    </row>
    <row r="391" spans="1:14" x14ac:dyDescent="0.35">
      <c r="A391" s="114"/>
      <c r="B391" s="114"/>
      <c r="C391" s="114"/>
      <c r="D391" s="131"/>
      <c r="E391" s="114"/>
      <c r="F391" s="114"/>
      <c r="G391" s="114"/>
      <c r="H391" s="114"/>
      <c r="I391" s="114"/>
      <c r="J391" s="114"/>
      <c r="K391" s="114"/>
      <c r="L391" s="114"/>
      <c r="M391" s="114"/>
      <c r="N391" s="114"/>
    </row>
    <row r="392" spans="1:14" x14ac:dyDescent="0.35">
      <c r="A392" s="114"/>
      <c r="B392" s="114"/>
      <c r="C392" s="114"/>
      <c r="D392" s="131"/>
      <c r="E392" s="114"/>
      <c r="F392" s="114"/>
      <c r="G392" s="114"/>
      <c r="H392" s="114"/>
      <c r="I392" s="114"/>
      <c r="J392" s="114"/>
      <c r="K392" s="114"/>
      <c r="L392" s="114"/>
      <c r="M392" s="114"/>
      <c r="N392" s="114"/>
    </row>
    <row r="393" spans="1:14" x14ac:dyDescent="0.35">
      <c r="A393" s="114"/>
      <c r="B393" s="114"/>
      <c r="C393" s="114"/>
      <c r="D393" s="131"/>
      <c r="E393" s="114"/>
      <c r="F393" s="114"/>
      <c r="G393" s="114"/>
      <c r="H393" s="114"/>
      <c r="I393" s="114"/>
      <c r="J393" s="114"/>
      <c r="K393" s="114"/>
      <c r="L393" s="114"/>
      <c r="M393" s="114"/>
      <c r="N393" s="114"/>
    </row>
    <row r="394" spans="1:14" x14ac:dyDescent="0.35">
      <c r="A394" s="114"/>
      <c r="B394" s="114"/>
      <c r="C394" s="114"/>
      <c r="D394" s="131"/>
      <c r="E394" s="114"/>
      <c r="F394" s="114"/>
      <c r="G394" s="114"/>
      <c r="H394" s="114"/>
      <c r="I394" s="114"/>
      <c r="J394" s="114"/>
      <c r="K394" s="114"/>
      <c r="L394" s="114"/>
      <c r="M394" s="114"/>
      <c r="N394" s="114"/>
    </row>
    <row r="395" spans="1:14" x14ac:dyDescent="0.35">
      <c r="A395" s="114"/>
      <c r="B395" s="114"/>
      <c r="C395" s="114"/>
      <c r="D395" s="131"/>
      <c r="E395" s="114"/>
      <c r="F395" s="114"/>
      <c r="G395" s="114"/>
      <c r="H395" s="114"/>
      <c r="I395" s="114"/>
      <c r="J395" s="114"/>
      <c r="K395" s="114"/>
      <c r="L395" s="114"/>
      <c r="M395" s="114"/>
      <c r="N395" s="114"/>
    </row>
    <row r="396" spans="1:14" x14ac:dyDescent="0.35">
      <c r="A396" s="114"/>
      <c r="B396" s="114"/>
      <c r="C396" s="114"/>
      <c r="D396" s="131"/>
      <c r="E396" s="114"/>
      <c r="F396" s="114"/>
      <c r="G396" s="114"/>
      <c r="H396" s="114"/>
      <c r="I396" s="114"/>
      <c r="J396" s="114"/>
      <c r="K396" s="114"/>
      <c r="L396" s="114"/>
      <c r="M396" s="114"/>
      <c r="N396" s="114"/>
    </row>
    <row r="397" spans="1:14" x14ac:dyDescent="0.35">
      <c r="A397" s="114"/>
      <c r="B397" s="114"/>
      <c r="C397" s="114"/>
      <c r="D397" s="131"/>
      <c r="E397" s="114"/>
      <c r="F397" s="114"/>
      <c r="G397" s="114"/>
      <c r="H397" s="114"/>
      <c r="I397" s="114"/>
      <c r="J397" s="114"/>
      <c r="K397" s="114"/>
      <c r="L397" s="114"/>
      <c r="M397" s="114"/>
      <c r="N397" s="114"/>
    </row>
    <row r="398" spans="1:14" x14ac:dyDescent="0.35">
      <c r="A398" s="114"/>
      <c r="B398" s="114"/>
      <c r="C398" s="114"/>
      <c r="D398" s="131"/>
      <c r="E398" s="114"/>
      <c r="F398" s="114"/>
      <c r="G398" s="114"/>
      <c r="H398" s="114"/>
      <c r="I398" s="114"/>
      <c r="J398" s="114"/>
      <c r="K398" s="114"/>
      <c r="L398" s="114"/>
      <c r="M398" s="114"/>
      <c r="N398" s="114"/>
    </row>
    <row r="399" spans="1:14" x14ac:dyDescent="0.35">
      <c r="A399" s="114"/>
      <c r="B399" s="114"/>
      <c r="C399" s="114"/>
      <c r="D399" s="131"/>
      <c r="E399" s="114"/>
      <c r="F399" s="114"/>
      <c r="G399" s="114"/>
      <c r="H399" s="114"/>
      <c r="I399" s="114"/>
      <c r="J399" s="114"/>
      <c r="K399" s="114"/>
      <c r="L399" s="114"/>
      <c r="M399" s="114"/>
      <c r="N399" s="114"/>
    </row>
    <row r="400" spans="1:14" x14ac:dyDescent="0.35">
      <c r="A400" s="114"/>
      <c r="B400" s="114"/>
      <c r="C400" s="114"/>
      <c r="D400" s="131"/>
      <c r="E400" s="114"/>
      <c r="F400" s="114"/>
      <c r="G400" s="114"/>
      <c r="H400" s="114"/>
      <c r="I400" s="114"/>
      <c r="J400" s="114"/>
      <c r="K400" s="114"/>
      <c r="L400" s="114"/>
      <c r="M400" s="114"/>
      <c r="N400" s="114"/>
    </row>
    <row r="401" spans="1:14" x14ac:dyDescent="0.35">
      <c r="A401" s="114"/>
      <c r="B401" s="114"/>
      <c r="C401" s="114"/>
      <c r="D401" s="131"/>
      <c r="E401" s="114"/>
      <c r="F401" s="114"/>
      <c r="G401" s="114"/>
      <c r="H401" s="114"/>
      <c r="I401" s="114"/>
      <c r="J401" s="114"/>
      <c r="K401" s="114"/>
      <c r="L401" s="114"/>
      <c r="M401" s="114"/>
      <c r="N401" s="114"/>
    </row>
    <row r="402" spans="1:14" x14ac:dyDescent="0.35">
      <c r="A402" s="114"/>
      <c r="B402" s="114"/>
      <c r="C402" s="114"/>
      <c r="D402" s="131"/>
      <c r="E402" s="114"/>
      <c r="F402" s="114"/>
      <c r="G402" s="114"/>
      <c r="H402" s="114"/>
      <c r="I402" s="114"/>
      <c r="J402" s="114"/>
      <c r="K402" s="114"/>
      <c r="L402" s="114"/>
      <c r="M402" s="114"/>
      <c r="N402" s="114"/>
    </row>
    <row r="403" spans="1:14" x14ac:dyDescent="0.35">
      <c r="A403" s="114"/>
      <c r="B403" s="114"/>
      <c r="C403" s="114"/>
      <c r="D403" s="131"/>
      <c r="E403" s="114"/>
      <c r="F403" s="114"/>
      <c r="G403" s="114"/>
      <c r="H403" s="114"/>
      <c r="I403" s="114"/>
      <c r="J403" s="114"/>
      <c r="K403" s="114"/>
      <c r="L403" s="114"/>
      <c r="M403" s="114"/>
      <c r="N403" s="114"/>
    </row>
    <row r="404" spans="1:14" x14ac:dyDescent="0.35">
      <c r="A404" s="114"/>
      <c r="B404" s="114"/>
      <c r="C404" s="114"/>
      <c r="D404" s="131"/>
      <c r="E404" s="114"/>
      <c r="F404" s="114"/>
      <c r="G404" s="114"/>
      <c r="H404" s="114"/>
      <c r="I404" s="114"/>
      <c r="J404" s="114"/>
      <c r="K404" s="114"/>
      <c r="L404" s="114"/>
      <c r="M404" s="114"/>
      <c r="N404" s="114"/>
    </row>
    <row r="405" spans="1:14" x14ac:dyDescent="0.35">
      <c r="A405" s="114"/>
      <c r="B405" s="114"/>
      <c r="C405" s="114"/>
      <c r="D405" s="131"/>
      <c r="E405" s="114"/>
      <c r="F405" s="114"/>
      <c r="G405" s="114"/>
      <c r="H405" s="114"/>
      <c r="I405" s="114"/>
      <c r="J405" s="114"/>
      <c r="K405" s="114"/>
      <c r="L405" s="114"/>
      <c r="M405" s="114"/>
      <c r="N405" s="114"/>
    </row>
    <row r="406" spans="1:14" x14ac:dyDescent="0.35">
      <c r="A406" s="114"/>
      <c r="B406" s="114"/>
      <c r="C406" s="114"/>
      <c r="D406" s="131"/>
      <c r="E406" s="114"/>
      <c r="F406" s="114"/>
      <c r="G406" s="114"/>
      <c r="H406" s="114"/>
      <c r="I406" s="114"/>
      <c r="J406" s="114"/>
      <c r="K406" s="114"/>
      <c r="L406" s="114"/>
      <c r="M406" s="114"/>
      <c r="N406" s="114"/>
    </row>
    <row r="407" spans="1:14" x14ac:dyDescent="0.35">
      <c r="A407" s="114"/>
      <c r="B407" s="114"/>
      <c r="C407" s="114"/>
      <c r="D407" s="131"/>
      <c r="E407" s="114"/>
      <c r="F407" s="114"/>
      <c r="G407" s="114"/>
      <c r="H407" s="114"/>
      <c r="I407" s="114"/>
      <c r="J407" s="114"/>
      <c r="K407" s="114"/>
      <c r="L407" s="114"/>
      <c r="M407" s="114"/>
      <c r="N407" s="114"/>
    </row>
    <row r="408" spans="1:14" x14ac:dyDescent="0.35">
      <c r="A408" s="114"/>
      <c r="B408" s="114"/>
      <c r="C408" s="114"/>
      <c r="D408" s="131"/>
      <c r="E408" s="114"/>
      <c r="F408" s="114"/>
      <c r="G408" s="114"/>
      <c r="H408" s="114"/>
      <c r="I408" s="114"/>
      <c r="J408" s="114"/>
      <c r="K408" s="114"/>
      <c r="L408" s="114"/>
      <c r="M408" s="114"/>
      <c r="N408" s="114"/>
    </row>
    <row r="409" spans="1:14" x14ac:dyDescent="0.35">
      <c r="A409" s="114"/>
      <c r="B409" s="114"/>
      <c r="C409" s="114"/>
      <c r="D409" s="131"/>
      <c r="E409" s="114"/>
      <c r="F409" s="114"/>
      <c r="G409" s="114"/>
      <c r="H409" s="114"/>
      <c r="I409" s="114"/>
      <c r="J409" s="114"/>
      <c r="K409" s="114"/>
      <c r="L409" s="114"/>
      <c r="M409" s="114"/>
      <c r="N409" s="114"/>
    </row>
    <row r="410" spans="1:14" x14ac:dyDescent="0.35">
      <c r="A410" s="114"/>
      <c r="B410" s="114"/>
      <c r="C410" s="114"/>
      <c r="D410" s="131"/>
      <c r="E410" s="114"/>
      <c r="F410" s="114"/>
      <c r="G410" s="114"/>
      <c r="H410" s="114"/>
      <c r="I410" s="114"/>
      <c r="J410" s="114"/>
      <c r="K410" s="114"/>
      <c r="L410" s="114"/>
      <c r="M410" s="114"/>
      <c r="N410" s="114"/>
    </row>
    <row r="411" spans="1:14" x14ac:dyDescent="0.35">
      <c r="A411" s="114"/>
      <c r="B411" s="114"/>
      <c r="C411" s="114"/>
      <c r="D411" s="131"/>
      <c r="E411" s="114"/>
      <c r="F411" s="114"/>
      <c r="G411" s="114"/>
      <c r="H411" s="114"/>
      <c r="I411" s="114"/>
      <c r="J411" s="114"/>
      <c r="K411" s="114"/>
      <c r="L411" s="114"/>
      <c r="M411" s="114"/>
      <c r="N411" s="114"/>
    </row>
    <row r="412" spans="1:14" x14ac:dyDescent="0.35">
      <c r="A412" s="114"/>
      <c r="B412" s="114"/>
      <c r="C412" s="114"/>
      <c r="D412" s="131"/>
      <c r="E412" s="114"/>
      <c r="F412" s="114"/>
      <c r="G412" s="114"/>
      <c r="H412" s="114"/>
      <c r="I412" s="114"/>
      <c r="J412" s="114"/>
      <c r="K412" s="114"/>
      <c r="L412" s="114"/>
      <c r="M412" s="114"/>
      <c r="N412" s="114"/>
    </row>
    <row r="413" spans="1:14" x14ac:dyDescent="0.35">
      <c r="A413" s="114"/>
      <c r="B413" s="114"/>
      <c r="C413" s="114"/>
      <c r="D413" s="131"/>
      <c r="E413" s="114"/>
      <c r="F413" s="114"/>
      <c r="G413" s="114"/>
      <c r="H413" s="114"/>
      <c r="I413" s="114"/>
      <c r="J413" s="114"/>
      <c r="K413" s="114"/>
      <c r="L413" s="114"/>
      <c r="M413" s="114"/>
      <c r="N413" s="114"/>
    </row>
    <row r="414" spans="1:14" x14ac:dyDescent="0.35">
      <c r="A414" s="114"/>
      <c r="B414" s="114"/>
      <c r="C414" s="114"/>
      <c r="D414" s="131"/>
      <c r="E414" s="114"/>
      <c r="F414" s="114"/>
      <c r="G414" s="114"/>
      <c r="H414" s="114"/>
      <c r="I414" s="114"/>
      <c r="J414" s="114"/>
      <c r="K414" s="114"/>
      <c r="L414" s="114"/>
      <c r="M414" s="114"/>
      <c r="N414" s="114"/>
    </row>
    <row r="415" spans="1:14" x14ac:dyDescent="0.35">
      <c r="A415" s="114"/>
      <c r="B415" s="114"/>
      <c r="C415" s="114"/>
      <c r="D415" s="131"/>
      <c r="E415" s="114"/>
      <c r="F415" s="114"/>
      <c r="G415" s="114"/>
      <c r="H415" s="114"/>
      <c r="I415" s="114"/>
      <c r="J415" s="114"/>
      <c r="K415" s="114"/>
      <c r="L415" s="114"/>
      <c r="M415" s="114"/>
      <c r="N415" s="114"/>
    </row>
    <row r="416" spans="1:14" x14ac:dyDescent="0.35">
      <c r="A416" s="114"/>
      <c r="B416" s="114"/>
      <c r="C416" s="114"/>
      <c r="D416" s="131"/>
      <c r="E416" s="114"/>
      <c r="F416" s="114"/>
      <c r="G416" s="114"/>
      <c r="H416" s="114"/>
      <c r="I416" s="114"/>
      <c r="J416" s="114"/>
      <c r="K416" s="114"/>
      <c r="L416" s="114"/>
      <c r="M416" s="114"/>
      <c r="N416" s="114"/>
    </row>
    <row r="417" spans="1:14" x14ac:dyDescent="0.35">
      <c r="A417" s="114"/>
      <c r="B417" s="114"/>
      <c r="C417" s="114"/>
      <c r="D417" s="131"/>
      <c r="E417" s="114"/>
      <c r="F417" s="114"/>
      <c r="G417" s="114"/>
      <c r="H417" s="114"/>
      <c r="I417" s="114"/>
      <c r="J417" s="114"/>
      <c r="K417" s="114"/>
      <c r="L417" s="114"/>
      <c r="M417" s="114"/>
      <c r="N417" s="114"/>
    </row>
    <row r="418" spans="1:14" x14ac:dyDescent="0.35">
      <c r="A418" s="114"/>
      <c r="B418" s="114"/>
      <c r="C418" s="114"/>
      <c r="D418" s="131"/>
      <c r="E418" s="114"/>
      <c r="F418" s="114"/>
      <c r="G418" s="114"/>
      <c r="H418" s="114"/>
      <c r="I418" s="114"/>
      <c r="J418" s="114"/>
      <c r="K418" s="114"/>
      <c r="L418" s="114"/>
      <c r="M418" s="114"/>
      <c r="N418" s="114"/>
    </row>
    <row r="419" spans="1:14" x14ac:dyDescent="0.35">
      <c r="A419" s="114"/>
      <c r="B419" s="114"/>
      <c r="C419" s="114"/>
      <c r="D419" s="131"/>
      <c r="E419" s="114"/>
      <c r="F419" s="114"/>
      <c r="G419" s="114"/>
      <c r="H419" s="114"/>
      <c r="I419" s="114"/>
      <c r="J419" s="114"/>
      <c r="K419" s="114"/>
      <c r="L419" s="114"/>
      <c r="M419" s="114"/>
      <c r="N419" s="114"/>
    </row>
    <row r="420" spans="1:14" x14ac:dyDescent="0.35">
      <c r="A420" s="114"/>
      <c r="B420" s="114"/>
      <c r="C420" s="114"/>
      <c r="D420" s="131"/>
      <c r="E420" s="114"/>
      <c r="F420" s="114"/>
      <c r="G420" s="114"/>
      <c r="H420" s="114"/>
      <c r="I420" s="114"/>
      <c r="J420" s="114"/>
      <c r="K420" s="114"/>
      <c r="L420" s="114"/>
      <c r="M420" s="114"/>
      <c r="N420" s="114"/>
    </row>
    <row r="421" spans="1:14" x14ac:dyDescent="0.35">
      <c r="A421" s="114"/>
      <c r="B421" s="114"/>
      <c r="C421" s="114"/>
      <c r="D421" s="131"/>
      <c r="E421" s="114"/>
      <c r="F421" s="114"/>
      <c r="G421" s="114"/>
      <c r="H421" s="114"/>
      <c r="I421" s="114"/>
      <c r="J421" s="114"/>
      <c r="K421" s="114"/>
      <c r="L421" s="114"/>
      <c r="M421" s="114"/>
      <c r="N421" s="114"/>
    </row>
    <row r="422" spans="1:14" x14ac:dyDescent="0.35">
      <c r="A422" s="114"/>
      <c r="B422" s="114"/>
      <c r="C422" s="114"/>
      <c r="D422" s="131"/>
      <c r="E422" s="114"/>
      <c r="F422" s="114"/>
      <c r="G422" s="114"/>
      <c r="H422" s="114"/>
      <c r="I422" s="114"/>
      <c r="J422" s="114"/>
      <c r="K422" s="114"/>
      <c r="L422" s="114"/>
      <c r="M422" s="114"/>
      <c r="N422" s="114"/>
    </row>
    <row r="423" spans="1:14" x14ac:dyDescent="0.35">
      <c r="A423" s="114"/>
      <c r="B423" s="114"/>
      <c r="C423" s="114"/>
      <c r="D423" s="131"/>
      <c r="E423" s="114"/>
      <c r="F423" s="114"/>
      <c r="G423" s="114"/>
      <c r="H423" s="114"/>
      <c r="I423" s="114"/>
      <c r="J423" s="114"/>
      <c r="K423" s="114"/>
      <c r="L423" s="114"/>
      <c r="M423" s="114"/>
      <c r="N423" s="114"/>
    </row>
    <row r="424" spans="1:14" x14ac:dyDescent="0.35">
      <c r="A424" s="114"/>
      <c r="B424" s="114"/>
      <c r="C424" s="114"/>
      <c r="D424" s="131"/>
      <c r="E424" s="114"/>
      <c r="F424" s="114"/>
      <c r="G424" s="114"/>
      <c r="H424" s="114"/>
      <c r="I424" s="114"/>
      <c r="J424" s="114"/>
      <c r="K424" s="114"/>
      <c r="L424" s="114"/>
      <c r="M424" s="114"/>
      <c r="N424" s="114"/>
    </row>
  </sheetData>
  <mergeCells count="13">
    <mergeCell ref="A48:N49"/>
    <mergeCell ref="A50:N50"/>
    <mergeCell ref="P20:Q20"/>
    <mergeCell ref="A32:N33"/>
    <mergeCell ref="A34:E34"/>
    <mergeCell ref="A43:N44"/>
    <mergeCell ref="G35:I35"/>
    <mergeCell ref="A2:N3"/>
    <mergeCell ref="A4:N4"/>
    <mergeCell ref="A10:M10"/>
    <mergeCell ref="A15:N16"/>
    <mergeCell ref="A17:B17"/>
    <mergeCell ref="D17:E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1089-122B-478F-8DBE-0F8117DBCC9E}">
  <sheetPr>
    <tabColor rgb="FFFFFF00"/>
  </sheetPr>
  <dimension ref="A1"/>
  <sheetViews>
    <sheetView topLeftCell="B46" zoomScaleNormal="100" workbookViewId="0">
      <selection activeCell="Y104" sqref="Y104"/>
    </sheetView>
  </sheetViews>
  <sheetFormatPr defaultColWidth="9.1796875" defaultRowHeight="14.5" x14ac:dyDescent="0.35"/>
  <cols>
    <col min="1" max="16384" width="9.1796875" style="167"/>
  </cols>
  <sheetData/>
  <pageMargins left="0.7" right="0.7" top="0.75" bottom="0.75" header="0.3" footer="0.3"/>
  <drawing r:id="rId1"/>
</worksheet>
</file>

<file path=docMetadata/LabelInfo.xml><?xml version="1.0" encoding="utf-8"?>
<clbl:labelList xmlns:clbl="http://schemas.microsoft.com/office/2020/mipLabelMetadata">
  <clbl:label id="{4447dd6a-a4a1-440b-a6a3-9124ef1ee017}" enabled="1" method="Privileged" siteId="{7a18110d-ef9b-4274-acef-e62ab0fe28e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HoldHistory</vt:lpstr>
      <vt:lpstr>HoldSummary</vt:lpstr>
      <vt:lpstr>AllTasks</vt:lpstr>
      <vt:lpstr>AllTasksPivot</vt:lpstr>
      <vt:lpstr>AllTasksTAT</vt:lpstr>
      <vt:lpstr>ReturnsData</vt:lpstr>
      <vt:lpstr>ReturnsPivot</vt:lpstr>
      <vt:lpstr>Programs</vt:lpstr>
      <vt:lpstr>OTD</vt:lpstr>
      <vt:lpstr>PerformaceCenter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Ferdin (USA)</dc:creator>
  <cp:lastModifiedBy>Mustafa, Ferdin (USA)</cp:lastModifiedBy>
  <dcterms:created xsi:type="dcterms:W3CDTF">2015-06-05T18:17:20Z</dcterms:created>
  <dcterms:modified xsi:type="dcterms:W3CDTF">2025-08-05T20:04:06Z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e649b479-a61f-453d-9ef5-c808bb9828b5</vt:lpwstr>
  </property>
</Properties>
</file>