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irmac/Downloads/"/>
    </mc:Choice>
  </mc:AlternateContent>
  <xr:revisionPtr revIDLastSave="0" documentId="8_{20978A0C-CDDA-2748-8E28-07639A6C502A}" xr6:coauthVersionLast="47" xr6:coauthVersionMax="47" xr10:uidLastSave="{00000000-0000-0000-0000-000000000000}"/>
  <bookViews>
    <workbookView xWindow="0" yWindow="500" windowWidth="15180" windowHeight="17500" activeTab="2" xr2:uid="{00000000-000D-0000-FFFF-FFFF00000000}"/>
  </bookViews>
  <sheets>
    <sheet name="Glossary" sheetId="1" r:id="rId1"/>
    <sheet name="Summary" sheetId="2" r:id="rId2"/>
    <sheet name="Financial statements" sheetId="3" r:id="rId3"/>
    <sheet name="Forecast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A1m1swvEyfpnC8vmDjuLIjsl2hA=="/>
    </ext>
  </extLst>
</workbook>
</file>

<file path=xl/calcChain.xml><?xml version="1.0" encoding="utf-8"?>
<calcChain xmlns="http://schemas.openxmlformats.org/spreadsheetml/2006/main">
  <c r="E24" i="4" l="1"/>
  <c r="E23" i="4"/>
  <c r="E22" i="4"/>
  <c r="E21" i="4"/>
  <c r="E27" i="4" s="1"/>
  <c r="D24" i="4"/>
  <c r="D30" i="4" s="1"/>
  <c r="D23" i="4"/>
  <c r="D22" i="4"/>
  <c r="D21" i="4"/>
  <c r="C24" i="4"/>
  <c r="C30" i="4" s="1"/>
  <c r="C23" i="4"/>
  <c r="C22" i="4"/>
  <c r="C28" i="4" s="1"/>
  <c r="C21" i="4"/>
  <c r="F12" i="4"/>
  <c r="F13" i="4"/>
  <c r="F14" i="4"/>
  <c r="F11" i="4"/>
  <c r="G6" i="3"/>
  <c r="E7" i="4"/>
  <c r="E13" i="4" s="1"/>
  <c r="E6" i="4"/>
  <c r="E8" i="4" s="1"/>
  <c r="D15" i="2" s="1"/>
  <c r="D43" i="2" s="1"/>
  <c r="E5" i="4"/>
  <c r="E11" i="4" s="1"/>
  <c r="D7" i="4"/>
  <c r="D6" i="4"/>
  <c r="D5" i="4"/>
  <c r="D11" i="4" s="1"/>
  <c r="C7" i="4"/>
  <c r="C6" i="4"/>
  <c r="C5" i="4"/>
  <c r="C12" i="4"/>
  <c r="C91" i="3"/>
  <c r="C89" i="3"/>
  <c r="C88" i="3"/>
  <c r="C79" i="3"/>
  <c r="C69" i="3"/>
  <c r="C40" i="3"/>
  <c r="C26" i="3"/>
  <c r="C58" i="4"/>
  <c r="K56" i="4"/>
  <c r="J56" i="4"/>
  <c r="I56" i="4"/>
  <c r="H56" i="4"/>
  <c r="G56" i="4"/>
  <c r="K55" i="4"/>
  <c r="J55" i="4"/>
  <c r="I55" i="4"/>
  <c r="H55" i="4"/>
  <c r="G55" i="4"/>
  <c r="D53" i="4"/>
  <c r="E53" i="4" s="1"/>
  <c r="B48" i="4"/>
  <c r="K45" i="4"/>
  <c r="J45" i="4"/>
  <c r="I45" i="4"/>
  <c r="H45" i="4"/>
  <c r="B45" i="4"/>
  <c r="B42" i="4"/>
  <c r="E39" i="4"/>
  <c r="D21" i="2" s="1"/>
  <c r="D39" i="4"/>
  <c r="C39" i="4"/>
  <c r="C38" i="4"/>
  <c r="E37" i="4"/>
  <c r="D19" i="2" s="1"/>
  <c r="D37" i="4"/>
  <c r="D42" i="4" s="1"/>
  <c r="C37" i="4"/>
  <c r="C42" i="4" s="1"/>
  <c r="D35" i="4"/>
  <c r="E35" i="4" s="1"/>
  <c r="E30" i="4"/>
  <c r="B30" i="4"/>
  <c r="E29" i="4"/>
  <c r="D29" i="4"/>
  <c r="C29" i="4"/>
  <c r="B29" i="4"/>
  <c r="E28" i="4"/>
  <c r="B28" i="4"/>
  <c r="D27" i="4"/>
  <c r="C27" i="4"/>
  <c r="B27" i="4"/>
  <c r="E20" i="4"/>
  <c r="C20" i="4"/>
  <c r="D19" i="4"/>
  <c r="E19" i="4" s="1"/>
  <c r="G13" i="4"/>
  <c r="H13" i="4" s="1"/>
  <c r="D13" i="4"/>
  <c r="C13" i="4"/>
  <c r="B13" i="4"/>
  <c r="G12" i="4"/>
  <c r="D12" i="4"/>
  <c r="B12" i="4"/>
  <c r="G11" i="4"/>
  <c r="G5" i="4" s="1"/>
  <c r="C11" i="4"/>
  <c r="B11" i="4"/>
  <c r="D8" i="4"/>
  <c r="D14" i="4" s="1"/>
  <c r="D4" i="4"/>
  <c r="E4" i="4" s="1"/>
  <c r="E93" i="3"/>
  <c r="D93" i="3"/>
  <c r="C93" i="3"/>
  <c r="C101" i="3" s="1"/>
  <c r="D91" i="3"/>
  <c r="D83" i="3" s="1"/>
  <c r="E89" i="3"/>
  <c r="D89" i="3"/>
  <c r="E88" i="3"/>
  <c r="E83" i="3" s="1"/>
  <c r="E101" i="3" s="1"/>
  <c r="D88" i="3"/>
  <c r="C83" i="3"/>
  <c r="E79" i="3"/>
  <c r="D79" i="3"/>
  <c r="E77" i="3"/>
  <c r="E58" i="4" s="1"/>
  <c r="G58" i="4" s="1"/>
  <c r="H58" i="4" s="1"/>
  <c r="D77" i="3"/>
  <c r="D58" i="4" s="1"/>
  <c r="E71" i="3"/>
  <c r="D71" i="3"/>
  <c r="C71" i="3"/>
  <c r="E69" i="3"/>
  <c r="E64" i="3" s="1"/>
  <c r="E81" i="3" s="1"/>
  <c r="D69" i="3"/>
  <c r="D64" i="3" s="1"/>
  <c r="C64" i="3"/>
  <c r="E58" i="3"/>
  <c r="D58" i="3"/>
  <c r="C58" i="3"/>
  <c r="K56" i="3"/>
  <c r="J56" i="3"/>
  <c r="I56" i="3"/>
  <c r="H56" i="3"/>
  <c r="G56" i="3"/>
  <c r="F56" i="3"/>
  <c r="C56" i="3"/>
  <c r="E55" i="3"/>
  <c r="G49" i="3"/>
  <c r="C43" i="3"/>
  <c r="D40" i="3"/>
  <c r="D38" i="4" s="1"/>
  <c r="K35" i="3"/>
  <c r="J35" i="3"/>
  <c r="J34" i="3" s="1"/>
  <c r="I35" i="3"/>
  <c r="H35" i="3"/>
  <c r="H34" i="3" s="1"/>
  <c r="G35" i="3"/>
  <c r="K34" i="3"/>
  <c r="I34" i="3"/>
  <c r="G34" i="3"/>
  <c r="E34" i="3"/>
  <c r="D34" i="3"/>
  <c r="C34" i="3"/>
  <c r="D33" i="3"/>
  <c r="D38" i="3" s="1"/>
  <c r="K26" i="3"/>
  <c r="J26" i="3"/>
  <c r="I26" i="3"/>
  <c r="H26" i="3"/>
  <c r="G26" i="3"/>
  <c r="E26" i="3"/>
  <c r="E33" i="3" s="1"/>
  <c r="E38" i="3" s="1"/>
  <c r="D26" i="3"/>
  <c r="C33" i="3"/>
  <c r="C38" i="3" s="1"/>
  <c r="K19" i="3"/>
  <c r="J19" i="3"/>
  <c r="I19" i="3"/>
  <c r="H19" i="3"/>
  <c r="G19" i="3"/>
  <c r="E19" i="3"/>
  <c r="E14" i="3" s="1"/>
  <c r="D19" i="3"/>
  <c r="C19" i="3"/>
  <c r="C14" i="3" s="1"/>
  <c r="C17" i="3" s="1"/>
  <c r="E16" i="3"/>
  <c r="E17" i="3" s="1"/>
  <c r="D16" i="3"/>
  <c r="C16" i="3"/>
  <c r="D14" i="3"/>
  <c r="D17" i="3" s="1"/>
  <c r="E12" i="3"/>
  <c r="D12" i="3"/>
  <c r="C12" i="3"/>
  <c r="E10" i="3"/>
  <c r="D10" i="3"/>
  <c r="C10" i="3"/>
  <c r="F10" i="3" s="1"/>
  <c r="E7" i="3"/>
  <c r="D7" i="3"/>
  <c r="F7" i="3" s="1"/>
  <c r="D4" i="3"/>
  <c r="D56" i="3" s="1"/>
  <c r="H3" i="3"/>
  <c r="G3" i="3"/>
  <c r="G3" i="4" s="1"/>
  <c r="E3" i="3"/>
  <c r="D3" i="3" s="1"/>
  <c r="G44" i="2"/>
  <c r="H44" i="2" s="1"/>
  <c r="F44" i="2"/>
  <c r="E41" i="2"/>
  <c r="F40" i="2"/>
  <c r="G40" i="2" s="1"/>
  <c r="G36" i="2"/>
  <c r="H36" i="2" s="1"/>
  <c r="I36" i="2" s="1"/>
  <c r="F36" i="2"/>
  <c r="I26" i="2"/>
  <c r="I24" i="2" s="1"/>
  <c r="H26" i="2"/>
  <c r="G26" i="2"/>
  <c r="G24" i="2" s="1"/>
  <c r="F26" i="2"/>
  <c r="E26" i="2"/>
  <c r="D26" i="2"/>
  <c r="C26" i="2"/>
  <c r="I25" i="2"/>
  <c r="H25" i="2"/>
  <c r="H24" i="2" s="1"/>
  <c r="G25" i="2"/>
  <c r="F25" i="2"/>
  <c r="E25" i="2"/>
  <c r="D25" i="2"/>
  <c r="C25" i="2"/>
  <c r="E24" i="2"/>
  <c r="D24" i="2"/>
  <c r="C24" i="2"/>
  <c r="C21" i="2"/>
  <c r="C19" i="2"/>
  <c r="C13" i="2"/>
  <c r="D12" i="2"/>
  <c r="D13" i="2" s="1"/>
  <c r="C12" i="2"/>
  <c r="E10" i="2"/>
  <c r="D10" i="2"/>
  <c r="C10" i="2"/>
  <c r="C4" i="2"/>
  <c r="F27" i="4" l="1"/>
  <c r="G27" i="4" s="1"/>
  <c r="D20" i="4"/>
  <c r="D18" i="2" s="1"/>
  <c r="F30" i="4"/>
  <c r="G30" i="4" s="1"/>
  <c r="H30" i="4" s="1"/>
  <c r="F29" i="4"/>
  <c r="G29" i="4" s="1"/>
  <c r="H29" i="4" s="1"/>
  <c r="D28" i="4"/>
  <c r="F28" i="4" s="1"/>
  <c r="G28" i="4" s="1"/>
  <c r="H28" i="4" s="1"/>
  <c r="C18" i="2"/>
  <c r="H11" i="4"/>
  <c r="E12" i="4"/>
  <c r="E14" i="4"/>
  <c r="C15" i="2"/>
  <c r="C16" i="2" s="1"/>
  <c r="C8" i="4"/>
  <c r="C14" i="4" s="1"/>
  <c r="C81" i="3"/>
  <c r="C102" i="3" s="1"/>
  <c r="C45" i="3"/>
  <c r="C50" i="3" s="1"/>
  <c r="C51" i="3" s="1"/>
  <c r="D49" i="3" s="1"/>
  <c r="H7" i="3"/>
  <c r="G7" i="3"/>
  <c r="G6" i="4" s="1"/>
  <c r="K7" i="3"/>
  <c r="J7" i="3"/>
  <c r="D45" i="4"/>
  <c r="C20" i="2"/>
  <c r="D81" i="3"/>
  <c r="D33" i="2"/>
  <c r="I11" i="4"/>
  <c r="F10" i="2"/>
  <c r="E31" i="2"/>
  <c r="I58" i="4"/>
  <c r="F33" i="2"/>
  <c r="C45" i="4"/>
  <c r="I44" i="2"/>
  <c r="E102" i="3"/>
  <c r="C48" i="4"/>
  <c r="I7" i="3"/>
  <c r="D43" i="3"/>
  <c r="D45" i="3" s="1"/>
  <c r="H40" i="2"/>
  <c r="G41" i="2"/>
  <c r="D55" i="3"/>
  <c r="C3" i="3"/>
  <c r="D3" i="4"/>
  <c r="J10" i="3"/>
  <c r="I10" i="3"/>
  <c r="H10" i="3"/>
  <c r="G10" i="3"/>
  <c r="E33" i="2"/>
  <c r="G52" i="4"/>
  <c r="G34" i="4"/>
  <c r="G18" i="4"/>
  <c r="E40" i="3"/>
  <c r="G14" i="4"/>
  <c r="H12" i="4"/>
  <c r="G48" i="4"/>
  <c r="K48" i="4"/>
  <c r="J48" i="4"/>
  <c r="I48" i="4"/>
  <c r="H48" i="4"/>
  <c r="H3" i="4"/>
  <c r="H55" i="3"/>
  <c r="I3" i="3"/>
  <c r="H27" i="4"/>
  <c r="G21" i="4"/>
  <c r="F24" i="2"/>
  <c r="K10" i="3"/>
  <c r="D101" i="3"/>
  <c r="F41" i="2"/>
  <c r="G55" i="3"/>
  <c r="E42" i="4"/>
  <c r="F42" i="4" s="1"/>
  <c r="I13" i="4"/>
  <c r="E3" i="4"/>
  <c r="D16" i="2"/>
  <c r="E4" i="3"/>
  <c r="E56" i="3" s="1"/>
  <c r="G24" i="4" l="1"/>
  <c r="H14" i="4"/>
  <c r="C22" i="2"/>
  <c r="C28" i="2" s="1"/>
  <c r="K42" i="4"/>
  <c r="J42" i="4"/>
  <c r="I42" i="4"/>
  <c r="H42" i="4"/>
  <c r="G42" i="4"/>
  <c r="G37" i="4" s="1"/>
  <c r="E19" i="2" s="1"/>
  <c r="D50" i="3"/>
  <c r="D51" i="3" s="1"/>
  <c r="E49" i="3" s="1"/>
  <c r="D48" i="4"/>
  <c r="G10" i="2"/>
  <c r="F31" i="2"/>
  <c r="J13" i="4"/>
  <c r="E43" i="3"/>
  <c r="E45" i="3" s="1"/>
  <c r="E38" i="4"/>
  <c r="H41" i="2"/>
  <c r="I40" i="2"/>
  <c r="I41" i="2" s="1"/>
  <c r="J11" i="4"/>
  <c r="I27" i="4"/>
  <c r="H21" i="4"/>
  <c r="I28" i="4"/>
  <c r="G23" i="4"/>
  <c r="D18" i="4"/>
  <c r="D52" i="4"/>
  <c r="D34" i="4"/>
  <c r="C55" i="3"/>
  <c r="C3" i="4"/>
  <c r="J58" i="4"/>
  <c r="G33" i="2"/>
  <c r="H6" i="3"/>
  <c r="G7" i="4"/>
  <c r="G12" i="3"/>
  <c r="G9" i="3"/>
  <c r="G16" i="3"/>
  <c r="G15" i="3"/>
  <c r="E12" i="2"/>
  <c r="E13" i="2" s="1"/>
  <c r="I3" i="4"/>
  <c r="I55" i="3"/>
  <c r="J3" i="3"/>
  <c r="G22" i="4"/>
  <c r="G20" i="4" s="1"/>
  <c r="E18" i="2" s="1"/>
  <c r="I29" i="4"/>
  <c r="I12" i="4"/>
  <c r="H6" i="4"/>
  <c r="E52" i="4"/>
  <c r="E34" i="4"/>
  <c r="E18" i="4"/>
  <c r="D102" i="3"/>
  <c r="H18" i="4"/>
  <c r="H34" i="4"/>
  <c r="H52" i="4"/>
  <c r="I30" i="4"/>
  <c r="H24" i="4"/>
  <c r="G8" i="4" l="1"/>
  <c r="E15" i="2" s="1"/>
  <c r="G24" i="3"/>
  <c r="E45" i="4"/>
  <c r="F45" i="4" s="1"/>
  <c r="G45" i="4" s="1"/>
  <c r="D20" i="2"/>
  <c r="D22" i="2" s="1"/>
  <c r="H16" i="3"/>
  <c r="H9" i="3"/>
  <c r="H12" i="3" s="1"/>
  <c r="H15" i="3"/>
  <c r="F12" i="2"/>
  <c r="F13" i="2" s="1"/>
  <c r="I6" i="3"/>
  <c r="H7" i="4"/>
  <c r="H5" i="4"/>
  <c r="C18" i="4"/>
  <c r="C52" i="4"/>
  <c r="C34" i="4"/>
  <c r="I18" i="4"/>
  <c r="I52" i="4"/>
  <c r="I34" i="4"/>
  <c r="J30" i="4"/>
  <c r="I24" i="4"/>
  <c r="J27" i="4"/>
  <c r="I21" i="4"/>
  <c r="E51" i="3"/>
  <c r="J12" i="4"/>
  <c r="I6" i="4"/>
  <c r="E50" i="3"/>
  <c r="E48" i="4"/>
  <c r="F48" i="4" s="1"/>
  <c r="H23" i="4"/>
  <c r="H37" i="4"/>
  <c r="F19" i="2" s="1"/>
  <c r="I23" i="4"/>
  <c r="J29" i="4"/>
  <c r="J14" i="4"/>
  <c r="K11" i="4"/>
  <c r="K13" i="4"/>
  <c r="I37" i="4"/>
  <c r="G19" i="2" s="1"/>
  <c r="I22" i="4"/>
  <c r="J28" i="4"/>
  <c r="I14" i="4"/>
  <c r="J55" i="3"/>
  <c r="K3" i="3"/>
  <c r="J3" i="4"/>
  <c r="K58" i="4"/>
  <c r="I33" i="2" s="1"/>
  <c r="H33" i="2"/>
  <c r="H22" i="4"/>
  <c r="H10" i="2"/>
  <c r="G31" i="2"/>
  <c r="H20" i="4" l="1"/>
  <c r="F18" i="2" s="1"/>
  <c r="I20" i="4"/>
  <c r="J18" i="4"/>
  <c r="J52" i="4"/>
  <c r="J34" i="4"/>
  <c r="K27" i="4"/>
  <c r="D35" i="2"/>
  <c r="D28" i="2"/>
  <c r="I9" i="3"/>
  <c r="I12" i="3" s="1"/>
  <c r="I16" i="3"/>
  <c r="I15" i="3"/>
  <c r="G12" i="2"/>
  <c r="G13" i="2" s="1"/>
  <c r="J6" i="3"/>
  <c r="I5" i="4"/>
  <c r="I7" i="4"/>
  <c r="G33" i="3"/>
  <c r="G38" i="3" s="1"/>
  <c r="G38" i="4" s="1"/>
  <c r="E20" i="2" s="1"/>
  <c r="G14" i="3"/>
  <c r="G17" i="3" s="1"/>
  <c r="K55" i="3"/>
  <c r="K3" i="4"/>
  <c r="K30" i="4"/>
  <c r="H8" i="4"/>
  <c r="F15" i="2" s="1"/>
  <c r="H24" i="3"/>
  <c r="I10" i="2"/>
  <c r="I31" i="2" s="1"/>
  <c r="H31" i="2"/>
  <c r="K28" i="4"/>
  <c r="J22" i="4"/>
  <c r="K29" i="4"/>
  <c r="K12" i="4"/>
  <c r="K14" i="4" s="1"/>
  <c r="E43" i="2"/>
  <c r="E45" i="2" s="1"/>
  <c r="E16" i="2"/>
  <c r="G18" i="2" l="1"/>
  <c r="J9" i="3"/>
  <c r="J12" i="3" s="1"/>
  <c r="K6" i="3"/>
  <c r="J16" i="3"/>
  <c r="J15" i="3"/>
  <c r="H12" i="2"/>
  <c r="H13" i="2" s="1"/>
  <c r="J5" i="4"/>
  <c r="J37" i="4"/>
  <c r="H19" i="2" s="1"/>
  <c r="J7" i="4"/>
  <c r="K22" i="4"/>
  <c r="K18" i="4"/>
  <c r="K52" i="4"/>
  <c r="K34" i="4"/>
  <c r="J21" i="4"/>
  <c r="J6" i="4"/>
  <c r="K6" i="4"/>
  <c r="H33" i="3"/>
  <c r="H38" i="3" s="1"/>
  <c r="H14" i="3"/>
  <c r="H17" i="3" s="1"/>
  <c r="G40" i="3"/>
  <c r="G43" i="3" s="1"/>
  <c r="G45" i="3" s="1"/>
  <c r="F43" i="2"/>
  <c r="F45" i="2" s="1"/>
  <c r="F16" i="2"/>
  <c r="J23" i="4"/>
  <c r="J24" i="4"/>
  <c r="I8" i="4"/>
  <c r="G15" i="2" s="1"/>
  <c r="I24" i="3"/>
  <c r="J20" i="4" l="1"/>
  <c r="H18" i="2" s="1"/>
  <c r="G50" i="3"/>
  <c r="G51" i="3" s="1"/>
  <c r="H49" i="3" s="1"/>
  <c r="G39" i="4"/>
  <c r="E21" i="2" s="1"/>
  <c r="E22" i="2" s="1"/>
  <c r="J8" i="4"/>
  <c r="H15" i="2" s="1"/>
  <c r="J24" i="3"/>
  <c r="G16" i="2"/>
  <c r="G43" i="2"/>
  <c r="G45" i="2" s="1"/>
  <c r="I14" i="3"/>
  <c r="I17" i="3" s="1"/>
  <c r="I33" i="3"/>
  <c r="I38" i="3" s="1"/>
  <c r="H40" i="3"/>
  <c r="H43" i="3" s="1"/>
  <c r="H45" i="3" s="1"/>
  <c r="H38" i="4"/>
  <c r="F20" i="2" s="1"/>
  <c r="K9" i="3"/>
  <c r="K12" i="3" s="1"/>
  <c r="K16" i="3"/>
  <c r="K15" i="3"/>
  <c r="I12" i="2"/>
  <c r="I13" i="2" s="1"/>
  <c r="K37" i="4"/>
  <c r="I19" i="2" s="1"/>
  <c r="K7" i="4"/>
  <c r="K5" i="4"/>
  <c r="K21" i="4"/>
  <c r="K23" i="4"/>
  <c r="K24" i="4"/>
  <c r="H50" i="3" l="1"/>
  <c r="H51" i="3" s="1"/>
  <c r="I49" i="3" s="1"/>
  <c r="H39" i="4"/>
  <c r="F21" i="2" s="1"/>
  <c r="F22" i="2" s="1"/>
  <c r="K24" i="3"/>
  <c r="K8" i="4"/>
  <c r="I15" i="2" s="1"/>
  <c r="J14" i="3"/>
  <c r="J17" i="3" s="1"/>
  <c r="J33" i="3"/>
  <c r="J38" i="3" s="1"/>
  <c r="K20" i="4"/>
  <c r="I18" i="2" s="1"/>
  <c r="H43" i="2"/>
  <c r="H45" i="2" s="1"/>
  <c r="H16" i="2"/>
  <c r="E35" i="2"/>
  <c r="E37" i="2" s="1"/>
  <c r="E28" i="2"/>
  <c r="I40" i="3"/>
  <c r="I43" i="3" s="1"/>
  <c r="I45" i="3" s="1"/>
  <c r="I38" i="4"/>
  <c r="G20" i="2" s="1"/>
  <c r="I50" i="3" l="1"/>
  <c r="I39" i="4"/>
  <c r="G21" i="2" s="1"/>
  <c r="F28" i="2"/>
  <c r="F35" i="2"/>
  <c r="F37" i="2" s="1"/>
  <c r="I51" i="3"/>
  <c r="J49" i="3" s="1"/>
  <c r="G22" i="2"/>
  <c r="J40" i="3"/>
  <c r="J43" i="3" s="1"/>
  <c r="J45" i="3" s="1"/>
  <c r="J38" i="4"/>
  <c r="H20" i="2" s="1"/>
  <c r="I43" i="2"/>
  <c r="I45" i="2" s="1"/>
  <c r="I16" i="2"/>
  <c r="K33" i="3"/>
  <c r="K38" i="3" s="1"/>
  <c r="K14" i="3"/>
  <c r="K17" i="3" s="1"/>
  <c r="J50" i="3" l="1"/>
  <c r="J39" i="4"/>
  <c r="H21" i="2" s="1"/>
  <c r="H22" i="2" s="1"/>
  <c r="G35" i="2"/>
  <c r="G37" i="2" s="1"/>
  <c r="G28" i="2"/>
  <c r="J51" i="3"/>
  <c r="K49" i="3" s="1"/>
  <c r="K40" i="3"/>
  <c r="K43" i="3" s="1"/>
  <c r="K45" i="3" s="1"/>
  <c r="K38" i="4"/>
  <c r="I20" i="2" s="1"/>
  <c r="K50" i="3" l="1"/>
  <c r="K39" i="4"/>
  <c r="I21" i="2" s="1"/>
  <c r="I22" i="2" s="1"/>
  <c r="H35" i="2"/>
  <c r="H37" i="2" s="1"/>
  <c r="H28" i="2"/>
  <c r="K51" i="3"/>
  <c r="I35" i="2" l="1"/>
  <c r="I37" i="2" s="1"/>
  <c r="I28" i="2"/>
</calcChain>
</file>

<file path=xl/sharedStrings.xml><?xml version="1.0" encoding="utf-8"?>
<sst xmlns="http://schemas.openxmlformats.org/spreadsheetml/2006/main" count="202" uniqueCount="154">
  <si>
    <t>Glossary</t>
  </si>
  <si>
    <t>Capex</t>
  </si>
  <si>
    <t>Capital expeniture, e.g. acquisition of fixed assets</t>
  </si>
  <si>
    <t>Covenant</t>
  </si>
  <si>
    <t>Covenants in finance most often relate to terms in a financial contract, such as a loan document or bond issue stating the limits at which the borrower can further lend</t>
  </si>
  <si>
    <t>Debt Service Cover Ratio</t>
  </si>
  <si>
    <t xml:space="preserve">The debt-service coverage ratio (DSCR) is a measurement of a firm's available cash flow to pay debt obligations and is calculated as the ratio of free cash flow before debt servicing costs to the absolute value of its debt service costs </t>
  </si>
  <si>
    <t>EBIT</t>
  </si>
  <si>
    <t>Earnings before interest and taxes</t>
  </si>
  <si>
    <t>EBITDA</t>
  </si>
  <si>
    <t>Earnings before interest, taxes, depreciation and amortisation</t>
  </si>
  <si>
    <t>FCF</t>
  </si>
  <si>
    <t>Free cash flow is the cash left over after a company pays for its operating expenses and capital expenditures (CapEx).</t>
  </si>
  <si>
    <t>FYxxxx</t>
  </si>
  <si>
    <t>Financial Year xxxx</t>
  </si>
  <si>
    <t>Gross Debt to EBITDA</t>
  </si>
  <si>
    <t>Is the ratio of a company's total (current and non-current) gross debt to its EBITDA</t>
  </si>
  <si>
    <t>Interest cover ratio</t>
  </si>
  <si>
    <t>The interest coverage ratio is a debt and profitability ratio used to determine how easily a company can pay interest on its outstanding debt</t>
  </si>
  <si>
    <t>Margin</t>
  </si>
  <si>
    <t>Generally means that item as a percentage of revenue</t>
  </si>
  <si>
    <t>Working Capital / Net working capital</t>
  </si>
  <si>
    <t>Working capital, also known as net working capital (NWC), is the difference between a company’s current assets—such as cash, accounts receivable/customers’ unpaid bills, and inventories of raw materials and finished goods—and its current liabilities, such as accounts payable and debts.</t>
  </si>
  <si>
    <r>
      <rPr>
        <b/>
        <sz val="11"/>
        <color theme="1"/>
        <rFont val="Calibri"/>
        <family val="2"/>
      </rPr>
      <t>Source:</t>
    </r>
    <r>
      <rPr>
        <sz val="11"/>
        <color theme="1"/>
        <rFont val="Calibri"/>
        <family val="2"/>
      </rPr>
      <t xml:space="preserve"> https://www.investopedia.com/</t>
    </r>
  </si>
  <si>
    <t>Additional Resource:</t>
  </si>
  <si>
    <t>Basics of financial forecasting: https://www.linkedin.com/learning/financial-modeling-and-forecasting-financial-statements/projecting-the-financial-future?autoplay=true&amp;resume=false</t>
  </si>
  <si>
    <t>Previous Financial Year End</t>
  </si>
  <si>
    <t>Dividend Policy</t>
  </si>
  <si>
    <t>Tax Rate Until 2022</t>
  </si>
  <si>
    <t>Tax Rate Post 2023</t>
  </si>
  <si>
    <t>Cashflow summary</t>
  </si>
  <si>
    <t>&lt;-------  Historic  --------&gt;</t>
  </si>
  <si>
    <t>&lt;-------  Projections  --------&gt;</t>
  </si>
  <si>
    <t>Revenue</t>
  </si>
  <si>
    <t>% growth</t>
  </si>
  <si>
    <t>% margin</t>
  </si>
  <si>
    <t>Less: change in net working capital</t>
  </si>
  <si>
    <t>Less: capex</t>
  </si>
  <si>
    <t>Less: cash taxes</t>
  </si>
  <si>
    <t>Dividends</t>
  </si>
  <si>
    <t>FCF before debt service</t>
  </si>
  <si>
    <t>Debt service requirements</t>
  </si>
  <si>
    <t>Debt repayment</t>
  </si>
  <si>
    <t>Interest expense</t>
  </si>
  <si>
    <t>FCF after interest service</t>
  </si>
  <si>
    <t>Credit Statistics</t>
  </si>
  <si>
    <t>Take-on</t>
  </si>
  <si>
    <t>Borrowings outstanding</t>
  </si>
  <si>
    <t>Total Debt Service Cover Ratio</t>
  </si>
  <si>
    <t xml:space="preserve">Covenant </t>
  </si>
  <si>
    <t>Headroom</t>
  </si>
  <si>
    <t>Total Leverage (Debt : EBITDA)</t>
  </si>
  <si>
    <t>Total Interest Cover (EBITDA : Interest)</t>
  </si>
  <si>
    <t>Comments on credit statistics:</t>
  </si>
  <si>
    <t>Income Statement</t>
  </si>
  <si>
    <t>Financial Year</t>
  </si>
  <si>
    <t>12 months Audited</t>
  </si>
  <si>
    <t>Average</t>
  </si>
  <si>
    <t>Full year forecasts</t>
  </si>
  <si>
    <t>Total turnover</t>
  </si>
  <si>
    <t>Growth %</t>
  </si>
  <si>
    <t>Cost of sales</t>
  </si>
  <si>
    <t>C.O.S as percent of Turnover</t>
  </si>
  <si>
    <t>Gross profit</t>
  </si>
  <si>
    <t>Operating expenses</t>
  </si>
  <si>
    <t>Amortisation of Intangibles</t>
  </si>
  <si>
    <t>Depreciation (PPE &amp; Right-of-use assets)</t>
  </si>
  <si>
    <t>Other operating expenses</t>
  </si>
  <si>
    <t>Operating income</t>
  </si>
  <si>
    <t>Foreign currency and commodity price gains/losses</t>
  </si>
  <si>
    <t>Government grant income</t>
  </si>
  <si>
    <t>Profit on the disposal of PPE</t>
  </si>
  <si>
    <t>Insurance proceeds</t>
  </si>
  <si>
    <t>Operating profit</t>
  </si>
  <si>
    <t>Non-operating gains and losses</t>
  </si>
  <si>
    <t>Share of losses/profit of in associates</t>
  </si>
  <si>
    <t>Gains on bargain purchase</t>
  </si>
  <si>
    <t>Fair value losses</t>
  </si>
  <si>
    <t>Impairment of assets</t>
  </si>
  <si>
    <t>Exceptional items</t>
  </si>
  <si>
    <t>Profit before interest and tax (EBIT)</t>
  </si>
  <si>
    <t>Total interest</t>
  </si>
  <si>
    <t>Interest - (overdraft) / cash / existing debt</t>
  </si>
  <si>
    <t>Interest received</t>
  </si>
  <si>
    <t>Profit before tax</t>
  </si>
  <si>
    <t>Taxation  - normal</t>
  </si>
  <si>
    <t>STC</t>
  </si>
  <si>
    <t>Other</t>
  </si>
  <si>
    <t>Total Tax</t>
  </si>
  <si>
    <t>Profit after tax</t>
  </si>
  <si>
    <t>Dividends - Ordinary i.t.o. fixed div. policy bef. Debt Service</t>
  </si>
  <si>
    <t>Retained Income at Start of Year</t>
  </si>
  <si>
    <t>Retained Income for the Year</t>
  </si>
  <si>
    <t>Retained Income at End of Year</t>
  </si>
  <si>
    <t>Abridged Balance Sheet</t>
  </si>
  <si>
    <t>EQUITY</t>
  </si>
  <si>
    <t>Share Capital and Premium</t>
  </si>
  <si>
    <t>Other reserves</t>
  </si>
  <si>
    <t>Non-controlling interests</t>
  </si>
  <si>
    <t>Retained income</t>
  </si>
  <si>
    <t>LONG TERM LIABILITIES</t>
  </si>
  <si>
    <t>Existing debt</t>
  </si>
  <si>
    <t>Lease liabilities</t>
  </si>
  <si>
    <t>Deferred Tax</t>
  </si>
  <si>
    <t>Share-based payment liabilities</t>
  </si>
  <si>
    <t>Other financial obligations ( Retirement, Medical e.t.c)</t>
  </si>
  <si>
    <t>CURRENT LIABILITIES</t>
  </si>
  <si>
    <t>Trade creditors and other payables</t>
  </si>
  <si>
    <t>Provisions</t>
  </si>
  <si>
    <t>Receiver of revenue</t>
  </si>
  <si>
    <t>Bank overdraft facilities</t>
  </si>
  <si>
    <t>Current portion of long term liabilities</t>
  </si>
  <si>
    <t>Other financial liabilities</t>
  </si>
  <si>
    <t>TOTAL EQUITY AND LIABILITIES</t>
  </si>
  <si>
    <t>LONG TERM ASSETS</t>
  </si>
  <si>
    <t>Property, Plant and Equipment</t>
  </si>
  <si>
    <t>Right-of-use assets</t>
  </si>
  <si>
    <t>Biological assets</t>
  </si>
  <si>
    <t>Intangible assets</t>
  </si>
  <si>
    <t>Investments</t>
  </si>
  <si>
    <t>Loan receivables</t>
  </si>
  <si>
    <t>Deferred tax</t>
  </si>
  <si>
    <t>Other long term assets</t>
  </si>
  <si>
    <t>CURRENT ASSETS</t>
  </si>
  <si>
    <t>Stock</t>
  </si>
  <si>
    <t>Debtors</t>
  </si>
  <si>
    <t>Cash</t>
  </si>
  <si>
    <t>Biological Assets</t>
  </si>
  <si>
    <t>Tax Assets</t>
  </si>
  <si>
    <t>Other (non-working capital-related i.e. Inv. Act.)</t>
  </si>
  <si>
    <t>TOTAL ASSETS</t>
  </si>
  <si>
    <t>Balancing</t>
  </si>
  <si>
    <t>EBITDA Calculation</t>
  </si>
  <si>
    <t>Profit before interest and Tax (EBIT)</t>
  </si>
  <si>
    <t>Depreciation</t>
  </si>
  <si>
    <t>Amortisation</t>
  </si>
  <si>
    <t>As a percent of Revenue</t>
  </si>
  <si>
    <t>EBITDA Margin</t>
  </si>
  <si>
    <t>Working Capital Calculation</t>
  </si>
  <si>
    <t>Net Working Capital</t>
  </si>
  <si>
    <t>Trade and other receivables</t>
  </si>
  <si>
    <t>Inventories</t>
  </si>
  <si>
    <t>Short-term provisions</t>
  </si>
  <si>
    <t>Trade and other payables</t>
  </si>
  <si>
    <t>As a percentage of Revenue</t>
  </si>
  <si>
    <t>Other Forecasts</t>
  </si>
  <si>
    <t>Cash taxes</t>
  </si>
  <si>
    <t>As a percentage of PBT</t>
  </si>
  <si>
    <t>As a percentage of PAT</t>
  </si>
  <si>
    <t>Debt Servicing schedule*</t>
  </si>
  <si>
    <t>Debt Servicing</t>
  </si>
  <si>
    <t>Capital repayment</t>
  </si>
  <si>
    <t>Debt Outstanding</t>
  </si>
  <si>
    <t>*Assuming no further debt is raised by Sea Harvest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</si>
</sst>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_ ;_ * \(#,##0\)_ ;_ * &quot;-&quot;_ ;_ @_ "/>
    <numFmt numFmtId="165" formatCode="0.0%"/>
    <numFmt numFmtId="166" formatCode="0.00\x"/>
    <numFmt numFmtId="167" formatCode="#\ ###\ ##0\ ;\(#\ ###\ ##0\)"/>
    <numFmt numFmtId="168" formatCode="#,##0;\(#,##0\)"/>
    <numFmt numFmtId="169" formatCode="#,##0;[Red]\(#,##0\)"/>
    <numFmt numFmtId="170" formatCode="#,##0_ ;[Red]\-#,##0\ "/>
    <numFmt numFmtId="171" formatCode="#,##0.00_ ;[Red]\-#,##0.00\ "/>
    <numFmt numFmtId="172" formatCode="_-* #,##0_-;\-* #,##0_-;_-* &quot;-&quot;??_-;_-@"/>
  </numFmts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02367A"/>
      <name val="Arial"/>
      <family val="2"/>
    </font>
    <font>
      <i/>
      <sz val="9"/>
      <color rgb="FF02367A"/>
      <name val="Arial"/>
      <family val="2"/>
    </font>
    <font>
      <b/>
      <sz val="10"/>
      <color rgb="FF02367A"/>
      <name val="Arial"/>
      <family val="2"/>
    </font>
    <font>
      <i/>
      <sz val="10"/>
      <color rgb="FF02367A"/>
      <name val="Arial"/>
      <family val="2"/>
    </font>
    <font>
      <sz val="10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u/>
      <sz val="8"/>
      <color theme="1"/>
      <name val="Arial"/>
      <family val="2"/>
    </font>
    <font>
      <i/>
      <sz val="11"/>
      <color theme="1"/>
      <name val="Calibri"/>
      <family val="2"/>
    </font>
    <font>
      <i/>
      <sz val="8"/>
      <color theme="1"/>
      <name val="Arial"/>
      <family val="2"/>
    </font>
    <font>
      <i/>
      <sz val="8"/>
      <color rgb="FFFF0000"/>
      <name val="Arial"/>
      <family val="2"/>
    </font>
    <font>
      <sz val="8"/>
      <color rgb="FFFF0000"/>
      <name val="Arial"/>
      <family val="2"/>
    </font>
    <font>
      <sz val="11"/>
      <color rgb="FFFF0000"/>
      <name val="Calibri"/>
      <family val="2"/>
    </font>
    <font>
      <b/>
      <u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8"/>
      <color rgb="FFFF0000"/>
      <name val="Arial"/>
      <family val="2"/>
    </font>
    <font>
      <b/>
      <u/>
      <sz val="8"/>
      <color theme="1"/>
      <name val="Arial"/>
      <family val="2"/>
    </font>
    <font>
      <i/>
      <sz val="11"/>
      <color rgb="FFFF0000"/>
      <name val="Calibri"/>
      <family val="2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84C225"/>
        <bgColor rgb="FF84C225"/>
      </patternFill>
    </fill>
    <fill>
      <patternFill patternType="solid">
        <fgColor theme="0"/>
        <bgColor theme="0"/>
      </patternFill>
    </fill>
    <fill>
      <patternFill patternType="solid">
        <fgColor rgb="FF5C87A1"/>
        <bgColor rgb="FF5C87A1"/>
      </patternFill>
    </fill>
    <fill>
      <patternFill patternType="solid">
        <fgColor theme="7"/>
        <bgColor theme="7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  <fill>
      <patternFill patternType="solid">
        <fgColor rgb="FFDDDDDD"/>
        <bgColor rgb="FFDDDDDD"/>
      </patternFill>
    </fill>
  </fills>
  <borders count="5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double">
        <color theme="1"/>
      </left>
      <right/>
      <top style="double">
        <color theme="1"/>
      </top>
      <bottom/>
      <diagonal/>
    </border>
    <border>
      <left/>
      <right/>
      <top style="double">
        <color theme="1"/>
      </top>
      <bottom/>
      <diagonal/>
    </border>
    <border>
      <left/>
      <right style="double">
        <color rgb="FF000000"/>
      </right>
      <top style="double">
        <color theme="1"/>
      </top>
      <bottom/>
      <diagonal/>
    </border>
    <border>
      <left style="double">
        <color theme="1"/>
      </left>
      <right/>
      <top/>
      <bottom/>
      <diagonal/>
    </border>
    <border>
      <left/>
      <right style="thin">
        <color rgb="FF02367A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2367A"/>
      </right>
      <top/>
      <bottom/>
      <diagonal/>
    </border>
    <border>
      <left style="thin">
        <color rgb="FF02367A"/>
      </left>
      <right/>
      <top/>
      <bottom/>
      <diagonal/>
    </border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theme="1"/>
      </left>
      <right/>
      <top style="thin">
        <color rgb="FF02367A"/>
      </top>
      <bottom style="thin">
        <color rgb="FF02367A"/>
      </bottom>
      <diagonal/>
    </border>
    <border>
      <left/>
      <right/>
      <top style="thin">
        <color rgb="FF02367A"/>
      </top>
      <bottom style="thin">
        <color rgb="FF02367A"/>
      </bottom>
      <diagonal/>
    </border>
    <border>
      <left/>
      <right style="thin">
        <color rgb="FF02367A"/>
      </right>
      <top style="thin">
        <color rgb="FF02367A"/>
      </top>
      <bottom style="thin">
        <color rgb="FF02367A"/>
      </bottom>
      <diagonal/>
    </border>
    <border>
      <left/>
      <right style="double">
        <color rgb="FF000000"/>
      </right>
      <top style="thin">
        <color rgb="FF02367A"/>
      </top>
      <bottom style="thin">
        <color rgb="FF02367A"/>
      </bottom>
      <diagonal/>
    </border>
    <border>
      <left style="double">
        <color theme="1"/>
      </left>
      <right/>
      <top style="thin">
        <color rgb="FF02367A"/>
      </top>
      <bottom style="double">
        <color theme="1"/>
      </bottom>
      <diagonal/>
    </border>
    <border>
      <left/>
      <right/>
      <top style="thin">
        <color rgb="FF02367A"/>
      </top>
      <bottom style="double">
        <color theme="1"/>
      </bottom>
      <diagonal/>
    </border>
    <border>
      <left/>
      <right style="thin">
        <color rgb="FF02367A"/>
      </right>
      <top style="thin">
        <color rgb="FF02367A"/>
      </top>
      <bottom style="double">
        <color theme="1"/>
      </bottom>
      <diagonal/>
    </border>
    <border>
      <left/>
      <right style="double">
        <color rgb="FF000000"/>
      </right>
      <top style="thin">
        <color rgb="FF02367A"/>
      </top>
      <bottom style="double">
        <color theme="1"/>
      </bottom>
      <diagonal/>
    </border>
    <border>
      <left/>
      <right style="thin">
        <color rgb="FF02367A"/>
      </right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thin">
        <color rgb="FF02367A"/>
      </right>
      <top/>
      <bottom style="double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0" xfId="0" applyFont="1"/>
    <xf numFmtId="15" fontId="1" fillId="2" borderId="4" xfId="0" applyNumberFormat="1" applyFont="1" applyFill="1" applyBorder="1"/>
    <xf numFmtId="9" fontId="1" fillId="2" borderId="4" xfId="0" applyNumberFormat="1" applyFont="1" applyFill="1" applyBorder="1"/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6" fillId="4" borderId="8" xfId="0" applyFont="1" applyFill="1" applyBorder="1"/>
    <xf numFmtId="17" fontId="5" fillId="5" borderId="4" xfId="0" applyNumberFormat="1" applyFont="1" applyFill="1" applyBorder="1"/>
    <xf numFmtId="17" fontId="5" fillId="5" borderId="9" xfId="0" applyNumberFormat="1" applyFont="1" applyFill="1" applyBorder="1"/>
    <xf numFmtId="17" fontId="5" fillId="5" borderId="10" xfId="0" applyNumberFormat="1" applyFont="1" applyFill="1" applyBorder="1"/>
    <xf numFmtId="164" fontId="6" fillId="4" borderId="4" xfId="0" applyNumberFormat="1" applyFont="1" applyFill="1" applyBorder="1"/>
    <xf numFmtId="164" fontId="6" fillId="4" borderId="16" xfId="0" applyNumberFormat="1" applyFont="1" applyFill="1" applyBorder="1"/>
    <xf numFmtId="164" fontId="6" fillId="4" borderId="10" xfId="0" applyNumberFormat="1" applyFont="1" applyFill="1" applyBorder="1"/>
    <xf numFmtId="0" fontId="7" fillId="4" borderId="8" xfId="0" applyFont="1" applyFill="1" applyBorder="1" applyAlignment="1">
      <alignment horizontal="left"/>
    </xf>
    <xf numFmtId="165" fontId="7" fillId="4" borderId="4" xfId="0" applyNumberFormat="1" applyFont="1" applyFill="1" applyBorder="1"/>
    <xf numFmtId="165" fontId="7" fillId="4" borderId="9" xfId="0" applyNumberFormat="1" applyFont="1" applyFill="1" applyBorder="1"/>
    <xf numFmtId="165" fontId="7" fillId="4" borderId="10" xfId="0" applyNumberFormat="1" applyFont="1" applyFill="1" applyBorder="1"/>
    <xf numFmtId="164" fontId="6" fillId="4" borderId="9" xfId="0" applyNumberFormat="1" applyFont="1" applyFill="1" applyBorder="1"/>
    <xf numFmtId="0" fontId="8" fillId="4" borderId="8" xfId="0" applyFont="1" applyFill="1" applyBorder="1"/>
    <xf numFmtId="164" fontId="8" fillId="4" borderId="4" xfId="0" applyNumberFormat="1" applyFont="1" applyFill="1" applyBorder="1"/>
    <xf numFmtId="164" fontId="8" fillId="4" borderId="9" xfId="0" applyNumberFormat="1" applyFont="1" applyFill="1" applyBorder="1"/>
    <xf numFmtId="164" fontId="8" fillId="4" borderId="10" xfId="0" applyNumberFormat="1" applyFont="1" applyFill="1" applyBorder="1"/>
    <xf numFmtId="164" fontId="8" fillId="4" borderId="17" xfId="0" applyNumberFormat="1" applyFont="1" applyFill="1" applyBorder="1"/>
    <xf numFmtId="164" fontId="8" fillId="4" borderId="18" xfId="0" applyNumberFormat="1" applyFont="1" applyFill="1" applyBorder="1"/>
    <xf numFmtId="164" fontId="8" fillId="4" borderId="19" xfId="0" applyNumberFormat="1" applyFont="1" applyFill="1" applyBorder="1"/>
    <xf numFmtId="164" fontId="8" fillId="4" borderId="20" xfId="0" applyNumberFormat="1" applyFont="1" applyFill="1" applyBorder="1"/>
    <xf numFmtId="9" fontId="6" fillId="4" borderId="4" xfId="0" applyNumberFormat="1" applyFont="1" applyFill="1" applyBorder="1"/>
    <xf numFmtId="164" fontId="8" fillId="4" borderId="21" xfId="0" applyNumberFormat="1" applyFont="1" applyFill="1" applyBorder="1"/>
    <xf numFmtId="164" fontId="8" fillId="4" borderId="22" xfId="0" applyNumberFormat="1" applyFont="1" applyFill="1" applyBorder="1"/>
    <xf numFmtId="164" fontId="8" fillId="4" borderId="23" xfId="0" applyNumberFormat="1" applyFont="1" applyFill="1" applyBorder="1"/>
    <xf numFmtId="164" fontId="8" fillId="4" borderId="24" xfId="0" applyNumberFormat="1" applyFont="1" applyFill="1" applyBorder="1"/>
    <xf numFmtId="0" fontId="6" fillId="4" borderId="4" xfId="0" applyFont="1" applyFill="1" applyBorder="1"/>
    <xf numFmtId="17" fontId="5" fillId="4" borderId="4" xfId="0" applyNumberFormat="1" applyFont="1" applyFill="1" applyBorder="1"/>
    <xf numFmtId="17" fontId="5" fillId="5" borderId="9" xfId="0" applyNumberFormat="1" applyFont="1" applyFill="1" applyBorder="1" applyAlignment="1">
      <alignment horizontal="right"/>
    </xf>
    <xf numFmtId="0" fontId="6" fillId="4" borderId="9" xfId="0" applyFont="1" applyFill="1" applyBorder="1"/>
    <xf numFmtId="0" fontId="6" fillId="4" borderId="10" xfId="0" applyFont="1" applyFill="1" applyBorder="1"/>
    <xf numFmtId="166" fontId="8" fillId="0" borderId="25" xfId="0" applyNumberFormat="1" applyFont="1" applyBorder="1"/>
    <xf numFmtId="166" fontId="8" fillId="0" borderId="0" xfId="0" applyNumberFormat="1" applyFont="1" applyAlignment="1">
      <alignment horizontal="right"/>
    </xf>
    <xf numFmtId="166" fontId="8" fillId="0" borderId="26" xfId="0" applyNumberFormat="1" applyFont="1" applyBorder="1" applyAlignment="1">
      <alignment horizontal="right"/>
    </xf>
    <xf numFmtId="164" fontId="6" fillId="0" borderId="25" xfId="0" applyNumberFormat="1" applyFont="1" applyBorder="1"/>
    <xf numFmtId="166" fontId="6" fillId="0" borderId="0" xfId="0" applyNumberFormat="1" applyFont="1"/>
    <xf numFmtId="166" fontId="6" fillId="0" borderId="26" xfId="0" applyNumberFormat="1" applyFont="1" applyBorder="1"/>
    <xf numFmtId="0" fontId="9" fillId="4" borderId="8" xfId="0" applyFont="1" applyFill="1" applyBorder="1"/>
    <xf numFmtId="0" fontId="9" fillId="4" borderId="4" xfId="0" applyFont="1" applyFill="1" applyBorder="1"/>
    <xf numFmtId="164" fontId="9" fillId="0" borderId="25" xfId="0" applyNumberFormat="1" applyFont="1" applyBorder="1"/>
    <xf numFmtId="9" fontId="9" fillId="0" borderId="0" xfId="0" applyNumberFormat="1" applyFont="1" applyAlignment="1">
      <alignment horizontal="right"/>
    </xf>
    <xf numFmtId="9" fontId="9" fillId="0" borderId="26" xfId="0" applyNumberFormat="1" applyFont="1" applyBorder="1" applyAlignment="1">
      <alignment horizontal="right"/>
    </xf>
    <xf numFmtId="164" fontId="6" fillId="0" borderId="0" xfId="0" applyNumberFormat="1" applyFont="1"/>
    <xf numFmtId="164" fontId="6" fillId="0" borderId="26" xfId="0" applyNumberFormat="1" applyFont="1" applyBorder="1"/>
    <xf numFmtId="166" fontId="8" fillId="2" borderId="9" xfId="0" applyNumberFormat="1" applyFont="1" applyFill="1" applyBorder="1" applyAlignment="1">
      <alignment horizontal="right"/>
    </xf>
    <xf numFmtId="166" fontId="8" fillId="2" borderId="4" xfId="0" applyNumberFormat="1" applyFont="1" applyFill="1" applyBorder="1" applyAlignment="1">
      <alignment horizontal="right"/>
    </xf>
    <xf numFmtId="166" fontId="8" fillId="2" borderId="10" xfId="0" applyNumberFormat="1" applyFont="1" applyFill="1" applyBorder="1" applyAlignment="1">
      <alignment horizontal="right"/>
    </xf>
    <xf numFmtId="166" fontId="6" fillId="4" borderId="9" xfId="0" applyNumberFormat="1" applyFont="1" applyFill="1" applyBorder="1"/>
    <xf numFmtId="166" fontId="6" fillId="4" borderId="4" xfId="0" applyNumberFormat="1" applyFont="1" applyFill="1" applyBorder="1"/>
    <xf numFmtId="166" fontId="6" fillId="4" borderId="10" xfId="0" applyNumberFormat="1" applyFont="1" applyFill="1" applyBorder="1"/>
    <xf numFmtId="9" fontId="9" fillId="4" borderId="9" xfId="0" applyNumberFormat="1" applyFont="1" applyFill="1" applyBorder="1" applyAlignment="1">
      <alignment horizontal="right"/>
    </xf>
    <xf numFmtId="9" fontId="9" fillId="6" borderId="4" xfId="0" applyNumberFormat="1" applyFont="1" applyFill="1" applyBorder="1" applyAlignment="1">
      <alignment horizontal="right"/>
    </xf>
    <xf numFmtId="9" fontId="9" fillId="6" borderId="10" xfId="0" applyNumberFormat="1" applyFont="1" applyFill="1" applyBorder="1" applyAlignment="1">
      <alignment horizontal="right"/>
    </xf>
    <xf numFmtId="0" fontId="9" fillId="4" borderId="27" xfId="0" applyFont="1" applyFill="1" applyBorder="1"/>
    <xf numFmtId="0" fontId="9" fillId="4" borderId="28" xfId="0" applyFont="1" applyFill="1" applyBorder="1"/>
    <xf numFmtId="164" fontId="9" fillId="4" borderId="29" xfId="0" applyNumberFormat="1" applyFont="1" applyFill="1" applyBorder="1"/>
    <xf numFmtId="0" fontId="1" fillId="4" borderId="4" xfId="0" applyFont="1" applyFill="1" applyBorder="1"/>
    <xf numFmtId="0" fontId="5" fillId="7" borderId="30" xfId="0" applyFont="1" applyFill="1" applyBorder="1"/>
    <xf numFmtId="167" fontId="10" fillId="7" borderId="31" xfId="0" applyNumberFormat="1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17" fontId="11" fillId="4" borderId="4" xfId="0" applyNumberFormat="1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2" fillId="4" borderId="4" xfId="0" applyFont="1" applyFill="1" applyBorder="1"/>
    <xf numFmtId="0" fontId="13" fillId="4" borderId="32" xfId="0" applyFont="1" applyFill="1" applyBorder="1" applyAlignment="1">
      <alignment horizontal="left"/>
    </xf>
    <xf numFmtId="17" fontId="11" fillId="8" borderId="33" xfId="0" applyNumberFormat="1" applyFont="1" applyFill="1" applyBorder="1" applyAlignment="1">
      <alignment horizontal="center"/>
    </xf>
    <xf numFmtId="17" fontId="11" fillId="2" borderId="33" xfId="0" applyNumberFormat="1" applyFont="1" applyFill="1" applyBorder="1" applyAlignment="1">
      <alignment horizontal="center"/>
    </xf>
    <xf numFmtId="15" fontId="12" fillId="9" borderId="33" xfId="0" applyNumberFormat="1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 wrapText="1"/>
    </xf>
    <xf numFmtId="0" fontId="12" fillId="4" borderId="4" xfId="0" applyFont="1" applyFill="1" applyBorder="1" applyAlignment="1">
      <alignment horizontal="center"/>
    </xf>
    <xf numFmtId="0" fontId="12" fillId="4" borderId="34" xfId="0" applyFont="1" applyFill="1" applyBorder="1" applyAlignment="1">
      <alignment horizontal="center"/>
    </xf>
    <xf numFmtId="0" fontId="12" fillId="9" borderId="35" xfId="0" applyFont="1" applyFill="1" applyBorder="1" applyAlignment="1">
      <alignment horizontal="center" wrapText="1"/>
    </xf>
    <xf numFmtId="0" fontId="11" fillId="9" borderId="35" xfId="0" applyFont="1" applyFill="1" applyBorder="1" applyAlignment="1">
      <alignment horizontal="center" wrapText="1"/>
    </xf>
    <xf numFmtId="9" fontId="12" fillId="4" borderId="32" xfId="0" applyNumberFormat="1" applyFont="1" applyFill="1" applyBorder="1"/>
    <xf numFmtId="167" fontId="12" fillId="4" borderId="4" xfId="0" applyNumberFormat="1" applyFont="1" applyFill="1" applyBorder="1" applyAlignment="1">
      <alignment horizontal="center"/>
    </xf>
    <xf numFmtId="0" fontId="12" fillId="4" borderId="32" xfId="0" applyFont="1" applyFill="1" applyBorder="1"/>
    <xf numFmtId="168" fontId="12" fillId="2" borderId="36" xfId="0" applyNumberFormat="1" applyFont="1" applyFill="1" applyBorder="1" applyAlignment="1">
      <alignment horizontal="center"/>
    </xf>
    <xf numFmtId="168" fontId="12" fillId="2" borderId="37" xfId="0" applyNumberFormat="1" applyFont="1" applyFill="1" applyBorder="1" applyAlignment="1">
      <alignment horizontal="center"/>
    </xf>
    <xf numFmtId="169" fontId="12" fillId="4" borderId="4" xfId="0" applyNumberFormat="1" applyFont="1" applyFill="1" applyBorder="1" applyAlignment="1">
      <alignment horizontal="center"/>
    </xf>
    <xf numFmtId="168" fontId="12" fillId="4" borderId="36" xfId="0" applyNumberFormat="1" applyFont="1" applyFill="1" applyBorder="1" applyAlignment="1">
      <alignment horizontal="center"/>
    </xf>
    <xf numFmtId="168" fontId="12" fillId="4" borderId="4" xfId="0" applyNumberFormat="1" applyFont="1" applyFill="1" applyBorder="1" applyAlignment="1">
      <alignment horizontal="center"/>
    </xf>
    <xf numFmtId="0" fontId="14" fillId="4" borderId="4" xfId="0" applyFont="1" applyFill="1" applyBorder="1"/>
    <xf numFmtId="0" fontId="15" fillId="4" borderId="32" xfId="0" applyFont="1" applyFill="1" applyBorder="1"/>
    <xf numFmtId="169" fontId="15" fillId="4" borderId="38" xfId="0" applyNumberFormat="1" applyFont="1" applyFill="1" applyBorder="1" applyAlignment="1">
      <alignment horizontal="center"/>
    </xf>
    <xf numFmtId="9" fontId="15" fillId="2" borderId="36" xfId="0" applyNumberFormat="1" applyFont="1" applyFill="1" applyBorder="1" applyAlignment="1">
      <alignment horizontal="center"/>
    </xf>
    <xf numFmtId="9" fontId="16" fillId="4" borderId="4" xfId="0" applyNumberFormat="1" applyFont="1" applyFill="1" applyBorder="1" applyAlignment="1">
      <alignment horizontal="center"/>
    </xf>
    <xf numFmtId="9" fontId="15" fillId="2" borderId="39" xfId="0" applyNumberFormat="1" applyFont="1" applyFill="1" applyBorder="1" applyAlignment="1">
      <alignment horizontal="center"/>
    </xf>
    <xf numFmtId="169" fontId="15" fillId="4" borderId="4" xfId="0" applyNumberFormat="1" applyFont="1" applyFill="1" applyBorder="1" applyAlignment="1">
      <alignment horizontal="center"/>
    </xf>
    <xf numFmtId="0" fontId="15" fillId="4" borderId="4" xfId="0" applyFont="1" applyFill="1" applyBorder="1"/>
    <xf numFmtId="168" fontId="15" fillId="4" borderId="4" xfId="0" applyNumberFormat="1" applyFont="1" applyFill="1" applyBorder="1" applyAlignment="1">
      <alignment horizontal="center"/>
    </xf>
    <xf numFmtId="169" fontId="17" fillId="4" borderId="4" xfId="0" applyNumberFormat="1" applyFont="1" applyFill="1" applyBorder="1" applyAlignment="1">
      <alignment horizontal="center"/>
    </xf>
    <xf numFmtId="0" fontId="12" fillId="4" borderId="32" xfId="0" applyFont="1" applyFill="1" applyBorder="1" applyAlignment="1">
      <alignment horizontal="left"/>
    </xf>
    <xf numFmtId="0" fontId="11" fillId="4" borderId="32" xfId="0" applyFont="1" applyFill="1" applyBorder="1"/>
    <xf numFmtId="168" fontId="11" fillId="4" borderId="4" xfId="0" applyNumberFormat="1" applyFont="1" applyFill="1" applyBorder="1" applyAlignment="1">
      <alignment horizontal="center"/>
    </xf>
    <xf numFmtId="169" fontId="11" fillId="4" borderId="4" xfId="0" applyNumberFormat="1" applyFont="1" applyFill="1" applyBorder="1" applyAlignment="1">
      <alignment horizontal="center"/>
    </xf>
    <xf numFmtId="0" fontId="11" fillId="4" borderId="4" xfId="0" applyFont="1" applyFill="1" applyBorder="1"/>
    <xf numFmtId="0" fontId="12" fillId="2" borderId="32" xfId="0" applyFont="1" applyFill="1" applyBorder="1"/>
    <xf numFmtId="168" fontId="12" fillId="2" borderId="38" xfId="0" applyNumberFormat="1" applyFont="1" applyFill="1" applyBorder="1" applyAlignment="1">
      <alignment horizontal="center"/>
    </xf>
    <xf numFmtId="168" fontId="12" fillId="2" borderId="40" xfId="0" applyNumberFormat="1" applyFont="1" applyFill="1" applyBorder="1" applyAlignment="1">
      <alignment horizontal="center"/>
    </xf>
    <xf numFmtId="168" fontId="12" fillId="2" borderId="4" xfId="0" applyNumberFormat="1" applyFont="1" applyFill="1" applyBorder="1" applyAlignment="1">
      <alignment horizontal="center"/>
    </xf>
    <xf numFmtId="168" fontId="12" fillId="2" borderId="16" xfId="0" applyNumberFormat="1" applyFont="1" applyFill="1" applyBorder="1" applyAlignment="1">
      <alignment horizontal="center"/>
    </xf>
    <xf numFmtId="0" fontId="12" fillId="0" borderId="41" xfId="0" applyFont="1" applyBorder="1"/>
    <xf numFmtId="168" fontId="12" fillId="0" borderId="0" xfId="0" applyNumberFormat="1" applyFont="1" applyAlignment="1">
      <alignment horizontal="center"/>
    </xf>
    <xf numFmtId="168" fontId="12" fillId="0" borderId="42" xfId="0" applyNumberFormat="1" applyFont="1" applyBorder="1" applyAlignment="1">
      <alignment horizontal="center"/>
    </xf>
    <xf numFmtId="168" fontId="12" fillId="0" borderId="43" xfId="0" applyNumberFormat="1" applyFont="1" applyBorder="1" applyAlignment="1">
      <alignment horizontal="center"/>
    </xf>
    <xf numFmtId="168" fontId="12" fillId="0" borderId="44" xfId="0" applyNumberFormat="1" applyFont="1" applyBorder="1" applyAlignment="1">
      <alignment horizontal="center"/>
    </xf>
    <xf numFmtId="168" fontId="12" fillId="2" borderId="45" xfId="0" applyNumberFormat="1" applyFont="1" applyFill="1" applyBorder="1" applyAlignment="1">
      <alignment horizontal="center"/>
    </xf>
    <xf numFmtId="168" fontId="12" fillId="2" borderId="35" xfId="0" applyNumberFormat="1" applyFont="1" applyFill="1" applyBorder="1" applyAlignment="1">
      <alignment horizontal="center"/>
    </xf>
    <xf numFmtId="168" fontId="12" fillId="0" borderId="46" xfId="0" applyNumberFormat="1" applyFont="1" applyBorder="1" applyAlignment="1">
      <alignment horizontal="center"/>
    </xf>
    <xf numFmtId="168" fontId="12" fillId="0" borderId="47" xfId="0" applyNumberFormat="1" applyFont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168" fontId="11" fillId="2" borderId="37" xfId="0" applyNumberFormat="1" applyFont="1" applyFill="1" applyBorder="1" applyAlignment="1">
      <alignment horizontal="center"/>
    </xf>
    <xf numFmtId="168" fontId="11" fillId="4" borderId="38" xfId="0" applyNumberFormat="1" applyFont="1" applyFill="1" applyBorder="1" applyAlignment="1">
      <alignment horizontal="center"/>
    </xf>
    <xf numFmtId="3" fontId="18" fillId="0" borderId="0" xfId="0" applyNumberFormat="1" applyFont="1"/>
    <xf numFmtId="3" fontId="1" fillId="0" borderId="0" xfId="0" applyNumberFormat="1" applyFont="1"/>
    <xf numFmtId="169" fontId="12" fillId="0" borderId="0" xfId="0" applyNumberFormat="1" applyFont="1" applyAlignment="1">
      <alignment horizontal="center"/>
    </xf>
    <xf numFmtId="168" fontId="12" fillId="2" borderId="48" xfId="0" applyNumberFormat="1" applyFont="1" applyFill="1" applyBorder="1" applyAlignment="1">
      <alignment horizontal="center"/>
    </xf>
    <xf numFmtId="168" fontId="12" fillId="2" borderId="49" xfId="0" applyNumberFormat="1" applyFont="1" applyFill="1" applyBorder="1" applyAlignment="1">
      <alignment horizontal="center"/>
    </xf>
    <xf numFmtId="169" fontId="12" fillId="4" borderId="45" xfId="0" applyNumberFormat="1" applyFont="1" applyFill="1" applyBorder="1" applyAlignment="1">
      <alignment horizontal="center"/>
    </xf>
    <xf numFmtId="0" fontId="11" fillId="4" borderId="50" xfId="0" applyFont="1" applyFill="1" applyBorder="1"/>
    <xf numFmtId="168" fontId="11" fillId="4" borderId="51" xfId="0" applyNumberFormat="1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15" fontId="12" fillId="8" borderId="33" xfId="0" applyNumberFormat="1" applyFont="1" applyFill="1" applyBorder="1" applyAlignment="1">
      <alignment horizontal="center"/>
    </xf>
    <xf numFmtId="0" fontId="12" fillId="4" borderId="32" xfId="0" applyFont="1" applyFill="1" applyBorder="1" applyAlignment="1">
      <alignment horizontal="center"/>
    </xf>
    <xf numFmtId="0" fontId="19" fillId="4" borderId="32" xfId="0" applyFont="1" applyFill="1" applyBorder="1"/>
    <xf numFmtId="169" fontId="11" fillId="4" borderId="38" xfId="0" applyNumberFormat="1" applyFont="1" applyFill="1" applyBorder="1" applyAlignment="1">
      <alignment horizontal="center"/>
    </xf>
    <xf numFmtId="168" fontId="11" fillId="0" borderId="0" xfId="0" applyNumberFormat="1" applyFont="1" applyAlignment="1">
      <alignment horizontal="center"/>
    </xf>
    <xf numFmtId="0" fontId="20" fillId="4" borderId="32" xfId="0" applyFont="1" applyFill="1" applyBorder="1"/>
    <xf numFmtId="168" fontId="20" fillId="4" borderId="52" xfId="0" applyNumberFormat="1" applyFont="1" applyFill="1" applyBorder="1" applyAlignment="1">
      <alignment horizontal="center"/>
    </xf>
    <xf numFmtId="168" fontId="20" fillId="0" borderId="53" xfId="0" applyNumberFormat="1" applyFont="1" applyBorder="1" applyAlignment="1">
      <alignment horizontal="center"/>
    </xf>
    <xf numFmtId="168" fontId="20" fillId="4" borderId="4" xfId="0" applyNumberFormat="1" applyFont="1" applyFill="1" applyBorder="1" applyAlignment="1">
      <alignment horizontal="center"/>
    </xf>
    <xf numFmtId="0" fontId="21" fillId="4" borderId="4" xfId="0" applyFont="1" applyFill="1" applyBorder="1"/>
    <xf numFmtId="0" fontId="11" fillId="4" borderId="50" xfId="0" applyFont="1" applyFill="1" applyBorder="1" applyAlignment="1">
      <alignment wrapText="1"/>
    </xf>
    <xf numFmtId="170" fontId="22" fillId="4" borderId="54" xfId="0" applyNumberFormat="1" applyFont="1" applyFill="1" applyBorder="1" applyAlignment="1">
      <alignment horizontal="center" wrapText="1"/>
    </xf>
    <xf numFmtId="171" fontId="22" fillId="4" borderId="54" xfId="0" applyNumberFormat="1" applyFont="1" applyFill="1" applyBorder="1" applyAlignment="1">
      <alignment horizontal="center" wrapText="1"/>
    </xf>
    <xf numFmtId="170" fontId="22" fillId="4" borderId="4" xfId="0" applyNumberFormat="1" applyFont="1" applyFill="1" applyBorder="1" applyAlignment="1">
      <alignment horizontal="center" wrapText="1"/>
    </xf>
    <xf numFmtId="0" fontId="12" fillId="4" borderId="4" xfId="0" applyFont="1" applyFill="1" applyBorder="1" applyAlignment="1">
      <alignment wrapText="1"/>
    </xf>
    <xf numFmtId="167" fontId="10" fillId="7" borderId="31" xfId="0" applyNumberFormat="1" applyFont="1" applyFill="1" applyBorder="1" applyAlignment="1">
      <alignment horizontal="left"/>
    </xf>
    <xf numFmtId="0" fontId="23" fillId="4" borderId="4" xfId="0" applyFont="1" applyFill="1" applyBorder="1" applyAlignment="1">
      <alignment horizontal="left"/>
    </xf>
    <xf numFmtId="0" fontId="12" fillId="9" borderId="55" xfId="0" applyFont="1" applyFill="1" applyBorder="1" applyAlignment="1">
      <alignment horizontal="center" wrapText="1"/>
    </xf>
    <xf numFmtId="0" fontId="1" fillId="2" borderId="4" xfId="0" applyFont="1" applyFill="1" applyBorder="1"/>
    <xf numFmtId="3" fontId="1" fillId="2" borderId="48" xfId="0" applyNumberFormat="1" applyFont="1" applyFill="1" applyBorder="1"/>
    <xf numFmtId="3" fontId="1" fillId="2" borderId="38" xfId="0" applyNumberFormat="1" applyFont="1" applyFill="1" applyBorder="1"/>
    <xf numFmtId="3" fontId="1" fillId="2" borderId="40" xfId="0" applyNumberFormat="1" applyFont="1" applyFill="1" applyBorder="1"/>
    <xf numFmtId="3" fontId="1" fillId="8" borderId="4" xfId="0" applyNumberFormat="1" applyFont="1" applyFill="1" applyBorder="1"/>
    <xf numFmtId="3" fontId="1" fillId="2" borderId="56" xfId="0" applyNumberFormat="1" applyFont="1" applyFill="1" applyBorder="1"/>
    <xf numFmtId="3" fontId="1" fillId="2" borderId="4" xfId="0" applyNumberFormat="1" applyFont="1" applyFill="1" applyBorder="1"/>
    <xf numFmtId="3" fontId="1" fillId="2" borderId="16" xfId="0" applyNumberFormat="1" applyFont="1" applyFill="1" applyBorder="1"/>
    <xf numFmtId="3" fontId="1" fillId="2" borderId="49" xfId="0" applyNumberFormat="1" applyFont="1" applyFill="1" applyBorder="1"/>
    <xf numFmtId="3" fontId="1" fillId="2" borderId="45" xfId="0" applyNumberFormat="1" applyFont="1" applyFill="1" applyBorder="1"/>
    <xf numFmtId="3" fontId="1" fillId="2" borderId="35" xfId="0" applyNumberFormat="1" applyFont="1" applyFill="1" applyBorder="1"/>
    <xf numFmtId="0" fontId="2" fillId="4" borderId="4" xfId="0" applyFont="1" applyFill="1" applyBorder="1"/>
    <xf numFmtId="0" fontId="2" fillId="0" borderId="43" xfId="0" applyFont="1" applyBorder="1"/>
    <xf numFmtId="3" fontId="2" fillId="0" borderId="43" xfId="0" applyNumberFormat="1" applyFont="1" applyBorder="1"/>
    <xf numFmtId="0" fontId="2" fillId="0" borderId="0" xfId="0" applyFont="1"/>
    <xf numFmtId="0" fontId="1" fillId="8" borderId="4" xfId="0" applyFont="1" applyFill="1" applyBorder="1"/>
    <xf numFmtId="165" fontId="1" fillId="8" borderId="4" xfId="0" applyNumberFormat="1" applyFont="1" applyFill="1" applyBorder="1"/>
    <xf numFmtId="165" fontId="24" fillId="2" borderId="4" xfId="0" applyNumberFormat="1" applyFont="1" applyFill="1" applyBorder="1"/>
    <xf numFmtId="165" fontId="1" fillId="0" borderId="0" xfId="0" applyNumberFormat="1" applyFont="1"/>
    <xf numFmtId="0" fontId="2" fillId="4" borderId="45" xfId="0" applyFont="1" applyFill="1" applyBorder="1" applyAlignment="1">
      <alignment horizontal="left"/>
    </xf>
    <xf numFmtId="3" fontId="2" fillId="4" borderId="45" xfId="0" applyNumberFormat="1" applyFont="1" applyFill="1" applyBorder="1" applyAlignment="1">
      <alignment horizontal="center" wrapText="1"/>
    </xf>
    <xf numFmtId="0" fontId="2" fillId="4" borderId="45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/>
    </xf>
    <xf numFmtId="165" fontId="24" fillId="0" borderId="0" xfId="0" applyNumberFormat="1" applyFont="1"/>
    <xf numFmtId="3" fontId="1" fillId="8" borderId="48" xfId="0" applyNumberFormat="1" applyFont="1" applyFill="1" applyBorder="1"/>
    <xf numFmtId="3" fontId="1" fillId="8" borderId="56" xfId="0" applyNumberFormat="1" applyFont="1" applyFill="1" applyBorder="1"/>
    <xf numFmtId="3" fontId="1" fillId="8" borderId="49" xfId="0" applyNumberFormat="1" applyFont="1" applyFill="1" applyBorder="1"/>
    <xf numFmtId="165" fontId="14" fillId="0" borderId="0" xfId="0" applyNumberFormat="1" applyFont="1"/>
    <xf numFmtId="165" fontId="2" fillId="0" borderId="0" xfId="0" applyNumberFormat="1" applyFont="1"/>
    <xf numFmtId="172" fontId="1" fillId="2" borderId="4" xfId="0" applyNumberFormat="1" applyFont="1" applyFill="1" applyBorder="1"/>
    <xf numFmtId="172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15" fontId="6" fillId="4" borderId="11" xfId="0" quotePrefix="1" applyNumberFormat="1" applyFont="1" applyFill="1" applyBorder="1" applyAlignment="1">
      <alignment horizontal="center"/>
    </xf>
    <xf numFmtId="0" fontId="3" fillId="0" borderId="12" xfId="0" applyFont="1" applyBorder="1"/>
    <xf numFmtId="15" fontId="6" fillId="4" borderId="13" xfId="0" applyNumberFormat="1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1" fillId="0" borderId="0" xfId="0" applyFont="1" applyAlignment="1">
      <alignment horizontal="left" vertical="top"/>
    </xf>
    <xf numFmtId="0" fontId="0" fillId="0" borderId="0" xfId="0"/>
    <xf numFmtId="168" fontId="12" fillId="2" borderId="14" xfId="0" applyNumberFormat="1" applyFont="1" applyFill="1" applyBorder="1" applyAlignment="1">
      <alignment horizontal="center"/>
    </xf>
    <xf numFmtId="168" fontId="12" fillId="2" borderId="47" xfId="0" applyNumberFormat="1" applyFont="1" applyFill="1" applyBorder="1" applyAlignment="1">
      <alignment horizontal="center"/>
    </xf>
    <xf numFmtId="168" fontId="12" fillId="2" borderId="43" xfId="0" applyNumberFormat="1" applyFont="1" applyFill="1" applyBorder="1" applyAlignment="1">
      <alignment horizontal="center"/>
    </xf>
    <xf numFmtId="168" fontId="25" fillId="2" borderId="43" xfId="0" applyNumberFormat="1" applyFont="1" applyFill="1" applyBorder="1" applyAlignment="1">
      <alignment horizontal="center"/>
    </xf>
    <xf numFmtId="168" fontId="25" fillId="2" borderId="14" xfId="0" applyNumberFormat="1" applyFont="1" applyFill="1" applyBorder="1" applyAlignment="1">
      <alignment horizontal="center"/>
    </xf>
    <xf numFmtId="168" fontId="25" fillId="2" borderId="47" xfId="0" applyNumberFormat="1" applyFont="1" applyFill="1" applyBorder="1" applyAlignment="1">
      <alignment horizontal="center"/>
    </xf>
    <xf numFmtId="169" fontId="12" fillId="2" borderId="14" xfId="0" applyNumberFormat="1" applyFont="1" applyFill="1" applyBorder="1" applyAlignment="1">
      <alignment horizontal="center"/>
    </xf>
  </cellXfs>
  <cellStyles count="1">
    <cellStyle name="Normal" xfId="0" builtinId="0"/>
  </cellStyles>
  <dxfs count="2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1</xdr:row>
      <xdr:rowOff>28575</xdr:rowOff>
    </xdr:from>
    <xdr:ext cx="3829050" cy="7905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436238" y="3389475"/>
          <a:ext cx="3819525" cy="781050"/>
        </a:xfrm>
        <a:prstGeom prst="wedgeRoundRectCallout">
          <a:avLst>
            <a:gd name="adj1" fmla="val -61796"/>
            <a:gd name="adj2" fmla="val 48654"/>
            <a:gd name="adj3" fmla="val 16667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638175</xdr:colOff>
      <xdr:row>1</xdr:row>
      <xdr:rowOff>47625</xdr:rowOff>
    </xdr:from>
    <xdr:ext cx="3686175" cy="6858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507675" y="3441863"/>
          <a:ext cx="3676650" cy="676275"/>
        </a:xfrm>
        <a:prstGeom prst="rect">
          <a:avLst/>
        </a:prstGeom>
        <a:solidFill>
          <a:schemeClr val="accent1"/>
        </a:solidFill>
        <a:ln w="9525" cap="flat" cmpd="sng">
          <a:solidFill>
            <a:schemeClr val="accen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Fill in all cells highlighted in orange until your Free Cash Flow (FCF) summary is complete and there are no more #DIV/0! errors in your spreadsheet</a:t>
          </a:r>
          <a:endParaRPr sz="12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847725</xdr:colOff>
      <xdr:row>48</xdr:row>
      <xdr:rowOff>0</xdr:rowOff>
    </xdr:from>
    <xdr:ext cx="4162425" cy="8858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269550" y="3341850"/>
          <a:ext cx="4152900" cy="876300"/>
        </a:xfrm>
        <a:prstGeom prst="wedgeRoundRectCallout">
          <a:avLst>
            <a:gd name="adj1" fmla="val -66687"/>
            <a:gd name="adj2" fmla="val 118447"/>
            <a:gd name="adj3" fmla="val 16667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9525</xdr:colOff>
      <xdr:row>48</xdr:row>
      <xdr:rowOff>19050</xdr:rowOff>
    </xdr:from>
    <xdr:ext cx="4048125" cy="7905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326700" y="3389475"/>
          <a:ext cx="4038600" cy="781050"/>
        </a:xfrm>
        <a:prstGeom prst="rect">
          <a:avLst/>
        </a:prstGeom>
        <a:solidFill>
          <a:schemeClr val="accent1"/>
        </a:solidFill>
        <a:ln w="9525" cap="flat" cmpd="sng">
          <a:solidFill>
            <a:schemeClr val="accen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Provide brief commentary on what the credit statistics show regarding Sea Harvest's debt capacity and what its leverage ratio tells you in relation to its covenant of 1.5x.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irmac/Downloads/Task%205%20-%20Model%20Answer.xlsx" TargetMode="External"/><Relationship Id="rId1" Type="http://schemas.openxmlformats.org/officeDocument/2006/relationships/externalLinkPath" Target="Task%205%20-%20Model%20Ans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ssary"/>
      <sheetName val="Summary"/>
      <sheetName val="Financial statements"/>
      <sheetName val="Forecast"/>
    </sheetNames>
    <sheetDataSet>
      <sheetData sheetId="0"/>
      <sheetData sheetId="1">
        <row r="5">
          <cell r="C5">
            <v>0.28000000000000003</v>
          </cell>
        </row>
      </sheetData>
      <sheetData sheetId="2">
        <row r="72">
          <cell r="E72">
            <v>727408</v>
          </cell>
        </row>
        <row r="73">
          <cell r="E73">
            <v>47513</v>
          </cell>
        </row>
        <row r="94">
          <cell r="E94">
            <v>902618</v>
          </cell>
        </row>
        <row r="95">
          <cell r="E95">
            <v>740033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baseColWidth="10" defaultColWidth="14.5" defaultRowHeight="15" customHeight="1" x14ac:dyDescent="0.2"/>
  <cols>
    <col min="1" max="1" width="8.83203125" customWidth="1"/>
    <col min="2" max="2" width="33.6640625" customWidth="1"/>
    <col min="3" max="3" width="90" customWidth="1"/>
    <col min="4" max="6" width="8.83203125" customWidth="1"/>
    <col min="7" max="26" width="8.6640625" customWidth="1"/>
  </cols>
  <sheetData>
    <row r="1" spans="1:26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1"/>
      <c r="B2" s="182" t="s">
        <v>0</v>
      </c>
      <c r="C2" s="18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">
      <c r="A3" s="1"/>
      <c r="B3" s="2" t="s">
        <v>1</v>
      </c>
      <c r="C3" s="3" t="s">
        <v>2</v>
      </c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">
      <c r="A4" s="1"/>
      <c r="B4" s="2" t="s">
        <v>3</v>
      </c>
      <c r="C4" s="3" t="s">
        <v>4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">
      <c r="A5" s="1"/>
      <c r="B5" s="2" t="s">
        <v>5</v>
      </c>
      <c r="C5" s="3" t="s">
        <v>6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">
      <c r="A6" s="1"/>
      <c r="B6" s="2" t="s">
        <v>7</v>
      </c>
      <c r="C6" s="3" t="s">
        <v>8</v>
      </c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">
      <c r="A7" s="1"/>
      <c r="B7" s="2" t="s">
        <v>9</v>
      </c>
      <c r="C7" s="3" t="s">
        <v>10</v>
      </c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">
      <c r="A8" s="1"/>
      <c r="B8" s="2" t="s">
        <v>11</v>
      </c>
      <c r="C8" s="3" t="s">
        <v>12</v>
      </c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">
      <c r="A9" s="1"/>
      <c r="B9" s="2" t="s">
        <v>13</v>
      </c>
      <c r="C9" s="3" t="s">
        <v>14</v>
      </c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">
      <c r="A10" s="1"/>
      <c r="B10" s="2" t="s">
        <v>15</v>
      </c>
      <c r="C10" s="3" t="s">
        <v>16</v>
      </c>
      <c r="D10" s="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">
      <c r="A11" s="1"/>
      <c r="B11" s="2" t="s">
        <v>17</v>
      </c>
      <c r="C11" s="3" t="s">
        <v>18</v>
      </c>
      <c r="D11" s="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">
      <c r="A12" s="1"/>
      <c r="B12" s="2" t="s">
        <v>19</v>
      </c>
      <c r="C12" s="3" t="s">
        <v>20</v>
      </c>
      <c r="D12" s="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">
      <c r="A13" s="1"/>
      <c r="B13" s="2" t="s">
        <v>21</v>
      </c>
      <c r="C13" s="3" t="s">
        <v>22</v>
      </c>
      <c r="D13" s="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">
      <c r="A15" s="1"/>
      <c r="B15" s="4" t="s">
        <v>23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">
      <c r="A17" s="1"/>
      <c r="B17" s="5" t="s">
        <v>24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">
      <c r="A18" s="1"/>
      <c r="B18" s="1" t="s">
        <v>25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showGridLines="0" zoomScale="99" workbookViewId="0"/>
  </sheetViews>
  <sheetFormatPr baseColWidth="10" defaultColWidth="14.5" defaultRowHeight="15" customHeight="1" x14ac:dyDescent="0.2"/>
  <cols>
    <col min="1" max="1" width="8.6640625" customWidth="1"/>
    <col min="2" max="2" width="37.1640625" customWidth="1"/>
    <col min="3" max="9" width="12.5" customWidth="1"/>
    <col min="10" max="26" width="8.6640625" customWidth="1"/>
  </cols>
  <sheetData>
    <row r="1" spans="2:9" ht="14.25" customHeight="1" x14ac:dyDescent="0.2"/>
    <row r="2" spans="2:9" ht="14.25" customHeight="1" x14ac:dyDescent="0.2">
      <c r="B2" s="6" t="s">
        <v>26</v>
      </c>
      <c r="C2" s="7">
        <v>44561</v>
      </c>
    </row>
    <row r="3" spans="2:9" ht="14.25" customHeight="1" x14ac:dyDescent="0.2"/>
    <row r="4" spans="2:9" ht="14.25" customHeight="1" x14ac:dyDescent="0.2">
      <c r="B4" s="6" t="s">
        <v>27</v>
      </c>
      <c r="C4" s="8">
        <f>1/2.55</f>
        <v>0.39215686274509809</v>
      </c>
    </row>
    <row r="5" spans="2:9" ht="14.25" customHeight="1" x14ac:dyDescent="0.2">
      <c r="B5" s="6" t="s">
        <v>28</v>
      </c>
      <c r="C5" s="8">
        <v>0.28000000000000003</v>
      </c>
    </row>
    <row r="6" spans="2:9" ht="14.25" customHeight="1" x14ac:dyDescent="0.2">
      <c r="B6" s="6" t="s">
        <v>29</v>
      </c>
      <c r="C6" s="8">
        <v>0.27</v>
      </c>
    </row>
    <row r="7" spans="2:9" ht="14.25" customHeight="1" x14ac:dyDescent="0.2"/>
    <row r="8" spans="2:9" ht="14.25" customHeight="1" x14ac:dyDescent="0.2"/>
    <row r="9" spans="2:9" ht="14.25" customHeight="1" x14ac:dyDescent="0.2">
      <c r="B9" s="9" t="s">
        <v>30</v>
      </c>
      <c r="C9" s="10"/>
      <c r="D9" s="10"/>
      <c r="E9" s="10"/>
      <c r="F9" s="10"/>
      <c r="G9" s="10"/>
      <c r="H9" s="10"/>
      <c r="I9" s="11"/>
    </row>
    <row r="10" spans="2:9" ht="14.25" customHeight="1" x14ac:dyDescent="0.2">
      <c r="B10" s="12"/>
      <c r="C10" s="13">
        <f>D10-365</f>
        <v>44196</v>
      </c>
      <c r="D10" s="14">
        <f>C2</f>
        <v>44561</v>
      </c>
      <c r="E10" s="13">
        <f t="shared" ref="E10:I10" si="0">D10+365</f>
        <v>44926</v>
      </c>
      <c r="F10" s="13">
        <f t="shared" si="0"/>
        <v>45291</v>
      </c>
      <c r="G10" s="13">
        <f t="shared" si="0"/>
        <v>45656</v>
      </c>
      <c r="H10" s="13">
        <f t="shared" si="0"/>
        <v>46021</v>
      </c>
      <c r="I10" s="15">
        <f t="shared" si="0"/>
        <v>46386</v>
      </c>
    </row>
    <row r="11" spans="2:9" ht="14.25" customHeight="1" x14ac:dyDescent="0.2">
      <c r="B11" s="12"/>
      <c r="C11" s="184" t="s">
        <v>31</v>
      </c>
      <c r="D11" s="185"/>
      <c r="E11" s="186" t="s">
        <v>32</v>
      </c>
      <c r="F11" s="187"/>
      <c r="G11" s="187"/>
      <c r="H11" s="187"/>
      <c r="I11" s="188"/>
    </row>
    <row r="12" spans="2:9" ht="14.25" customHeight="1" x14ac:dyDescent="0.2">
      <c r="B12" s="12" t="s">
        <v>33</v>
      </c>
      <c r="C12" s="16">
        <f>'Financial statements'!D6</f>
        <v>4375339</v>
      </c>
      <c r="D12" s="17">
        <f>'Financial statements'!E6</f>
        <v>4615463</v>
      </c>
      <c r="E12" s="16">
        <f>'Financial statements'!G6</f>
        <v>4980009.7333331192</v>
      </c>
      <c r="F12" s="16">
        <f>'Financial statements'!H6</f>
        <v>5373349.7471635258</v>
      </c>
      <c r="G12" s="16">
        <f>'Financial statements'!I6</f>
        <v>5797757.2437429167</v>
      </c>
      <c r="H12" s="16">
        <f>'Financial statements'!J6</f>
        <v>6255686.0504227476</v>
      </c>
      <c r="I12" s="18">
        <f>'Financial statements'!K6</f>
        <v>6749783.8071243344</v>
      </c>
    </row>
    <row r="13" spans="2:9" ht="14.25" customHeight="1" x14ac:dyDescent="0.2">
      <c r="B13" s="19" t="s">
        <v>34</v>
      </c>
      <c r="C13" s="20">
        <f>('Financial statements'!D6-'Financial statements'!C6)/'Financial statements'!C6</f>
        <v>0.10308633509242013</v>
      </c>
      <c r="D13" s="21">
        <f t="shared" ref="D13:I13" si="1">(D12-C12)/C12</f>
        <v>5.4881233202730119E-2</v>
      </c>
      <c r="E13" s="20">
        <f t="shared" si="1"/>
        <v>7.8983784147575051E-2</v>
      </c>
      <c r="F13" s="20">
        <f t="shared" si="1"/>
        <v>7.898378414757519E-2</v>
      </c>
      <c r="G13" s="20">
        <f t="shared" si="1"/>
        <v>7.8983784147575065E-2</v>
      </c>
      <c r="H13" s="20">
        <f t="shared" si="1"/>
        <v>7.8983784147575162E-2</v>
      </c>
      <c r="I13" s="22">
        <f t="shared" si="1"/>
        <v>7.8983784147575078E-2</v>
      </c>
    </row>
    <row r="14" spans="2:9" ht="14.25" customHeight="1" x14ac:dyDescent="0.2">
      <c r="B14" s="12"/>
      <c r="C14" s="16"/>
      <c r="D14" s="23"/>
      <c r="E14" s="16"/>
      <c r="F14" s="16"/>
      <c r="G14" s="16"/>
      <c r="H14" s="16"/>
      <c r="I14" s="18"/>
    </row>
    <row r="15" spans="2:9" ht="14.25" customHeight="1" x14ac:dyDescent="0.2">
      <c r="B15" s="24" t="s">
        <v>9</v>
      </c>
      <c r="C15" s="25">
        <f>Forecast!D8</f>
        <v>844735</v>
      </c>
      <c r="D15" s="26">
        <f>Forecast!E8</f>
        <v>915633</v>
      </c>
      <c r="E15" s="25">
        <f>Forecast!G8</f>
        <v>992228.16074654541</v>
      </c>
      <c r="F15" s="25">
        <f>Forecast!H8</f>
        <v>1070598.0956200962</v>
      </c>
      <c r="G15" s="25">
        <f>Forecast!I8</f>
        <v>1155157.9845133587</v>
      </c>
      <c r="H15" s="25">
        <f>Forecast!J8</f>
        <v>1246396.7334185098</v>
      </c>
      <c r="I15" s="27">
        <f>Forecast!K8</f>
        <v>1344841.8639730799</v>
      </c>
    </row>
    <row r="16" spans="2:9" ht="14.25" customHeight="1" x14ac:dyDescent="0.2">
      <c r="B16" s="19" t="s">
        <v>35</v>
      </c>
      <c r="C16" s="20">
        <f t="shared" ref="C16:I16" si="2">C15/C12</f>
        <v>0.19306732575464439</v>
      </c>
      <c r="D16" s="21">
        <f t="shared" si="2"/>
        <v>0.19838378078212304</v>
      </c>
      <c r="E16" s="20">
        <f t="shared" si="2"/>
        <v>0.19924221314371757</v>
      </c>
      <c r="F16" s="20">
        <f t="shared" si="2"/>
        <v>0.19924221314371759</v>
      </c>
      <c r="G16" s="20">
        <f t="shared" si="2"/>
        <v>0.19924221314371757</v>
      </c>
      <c r="H16" s="20">
        <f t="shared" si="2"/>
        <v>0.19924221314371757</v>
      </c>
      <c r="I16" s="22">
        <f t="shared" si="2"/>
        <v>0.19924221314371754</v>
      </c>
    </row>
    <row r="17" spans="2:9" ht="14.25" customHeight="1" x14ac:dyDescent="0.2">
      <c r="B17" s="12"/>
      <c r="C17" s="16"/>
      <c r="D17" s="23"/>
      <c r="E17" s="16"/>
      <c r="F17" s="16"/>
      <c r="G17" s="16"/>
      <c r="H17" s="16"/>
      <c r="I17" s="18"/>
    </row>
    <row r="18" spans="2:9" ht="14.25" customHeight="1" x14ac:dyDescent="0.2">
      <c r="B18" s="12" t="s">
        <v>36</v>
      </c>
      <c r="C18" s="16">
        <f>Forecast!D20-Forecast!C20</f>
        <v>44850</v>
      </c>
      <c r="D18" s="23">
        <f>Forecast!E20-Forecast!D20</f>
        <v>225696</v>
      </c>
      <c r="E18" s="16">
        <f>Forecast!G20-Forecast!E20</f>
        <v>-62125.498232008307</v>
      </c>
      <c r="F18" s="16">
        <f>Forecast!H20-Forecast!G20</f>
        <v>63629.692075957661</v>
      </c>
      <c r="G18" s="16">
        <f>Forecast!I20-Forecast!H20</f>
        <v>68655.405940262019</v>
      </c>
      <c r="H18" s="16">
        <f>Forecast!J20-Forecast!I20</f>
        <v>74078.069703611545</v>
      </c>
      <c r="I18" s="18">
        <f>Forecast!K20-Forecast!J20</f>
        <v>79929.035971151083</v>
      </c>
    </row>
    <row r="19" spans="2:9" ht="14.25" customHeight="1" x14ac:dyDescent="0.2">
      <c r="B19" s="12" t="s">
        <v>37</v>
      </c>
      <c r="C19" s="16">
        <f>-Forecast!D37</f>
        <v>293887</v>
      </c>
      <c r="D19" s="23">
        <f>-Forecast!E37</f>
        <v>276247</v>
      </c>
      <c r="E19" s="16">
        <f>-Forecast!G37</f>
        <v>330854.41112084803</v>
      </c>
      <c r="F19" s="16">
        <f>-Forecast!H37</f>
        <v>356986.54451309016</v>
      </c>
      <c r="G19" s="16">
        <f>-Forecast!I37</f>
        <v>385182.6926885008</v>
      </c>
      <c r="H19" s="16">
        <f>-Forecast!J37</f>
        <v>415605.87934519112</v>
      </c>
      <c r="I19" s="18">
        <f>-Forecast!K37</f>
        <v>448432.00440985482</v>
      </c>
    </row>
    <row r="20" spans="2:9" ht="14.25" customHeight="1" x14ac:dyDescent="0.2">
      <c r="B20" s="12" t="s">
        <v>38</v>
      </c>
      <c r="C20" s="16">
        <f>Forecast!D38</f>
        <v>-154939.96000000002</v>
      </c>
      <c r="D20" s="23">
        <f>Forecast!E38</f>
        <v>-171503.08000000002</v>
      </c>
      <c r="E20" s="16">
        <f>Forecast!G38</f>
        <v>-184646.84835590096</v>
      </c>
      <c r="F20" s="16">
        <f>Forecast!H38</f>
        <v>-196504.05144736017</v>
      </c>
      <c r="G20" s="16">
        <f>Forecast!I38</f>
        <v>-228634.02810478691</v>
      </c>
      <c r="H20" s="16">
        <f>Forecast!J38</f>
        <v>-249856.59172465964</v>
      </c>
      <c r="I20" s="18">
        <f>Forecast!K38</f>
        <v>-271730.73197763012</v>
      </c>
    </row>
    <row r="21" spans="2:9" ht="14.25" customHeight="1" x14ac:dyDescent="0.2">
      <c r="B21" s="12" t="s">
        <v>39</v>
      </c>
      <c r="C21" s="16">
        <f>Forecast!D39</f>
        <v>-147114</v>
      </c>
      <c r="D21" s="23">
        <f>Forecast!E39</f>
        <v>-133005</v>
      </c>
      <c r="E21" s="16">
        <f>Forecast!G39</f>
        <v>-186198.50254376567</v>
      </c>
      <c r="F21" s="16">
        <f>Forecast!H39</f>
        <v>-208348.52223176896</v>
      </c>
      <c r="G21" s="16">
        <f>Forecast!I39</f>
        <v>-242415.16414886632</v>
      </c>
      <c r="H21" s="16">
        <f>Forecast!J39</f>
        <v>-264916.9382120574</v>
      </c>
      <c r="I21" s="18">
        <f>Forecast!K39</f>
        <v>-288109.56331687729</v>
      </c>
    </row>
    <row r="22" spans="2:9" ht="14.25" customHeight="1" x14ac:dyDescent="0.2">
      <c r="B22" s="28" t="s">
        <v>40</v>
      </c>
      <c r="C22" s="29">
        <f t="shared" ref="C22:I22" si="3">SUM(C18:C21,C15)</f>
        <v>881418.04</v>
      </c>
      <c r="D22" s="30">
        <f t="shared" si="3"/>
        <v>1113067.92</v>
      </c>
      <c r="E22" s="29">
        <f t="shared" si="3"/>
        <v>890111.72273571847</v>
      </c>
      <c r="F22" s="29">
        <f t="shared" si="3"/>
        <v>1086361.7585300149</v>
      </c>
      <c r="G22" s="29">
        <f t="shared" si="3"/>
        <v>1137946.8908884684</v>
      </c>
      <c r="H22" s="29">
        <f t="shared" si="3"/>
        <v>1221307.1525305954</v>
      </c>
      <c r="I22" s="31">
        <f t="shared" si="3"/>
        <v>1313362.6090595785</v>
      </c>
    </row>
    <row r="23" spans="2:9" ht="14.25" customHeight="1" x14ac:dyDescent="0.2">
      <c r="B23" s="12"/>
      <c r="C23" s="32"/>
      <c r="D23" s="32"/>
      <c r="E23" s="32"/>
      <c r="F23" s="32"/>
      <c r="G23" s="32"/>
      <c r="H23" s="32"/>
      <c r="I23" s="18"/>
    </row>
    <row r="24" spans="2:9" ht="14.25" customHeight="1" x14ac:dyDescent="0.2">
      <c r="B24" s="24" t="s">
        <v>41</v>
      </c>
      <c r="C24" s="25">
        <f t="shared" ref="C24:I24" si="4">SUM(C25:C26)</f>
        <v>-834025</v>
      </c>
      <c r="D24" s="26">
        <f t="shared" si="4"/>
        <v>-259166</v>
      </c>
      <c r="E24" s="25">
        <f t="shared" si="4"/>
        <v>-229022.97004371526</v>
      </c>
      <c r="F24" s="25">
        <f t="shared" si="4"/>
        <v>-1047611.2029204275</v>
      </c>
      <c r="G24" s="25">
        <f t="shared" si="4"/>
        <v>-183617.97004371471</v>
      </c>
      <c r="H24" s="25">
        <f t="shared" si="4"/>
        <v>-157807.64149686982</v>
      </c>
      <c r="I24" s="27">
        <f t="shared" si="4"/>
        <v>-96571.617168094686</v>
      </c>
    </row>
    <row r="25" spans="2:9" ht="14.25" customHeight="1" x14ac:dyDescent="0.2">
      <c r="B25" s="12" t="s">
        <v>42</v>
      </c>
      <c r="C25" s="16">
        <f>-Forecast!D55</f>
        <v>-754133</v>
      </c>
      <c r="D25" s="23">
        <f>-Forecast!E55</f>
        <v>-200866</v>
      </c>
      <c r="E25" s="16">
        <f>-Forecast!G55</f>
        <v>-144726.17075854898</v>
      </c>
      <c r="F25" s="16">
        <f>-Forecast!H55</f>
        <v>-972909.98096751294</v>
      </c>
      <c r="G25" s="16">
        <f>-Forecast!I55</f>
        <v>-164532.64835897202</v>
      </c>
      <c r="H25" s="16">
        <f>-Forecast!J55</f>
        <v>-148934.08479213901</v>
      </c>
      <c r="I25" s="18">
        <f>-Forecast!K55</f>
        <v>-94921.345762425102</v>
      </c>
    </row>
    <row r="26" spans="2:9" ht="14.25" customHeight="1" x14ac:dyDescent="0.2">
      <c r="B26" s="12" t="s">
        <v>43</v>
      </c>
      <c r="C26" s="16">
        <f>-Forecast!D56</f>
        <v>-79892</v>
      </c>
      <c r="D26" s="23">
        <f>-Forecast!E56</f>
        <v>-58300</v>
      </c>
      <c r="E26" s="16">
        <f>-Forecast!G56</f>
        <v>-84296.7992851663</v>
      </c>
      <c r="F26" s="16">
        <f>-Forecast!H56</f>
        <v>-74701.221952914595</v>
      </c>
      <c r="G26" s="16">
        <f>-Forecast!I56</f>
        <v>-19085.321684742699</v>
      </c>
      <c r="H26" s="16">
        <f>-Forecast!J56</f>
        <v>-8873.5567047308195</v>
      </c>
      <c r="I26" s="18">
        <f>-Forecast!K56</f>
        <v>-1650.27140566958</v>
      </c>
    </row>
    <row r="27" spans="2:9" ht="14.25" customHeight="1" x14ac:dyDescent="0.2">
      <c r="B27" s="12"/>
      <c r="C27" s="16"/>
      <c r="D27" s="23"/>
      <c r="E27" s="16"/>
      <c r="F27" s="16"/>
      <c r="G27" s="16"/>
      <c r="H27" s="16"/>
      <c r="I27" s="18"/>
    </row>
    <row r="28" spans="2:9" ht="14.25" customHeight="1" x14ac:dyDescent="0.2">
      <c r="B28" s="33" t="s">
        <v>44</v>
      </c>
      <c r="C28" s="34">
        <f t="shared" ref="C28:I28" si="5">C22+C24</f>
        <v>47393.040000000037</v>
      </c>
      <c r="D28" s="35">
        <f t="shared" si="5"/>
        <v>853901.91999999993</v>
      </c>
      <c r="E28" s="34">
        <f t="shared" si="5"/>
        <v>661088.75269200327</v>
      </c>
      <c r="F28" s="34">
        <f t="shared" si="5"/>
        <v>38750.555609587347</v>
      </c>
      <c r="G28" s="34">
        <f t="shared" si="5"/>
        <v>954328.92084475362</v>
      </c>
      <c r="H28" s="34">
        <f t="shared" si="5"/>
        <v>1063499.5110337257</v>
      </c>
      <c r="I28" s="36">
        <f t="shared" si="5"/>
        <v>1216790.9918914838</v>
      </c>
    </row>
    <row r="29" spans="2:9" ht="14.25" customHeight="1" x14ac:dyDescent="0.2">
      <c r="B29" s="37"/>
      <c r="C29" s="37"/>
      <c r="D29" s="37"/>
      <c r="E29" s="37"/>
      <c r="F29" s="37"/>
      <c r="G29" s="37"/>
      <c r="H29" s="37"/>
      <c r="I29" s="37"/>
    </row>
    <row r="30" spans="2:9" ht="14.25" customHeight="1" x14ac:dyDescent="0.2">
      <c r="B30" s="9" t="s">
        <v>45</v>
      </c>
      <c r="C30" s="10"/>
      <c r="D30" s="10"/>
      <c r="E30" s="10"/>
      <c r="F30" s="10"/>
      <c r="G30" s="10"/>
      <c r="H30" s="10"/>
      <c r="I30" s="11"/>
    </row>
    <row r="31" spans="2:9" ht="14.25" customHeight="1" x14ac:dyDescent="0.2">
      <c r="B31" s="12"/>
      <c r="C31" s="38"/>
      <c r="D31" s="39" t="s">
        <v>46</v>
      </c>
      <c r="E31" s="13">
        <f t="shared" ref="E31:I31" si="6">E10</f>
        <v>44926</v>
      </c>
      <c r="F31" s="13">
        <f t="shared" si="6"/>
        <v>45291</v>
      </c>
      <c r="G31" s="13">
        <f t="shared" si="6"/>
        <v>45656</v>
      </c>
      <c r="H31" s="13">
        <f t="shared" si="6"/>
        <v>46021</v>
      </c>
      <c r="I31" s="15">
        <f t="shared" si="6"/>
        <v>46386</v>
      </c>
    </row>
    <row r="32" spans="2:9" ht="14.25" customHeight="1" x14ac:dyDescent="0.2">
      <c r="B32" s="12"/>
      <c r="C32" s="37"/>
      <c r="D32" s="40"/>
      <c r="E32" s="37"/>
      <c r="F32" s="37"/>
      <c r="G32" s="37"/>
      <c r="H32" s="37"/>
      <c r="I32" s="41"/>
    </row>
    <row r="33" spans="2:9" ht="14.25" customHeight="1" x14ac:dyDescent="0.2">
      <c r="B33" s="24" t="s">
        <v>47</v>
      </c>
      <c r="C33" s="16"/>
      <c r="D33" s="23">
        <f>Forecast!E58</f>
        <v>1917497</v>
      </c>
      <c r="E33" s="16">
        <f>Forecast!G58</f>
        <v>1772770.8292414511</v>
      </c>
      <c r="F33" s="16">
        <f>Forecast!H58</f>
        <v>799860.84827393817</v>
      </c>
      <c r="G33" s="16">
        <f>Forecast!I58</f>
        <v>635328.19991496613</v>
      </c>
      <c r="H33" s="16">
        <f>Forecast!J58</f>
        <v>486394.11512282712</v>
      </c>
      <c r="I33" s="18">
        <f>Forecast!K58</f>
        <v>391472.76936040202</v>
      </c>
    </row>
    <row r="34" spans="2:9" ht="14.25" customHeight="1" x14ac:dyDescent="0.2">
      <c r="B34" s="12"/>
      <c r="C34" s="37"/>
      <c r="D34" s="40"/>
      <c r="E34" s="37"/>
      <c r="F34" s="37"/>
      <c r="G34" s="37"/>
      <c r="H34" s="37"/>
      <c r="I34" s="41"/>
    </row>
    <row r="35" spans="2:9" ht="14.25" customHeight="1" x14ac:dyDescent="0.2">
      <c r="B35" s="24" t="s">
        <v>48</v>
      </c>
      <c r="C35" s="37"/>
      <c r="D35" s="42">
        <f t="shared" ref="D35:I35" si="7">D22/-D24</f>
        <v>4.2948068805321684</v>
      </c>
      <c r="E35" s="43">
        <f t="shared" si="7"/>
        <v>3.8865609094398543</v>
      </c>
      <c r="F35" s="43">
        <f t="shared" si="7"/>
        <v>1.0369894436996878</v>
      </c>
      <c r="G35" s="43">
        <f t="shared" si="7"/>
        <v>6.1973612420263251</v>
      </c>
      <c r="H35" s="43">
        <f t="shared" si="7"/>
        <v>7.7392142797775767</v>
      </c>
      <c r="I35" s="44">
        <f t="shared" si="7"/>
        <v>13.599882114156902</v>
      </c>
    </row>
    <row r="36" spans="2:9" ht="14.25" customHeight="1" x14ac:dyDescent="0.2">
      <c r="B36" s="12" t="s">
        <v>49</v>
      </c>
      <c r="C36" s="37"/>
      <c r="D36" s="45"/>
      <c r="E36" s="46">
        <v>1.3</v>
      </c>
      <c r="F36" s="46">
        <f t="shared" ref="F36:I36" si="8">E36</f>
        <v>1.3</v>
      </c>
      <c r="G36" s="46">
        <f t="shared" si="8"/>
        <v>1.3</v>
      </c>
      <c r="H36" s="46">
        <f t="shared" si="8"/>
        <v>1.3</v>
      </c>
      <c r="I36" s="47">
        <f t="shared" si="8"/>
        <v>1.3</v>
      </c>
    </row>
    <row r="37" spans="2:9" ht="14.25" customHeight="1" x14ac:dyDescent="0.2">
      <c r="B37" s="48" t="s">
        <v>50</v>
      </c>
      <c r="C37" s="49"/>
      <c r="D37" s="50"/>
      <c r="E37" s="51">
        <f t="shared" ref="E37:I37" si="9">(E35-E36)/E36</f>
        <v>1.9896622380306572</v>
      </c>
      <c r="F37" s="51">
        <f t="shared" si="9"/>
        <v>-0.20231581253870171</v>
      </c>
      <c r="G37" s="51">
        <f t="shared" si="9"/>
        <v>3.7672009554048653</v>
      </c>
      <c r="H37" s="51">
        <f t="shared" si="9"/>
        <v>4.9532417536750586</v>
      </c>
      <c r="I37" s="52">
        <f t="shared" si="9"/>
        <v>9.4614477801206931</v>
      </c>
    </row>
    <row r="38" spans="2:9" ht="14.25" customHeight="1" x14ac:dyDescent="0.2">
      <c r="B38" s="12"/>
      <c r="C38" s="37"/>
      <c r="D38" s="45"/>
      <c r="E38" s="53"/>
      <c r="F38" s="53"/>
      <c r="G38" s="53"/>
      <c r="H38" s="53"/>
      <c r="I38" s="54"/>
    </row>
    <row r="39" spans="2:9" ht="14.25" customHeight="1" x14ac:dyDescent="0.2">
      <c r="B39" s="24" t="s">
        <v>51</v>
      </c>
      <c r="C39" s="37"/>
      <c r="D39" s="55"/>
      <c r="E39" s="56"/>
      <c r="F39" s="56"/>
      <c r="G39" s="56"/>
      <c r="H39" s="56"/>
      <c r="I39" s="57"/>
    </row>
    <row r="40" spans="2:9" ht="14.25" customHeight="1" x14ac:dyDescent="0.2">
      <c r="B40" s="12" t="s">
        <v>3</v>
      </c>
      <c r="C40" s="37"/>
      <c r="D40" s="58"/>
      <c r="E40" s="59">
        <v>1.5</v>
      </c>
      <c r="F40" s="59">
        <f t="shared" ref="F40:I40" si="10">E40</f>
        <v>1.5</v>
      </c>
      <c r="G40" s="59">
        <f t="shared" si="10"/>
        <v>1.5</v>
      </c>
      <c r="H40" s="59">
        <f t="shared" si="10"/>
        <v>1.5</v>
      </c>
      <c r="I40" s="60">
        <f t="shared" si="10"/>
        <v>1.5</v>
      </c>
    </row>
    <row r="41" spans="2:9" ht="14.25" customHeight="1" x14ac:dyDescent="0.2">
      <c r="B41" s="48" t="s">
        <v>50</v>
      </c>
      <c r="C41" s="49"/>
      <c r="D41" s="61"/>
      <c r="E41" s="62">
        <f t="shared" ref="E41:I41" si="11">(E39-E40)/E40</f>
        <v>-1</v>
      </c>
      <c r="F41" s="62">
        <f t="shared" si="11"/>
        <v>-1</v>
      </c>
      <c r="G41" s="62">
        <f t="shared" si="11"/>
        <v>-1</v>
      </c>
      <c r="H41" s="62">
        <f t="shared" si="11"/>
        <v>-1</v>
      </c>
      <c r="I41" s="63">
        <f t="shared" si="11"/>
        <v>-1</v>
      </c>
    </row>
    <row r="42" spans="2:9" ht="14.25" customHeight="1" x14ac:dyDescent="0.2">
      <c r="B42" s="12"/>
      <c r="C42" s="37"/>
      <c r="D42" s="45"/>
      <c r="E42" s="53"/>
      <c r="F42" s="53"/>
      <c r="G42" s="53"/>
      <c r="H42" s="53"/>
      <c r="I42" s="54"/>
    </row>
    <row r="43" spans="2:9" ht="14.25" customHeight="1" x14ac:dyDescent="0.2">
      <c r="B43" s="24" t="s">
        <v>52</v>
      </c>
      <c r="C43" s="37"/>
      <c r="D43" s="42">
        <f t="shared" ref="D43:I43" si="12">D15/-D26</f>
        <v>15.705540308747857</v>
      </c>
      <c r="E43" s="43">
        <f t="shared" si="12"/>
        <v>11.770650477368097</v>
      </c>
      <c r="F43" s="43">
        <f t="shared" si="12"/>
        <v>14.331734711045446</v>
      </c>
      <c r="G43" s="43">
        <f t="shared" si="12"/>
        <v>60.525989741992241</v>
      </c>
      <c r="H43" s="43">
        <f t="shared" si="12"/>
        <v>140.46191114708378</v>
      </c>
      <c r="I43" s="44">
        <f t="shared" si="12"/>
        <v>814.9216300741906</v>
      </c>
    </row>
    <row r="44" spans="2:9" ht="14.25" customHeight="1" x14ac:dyDescent="0.2">
      <c r="B44" s="12" t="s">
        <v>3</v>
      </c>
      <c r="C44" s="37"/>
      <c r="D44" s="23"/>
      <c r="E44" s="59">
        <v>3.75</v>
      </c>
      <c r="F44" s="59">
        <f t="shared" ref="F44:I44" si="13">E44</f>
        <v>3.75</v>
      </c>
      <c r="G44" s="59">
        <f t="shared" si="13"/>
        <v>3.75</v>
      </c>
      <c r="H44" s="59">
        <f t="shared" si="13"/>
        <v>3.75</v>
      </c>
      <c r="I44" s="60">
        <f t="shared" si="13"/>
        <v>3.75</v>
      </c>
    </row>
    <row r="45" spans="2:9" ht="14.25" customHeight="1" x14ac:dyDescent="0.2">
      <c r="B45" s="64" t="s">
        <v>50</v>
      </c>
      <c r="C45" s="65"/>
      <c r="D45" s="66"/>
      <c r="E45" s="62">
        <f t="shared" ref="E45:I45" si="14">(E44-E43)/E44</f>
        <v>-2.1388401272981592</v>
      </c>
      <c r="F45" s="62">
        <f t="shared" si="14"/>
        <v>-2.8217959229454523</v>
      </c>
      <c r="G45" s="62">
        <f t="shared" si="14"/>
        <v>-15.14026393119793</v>
      </c>
      <c r="H45" s="62">
        <f t="shared" si="14"/>
        <v>-36.45650963922234</v>
      </c>
      <c r="I45" s="63">
        <f t="shared" si="14"/>
        <v>-216.31243468645081</v>
      </c>
    </row>
    <row r="46" spans="2:9" ht="14.25" customHeight="1" x14ac:dyDescent="0.2"/>
    <row r="47" spans="2:9" ht="14.25" customHeight="1" x14ac:dyDescent="0.2"/>
    <row r="48" spans="2:9" ht="14.25" customHeight="1" x14ac:dyDescent="0.2"/>
    <row r="49" spans="2:2" ht="14.25" customHeight="1" x14ac:dyDescent="0.2">
      <c r="B49" s="6" t="s">
        <v>53</v>
      </c>
    </row>
    <row r="50" spans="2:2" ht="14.25" customHeight="1" x14ac:dyDescent="0.2"/>
    <row r="51" spans="2:2" ht="14.25" customHeight="1" x14ac:dyDescent="0.2"/>
    <row r="52" spans="2:2" ht="14.25" customHeight="1" x14ac:dyDescent="0.2"/>
    <row r="53" spans="2:2" ht="14.25" customHeight="1" x14ac:dyDescent="0.2"/>
    <row r="54" spans="2:2" ht="14.25" customHeight="1" x14ac:dyDescent="0.2"/>
    <row r="55" spans="2:2" ht="14.25" customHeight="1" x14ac:dyDescent="0.2"/>
    <row r="56" spans="2:2" ht="14.25" customHeight="1" x14ac:dyDescent="0.2"/>
    <row r="57" spans="2:2" ht="14.25" customHeight="1" x14ac:dyDescent="0.2"/>
    <row r="58" spans="2:2" ht="14.25" customHeight="1" x14ac:dyDescent="0.2"/>
    <row r="59" spans="2:2" ht="14.25" customHeight="1" x14ac:dyDescent="0.2"/>
    <row r="60" spans="2:2" ht="14.25" customHeight="1" x14ac:dyDescent="0.2"/>
    <row r="61" spans="2:2" ht="14.25" customHeight="1" x14ac:dyDescent="0.2"/>
    <row r="62" spans="2:2" ht="14.25" customHeight="1" x14ac:dyDescent="0.2"/>
    <row r="63" spans="2:2" ht="14.25" customHeight="1" x14ac:dyDescent="0.2"/>
    <row r="64" spans="2:2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C11:D11"/>
    <mergeCell ref="E11:I11"/>
  </mergeCells>
  <conditionalFormatting sqref="E35">
    <cfRule type="cellIs" dxfId="25" priority="1" operator="lessThan">
      <formula>$E$66</formula>
    </cfRule>
  </conditionalFormatting>
  <conditionalFormatting sqref="E39">
    <cfRule type="cellIs" dxfId="24" priority="21" operator="greaterThan">
      <formula>$E$70</formula>
    </cfRule>
  </conditionalFormatting>
  <conditionalFormatting sqref="E43">
    <cfRule type="cellIs" dxfId="23" priority="5" operator="lessThan">
      <formula>$E$74</formula>
    </cfRule>
    <cfRule type="cellIs" dxfId="22" priority="6" operator="lessThan">
      <formula>$F$88</formula>
    </cfRule>
  </conditionalFormatting>
  <conditionalFormatting sqref="E35:I35">
    <cfRule type="cellIs" dxfId="21" priority="2" operator="lessThan">
      <formula>$F$80</formula>
    </cfRule>
  </conditionalFormatting>
  <conditionalFormatting sqref="E43:I43">
    <cfRule type="cellIs" dxfId="20" priority="4" operator="lessThan">
      <formula>$F$80</formula>
    </cfRule>
  </conditionalFormatting>
  <conditionalFormatting sqref="F35">
    <cfRule type="cellIs" dxfId="19" priority="8" operator="lessThan">
      <formula>$F$66</formula>
    </cfRule>
    <cfRule type="cellIs" dxfId="18" priority="9" operator="lessThan">
      <formula>$G$80</formula>
    </cfRule>
  </conditionalFormatting>
  <conditionalFormatting sqref="F39">
    <cfRule type="cellIs" dxfId="17" priority="22" operator="greaterThan">
      <formula>$F$70</formula>
    </cfRule>
  </conditionalFormatting>
  <conditionalFormatting sqref="F43">
    <cfRule type="cellIs" dxfId="16" priority="15" operator="lessThan">
      <formula>$G$88</formula>
    </cfRule>
    <cfRule type="cellIs" dxfId="15" priority="14" operator="lessThan">
      <formula>$F$74</formula>
    </cfRule>
  </conditionalFormatting>
  <conditionalFormatting sqref="G35">
    <cfRule type="cellIs" dxfId="14" priority="11" operator="lessThan">
      <formula>$H$80</formula>
    </cfRule>
    <cfRule type="cellIs" dxfId="13" priority="10" operator="lessThan">
      <formula>$G$66</formula>
    </cfRule>
  </conditionalFormatting>
  <conditionalFormatting sqref="G39">
    <cfRule type="cellIs" dxfId="12" priority="23" operator="greaterThan">
      <formula>$G$70</formula>
    </cfRule>
  </conditionalFormatting>
  <conditionalFormatting sqref="G43">
    <cfRule type="cellIs" dxfId="11" priority="16" operator="lessThan">
      <formula>$G$74</formula>
    </cfRule>
    <cfRule type="cellIs" dxfId="10" priority="17" operator="lessThan">
      <formula>$H$88</formula>
    </cfRule>
  </conditionalFormatting>
  <conditionalFormatting sqref="H35">
    <cfRule type="cellIs" dxfId="9" priority="13" operator="lessThan">
      <formula>$I$80</formula>
    </cfRule>
    <cfRule type="cellIs" dxfId="8" priority="12" operator="lessThan">
      <formula>$H$66</formula>
    </cfRule>
  </conditionalFormatting>
  <conditionalFormatting sqref="H39">
    <cfRule type="cellIs" dxfId="7" priority="24" operator="greaterThan">
      <formula>$H$70</formula>
    </cfRule>
  </conditionalFormatting>
  <conditionalFormatting sqref="H43">
    <cfRule type="cellIs" dxfId="6" priority="19" operator="lessThan">
      <formula>$I$88</formula>
    </cfRule>
    <cfRule type="cellIs" dxfId="5" priority="18" operator="lessThan">
      <formula>$H$74</formula>
    </cfRule>
  </conditionalFormatting>
  <conditionalFormatting sqref="I35">
    <cfRule type="cellIs" dxfId="4" priority="20" operator="lessThan">
      <formula>$I$66</formula>
    </cfRule>
    <cfRule type="cellIs" dxfId="3" priority="27" operator="lessThan">
      <formula>#REF!</formula>
    </cfRule>
  </conditionalFormatting>
  <conditionalFormatting sqref="I39">
    <cfRule type="cellIs" dxfId="2" priority="25" operator="greaterThan">
      <formula>$I$70</formula>
    </cfRule>
  </conditionalFormatting>
  <conditionalFormatting sqref="I43">
    <cfRule type="cellIs" dxfId="1" priority="26" operator="lessThan">
      <formula>$I$74</formula>
    </cfRule>
    <cfRule type="cellIs" dxfId="0" priority="28" operator="lessThan">
      <formula>#REF!</formula>
    </cfRule>
  </conditionalFormatting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0"/>
  <sheetViews>
    <sheetView showGridLines="0" tabSelected="1" workbookViewId="0">
      <selection activeCell="G7" sqref="G7"/>
    </sheetView>
  </sheetViews>
  <sheetFormatPr baseColWidth="10" defaultColWidth="14.5" defaultRowHeight="15" customHeight="1" x14ac:dyDescent="0.2"/>
  <cols>
    <col min="1" max="1" width="3.33203125" customWidth="1"/>
    <col min="2" max="2" width="41.83203125" customWidth="1"/>
    <col min="3" max="11" width="10.5" customWidth="1"/>
    <col min="12" max="30" width="8.6640625" customWidth="1"/>
  </cols>
  <sheetData>
    <row r="1" spans="1:30" ht="14.25" customHeight="1" x14ac:dyDescent="0.2">
      <c r="A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ht="12" customHeight="1" x14ac:dyDescent="0.2">
      <c r="A2" s="67"/>
      <c r="B2" s="68" t="s">
        <v>54</v>
      </c>
      <c r="C2" s="69"/>
      <c r="D2" s="69"/>
      <c r="E2" s="69"/>
      <c r="F2" s="69"/>
      <c r="G2" s="70"/>
      <c r="H2" s="70"/>
      <c r="I2" s="70"/>
      <c r="J2" s="70"/>
      <c r="K2" s="70"/>
      <c r="L2" s="71"/>
      <c r="M2" s="72"/>
      <c r="N2" s="72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</row>
    <row r="3" spans="1:30" ht="12" customHeight="1" x14ac:dyDescent="0.2">
      <c r="A3" s="67"/>
      <c r="B3" s="74" t="s">
        <v>55</v>
      </c>
      <c r="C3" s="75">
        <f>D3-375</f>
        <v>43821</v>
      </c>
      <c r="D3" s="75">
        <f>E3-365</f>
        <v>44196</v>
      </c>
      <c r="E3" s="76">
        <f>Summary!C2</f>
        <v>44561</v>
      </c>
      <c r="F3" s="77"/>
      <c r="G3" s="75">
        <f>E3+365</f>
        <v>44926</v>
      </c>
      <c r="H3" s="75">
        <f t="shared" ref="H3:K3" si="0">G3+365</f>
        <v>45291</v>
      </c>
      <c r="I3" s="75">
        <f t="shared" si="0"/>
        <v>45656</v>
      </c>
      <c r="J3" s="75">
        <f t="shared" si="0"/>
        <v>46021</v>
      </c>
      <c r="K3" s="75">
        <f t="shared" si="0"/>
        <v>46386</v>
      </c>
      <c r="L3" s="78"/>
      <c r="M3" s="71"/>
      <c r="N3" s="71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</row>
    <row r="4" spans="1:30" ht="22.5" customHeight="1" x14ac:dyDescent="0.2">
      <c r="A4" s="67"/>
      <c r="B4" s="80"/>
      <c r="C4" s="81" t="s">
        <v>56</v>
      </c>
      <c r="D4" s="81" t="str">
        <f t="shared" ref="D4:E4" si="1">C4</f>
        <v>12 months Audited</v>
      </c>
      <c r="E4" s="81" t="str">
        <f t="shared" si="1"/>
        <v>12 months Audited</v>
      </c>
      <c r="F4" s="82" t="s">
        <v>57</v>
      </c>
      <c r="G4" s="81" t="s">
        <v>58</v>
      </c>
      <c r="H4" s="81" t="s">
        <v>58</v>
      </c>
      <c r="I4" s="81" t="s">
        <v>58</v>
      </c>
      <c r="J4" s="81" t="s">
        <v>58</v>
      </c>
      <c r="K4" s="81" t="s">
        <v>58</v>
      </c>
      <c r="L4" s="67"/>
      <c r="M4" s="78"/>
      <c r="N4" s="78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</row>
    <row r="5" spans="1:30" ht="12" customHeight="1" x14ac:dyDescent="0.2">
      <c r="A5" s="67"/>
      <c r="B5" s="83"/>
      <c r="C5" s="84"/>
      <c r="D5" s="84"/>
      <c r="E5" s="84"/>
      <c r="F5" s="79"/>
      <c r="G5" s="79"/>
      <c r="H5" s="79"/>
      <c r="I5" s="79"/>
      <c r="J5" s="79"/>
      <c r="K5" s="79"/>
      <c r="L5" s="67"/>
      <c r="M5" s="79"/>
      <c r="N5" s="79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</row>
    <row r="6" spans="1:30" ht="12" customHeight="1" x14ac:dyDescent="0.2">
      <c r="A6" s="67"/>
      <c r="B6" s="85" t="s">
        <v>59</v>
      </c>
      <c r="C6" s="86">
        <v>3966452</v>
      </c>
      <c r="D6" s="86">
        <v>4375339</v>
      </c>
      <c r="E6" s="87">
        <v>4615463</v>
      </c>
      <c r="F6" s="88"/>
      <c r="G6" s="89">
        <f>E6*(1+G7)</f>
        <v>4980009.7333331192</v>
      </c>
      <c r="H6" s="89">
        <f t="shared" ref="H6:K6" si="2">G6*(1+H7)</f>
        <v>5373349.7471635258</v>
      </c>
      <c r="I6" s="89">
        <f t="shared" si="2"/>
        <v>5797757.2437429167</v>
      </c>
      <c r="J6" s="89">
        <f t="shared" si="2"/>
        <v>6255686.0504227476</v>
      </c>
      <c r="K6" s="89">
        <f t="shared" si="2"/>
        <v>6749783.8071243344</v>
      </c>
      <c r="L6" s="67"/>
      <c r="M6" s="90"/>
      <c r="N6" s="90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</row>
    <row r="7" spans="1:30" ht="12.75" customHeight="1" x14ac:dyDescent="0.2">
      <c r="A7" s="91"/>
      <c r="B7" s="92" t="s">
        <v>60</v>
      </c>
      <c r="C7" s="93"/>
      <c r="D7" s="94">
        <f t="shared" ref="D7:E7" si="3">(D6-C6)/C6</f>
        <v>0.10308633509242013</v>
      </c>
      <c r="E7" s="94">
        <f t="shared" si="3"/>
        <v>5.4881233202730119E-2</v>
      </c>
      <c r="F7" s="95">
        <f>AVERAGE(C7:E7)</f>
        <v>7.898378414757512E-2</v>
      </c>
      <c r="G7" s="96">
        <f t="shared" ref="G7:K7" si="4">$F$7</f>
        <v>7.898378414757512E-2</v>
      </c>
      <c r="H7" s="94">
        <f t="shared" si="4"/>
        <v>7.898378414757512E-2</v>
      </c>
      <c r="I7" s="94">
        <f t="shared" si="4"/>
        <v>7.898378414757512E-2</v>
      </c>
      <c r="J7" s="94">
        <f t="shared" si="4"/>
        <v>7.898378414757512E-2</v>
      </c>
      <c r="K7" s="94">
        <f t="shared" si="4"/>
        <v>7.898378414757512E-2</v>
      </c>
      <c r="L7" s="67"/>
      <c r="M7" s="97"/>
      <c r="N7" s="97"/>
      <c r="O7" s="98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8"/>
      <c r="AB7" s="98"/>
      <c r="AC7" s="98"/>
      <c r="AD7" s="98"/>
    </row>
    <row r="8" spans="1:30" ht="9" customHeight="1" x14ac:dyDescent="0.2">
      <c r="A8" s="67"/>
      <c r="B8" s="85"/>
      <c r="C8" s="88"/>
      <c r="D8" s="88"/>
      <c r="E8" s="88"/>
      <c r="F8" s="100"/>
      <c r="G8" s="88"/>
      <c r="H8" s="88"/>
      <c r="I8" s="88"/>
      <c r="J8" s="88"/>
      <c r="K8" s="88"/>
      <c r="L8" s="67"/>
      <c r="M8" s="88"/>
      <c r="N8" s="88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</row>
    <row r="9" spans="1:30" ht="12" customHeight="1" x14ac:dyDescent="0.2">
      <c r="A9" s="67"/>
      <c r="B9" s="85" t="s">
        <v>61</v>
      </c>
      <c r="C9" s="86">
        <v>-2695637</v>
      </c>
      <c r="D9" s="86">
        <v>-2894578</v>
      </c>
      <c r="E9" s="87">
        <v>-3191608</v>
      </c>
      <c r="F9" s="100"/>
      <c r="G9" s="89">
        <f t="shared" ref="G9:K9" si="5">G6*G10</f>
        <v>-3374253.7698354535</v>
      </c>
      <c r="H9" s="89">
        <f t="shared" si="5"/>
        <v>-3640765.1012512785</v>
      </c>
      <c r="I9" s="89">
        <f t="shared" si="5"/>
        <v>-3928326.5061405338</v>
      </c>
      <c r="J9" s="89">
        <f t="shared" si="5"/>
        <v>-4238600.5989627363</v>
      </c>
      <c r="K9" s="89">
        <f t="shared" si="5"/>
        <v>-4573381.3137589907</v>
      </c>
      <c r="L9" s="67"/>
      <c r="M9" s="90"/>
      <c r="N9" s="90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</row>
    <row r="10" spans="1:30" ht="12" customHeight="1" x14ac:dyDescent="0.2">
      <c r="A10" s="91"/>
      <c r="B10" s="92" t="s">
        <v>62</v>
      </c>
      <c r="C10" s="94">
        <f t="shared" ref="C10:E10" si="6">C9/C6</f>
        <v>-0.67960913178830851</v>
      </c>
      <c r="D10" s="94">
        <f t="shared" si="6"/>
        <v>-0.66156656661346702</v>
      </c>
      <c r="E10" s="94">
        <f t="shared" si="6"/>
        <v>-0.69150332263523728</v>
      </c>
      <c r="F10" s="95">
        <f>AVERAGE(C10:E10)</f>
        <v>-0.67755967367900427</v>
      </c>
      <c r="G10" s="96">
        <f t="shared" ref="G10:K10" si="7">$F$10</f>
        <v>-0.67755967367900427</v>
      </c>
      <c r="H10" s="94">
        <f t="shared" si="7"/>
        <v>-0.67755967367900427</v>
      </c>
      <c r="I10" s="94">
        <f t="shared" si="7"/>
        <v>-0.67755967367900427</v>
      </c>
      <c r="J10" s="94">
        <f t="shared" si="7"/>
        <v>-0.67755967367900427</v>
      </c>
      <c r="K10" s="94">
        <f t="shared" si="7"/>
        <v>-0.67755967367900427</v>
      </c>
      <c r="L10" s="67"/>
      <c r="M10" s="97"/>
      <c r="N10" s="97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</row>
    <row r="11" spans="1:30" ht="9" customHeight="1" x14ac:dyDescent="0.2">
      <c r="A11" s="67"/>
      <c r="B11" s="101"/>
      <c r="C11" s="88"/>
      <c r="D11" s="88"/>
      <c r="E11" s="88"/>
      <c r="F11" s="88"/>
      <c r="G11" s="88"/>
      <c r="H11" s="88"/>
      <c r="I11" s="88"/>
      <c r="J11" s="88"/>
      <c r="K11" s="88"/>
      <c r="L11" s="67"/>
      <c r="M11" s="88"/>
      <c r="N11" s="88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</row>
    <row r="12" spans="1:30" ht="12" customHeight="1" x14ac:dyDescent="0.2">
      <c r="A12" s="67"/>
      <c r="B12" s="102" t="s">
        <v>63</v>
      </c>
      <c r="C12" s="103">
        <f t="shared" ref="C12:E12" si="8">C6+C9</f>
        <v>1270815</v>
      </c>
      <c r="D12" s="103">
        <f t="shared" si="8"/>
        <v>1480761</v>
      </c>
      <c r="E12" s="103">
        <f t="shared" si="8"/>
        <v>1423855</v>
      </c>
      <c r="F12" s="104"/>
      <c r="G12" s="103">
        <f t="shared" ref="G12:K12" si="9">G6+G9</f>
        <v>1605755.9634976657</v>
      </c>
      <c r="H12" s="103">
        <f t="shared" si="9"/>
        <v>1732584.6459122472</v>
      </c>
      <c r="I12" s="103">
        <f t="shared" si="9"/>
        <v>1869430.7376023829</v>
      </c>
      <c r="J12" s="103">
        <f t="shared" si="9"/>
        <v>2017085.4514600113</v>
      </c>
      <c r="K12" s="103">
        <f t="shared" si="9"/>
        <v>2176402.4933653437</v>
      </c>
      <c r="L12" s="67"/>
      <c r="M12" s="103"/>
      <c r="N12" s="103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</row>
    <row r="13" spans="1:30" ht="9" customHeight="1" x14ac:dyDescent="0.2">
      <c r="A13" s="67"/>
      <c r="B13" s="85"/>
      <c r="C13" s="88"/>
      <c r="D13" s="88"/>
      <c r="E13" s="88"/>
      <c r="F13" s="88"/>
      <c r="G13" s="88"/>
      <c r="H13" s="88"/>
      <c r="I13" s="88"/>
      <c r="J13" s="88"/>
      <c r="K13" s="88"/>
      <c r="L13" s="67"/>
      <c r="M13" s="88"/>
      <c r="N13" s="88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</row>
    <row r="14" spans="1:30" ht="12" customHeight="1" x14ac:dyDescent="0.2">
      <c r="A14" s="67"/>
      <c r="B14" s="85" t="s">
        <v>64</v>
      </c>
      <c r="C14" s="90">
        <f t="shared" ref="C14:E14" si="10">C24-C19-C12</f>
        <v>-725021</v>
      </c>
      <c r="D14" s="90">
        <f t="shared" si="10"/>
        <v>-814460</v>
      </c>
      <c r="E14" s="90">
        <f t="shared" si="10"/>
        <v>-932887</v>
      </c>
      <c r="F14" s="90"/>
      <c r="G14" s="90">
        <f t="shared" ref="G14:K14" si="11">G24-G19-G12</f>
        <v>-862006.13436999603</v>
      </c>
      <c r="H14" s="90">
        <f t="shared" si="11"/>
        <v>-930090.64082096168</v>
      </c>
      <c r="I14" s="90">
        <f t="shared" si="11"/>
        <v>-1003552.7192332443</v>
      </c>
      <c r="J14" s="90">
        <f t="shared" si="11"/>
        <v>-1082817.1105898744</v>
      </c>
      <c r="K14" s="90">
        <f t="shared" si="11"/>
        <v>-1168342.1035240069</v>
      </c>
      <c r="L14" s="67"/>
      <c r="M14" s="90"/>
      <c r="N14" s="90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</row>
    <row r="15" spans="1:30" ht="12" customHeight="1" x14ac:dyDescent="0.2">
      <c r="A15" s="67"/>
      <c r="B15" s="106" t="s">
        <v>65</v>
      </c>
      <c r="C15" s="107">
        <v>-8612</v>
      </c>
      <c r="D15" s="107">
        <v>-8631</v>
      </c>
      <c r="E15" s="108">
        <v>-8731</v>
      </c>
      <c r="F15" s="97"/>
      <c r="G15" s="107">
        <f>G$6*Forecast!G13</f>
        <v>10019.018680030455</v>
      </c>
      <c r="H15" s="107">
        <f>H$6*Forecast!H13</f>
        <v>10810.358688824504</v>
      </c>
      <c r="I15" s="107">
        <f>I$6*Forecast!I13</f>
        <v>11664.201726060483</v>
      </c>
      <c r="J15" s="107">
        <f>J$6*Forecast!J13</f>
        <v>12585.484517445417</v>
      </c>
      <c r="K15" s="107">
        <f>K$6*Forecast!K13</f>
        <v>13579.533709963973</v>
      </c>
      <c r="L15" s="67"/>
      <c r="M15" s="90"/>
      <c r="N15" s="90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</row>
    <row r="16" spans="1:30" ht="12" customHeight="1" x14ac:dyDescent="0.2">
      <c r="A16" s="67"/>
      <c r="B16" s="106" t="s">
        <v>66</v>
      </c>
      <c r="C16" s="109">
        <f>-158219-16653</f>
        <v>-174872</v>
      </c>
      <c r="D16" s="109">
        <f>-191532-19130</f>
        <v>-210662</v>
      </c>
      <c r="E16" s="110">
        <f>-215921-21381</f>
        <v>-237302</v>
      </c>
      <c r="F16" s="97"/>
      <c r="G16" s="109">
        <f>G$6*Forecast!G12</f>
        <v>238459.31293884522</v>
      </c>
      <c r="H16" s="109">
        <f>H$6*Forecast!H12</f>
        <v>257293.73183998605</v>
      </c>
      <c r="I16" s="109">
        <f>I$6*Forecast!I12</f>
        <v>277615.76441815955</v>
      </c>
      <c r="J16" s="109">
        <f>J$6*Forecast!J12</f>
        <v>299542.90803092753</v>
      </c>
      <c r="K16" s="109">
        <f>K$6*Forecast!K12</f>
        <v>323201.94042177929</v>
      </c>
      <c r="L16" s="67"/>
      <c r="M16" s="90"/>
      <c r="N16" s="90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</row>
    <row r="17" spans="1:30" ht="12" customHeight="1" x14ac:dyDescent="0.2">
      <c r="A17" s="67"/>
      <c r="B17" s="111" t="s">
        <v>67</v>
      </c>
      <c r="C17" s="112">
        <f t="shared" ref="C17:E17" si="12">C14-C15-C16</f>
        <v>-541537</v>
      </c>
      <c r="D17" s="112">
        <f t="shared" si="12"/>
        <v>-595167</v>
      </c>
      <c r="E17" s="112">
        <f t="shared" si="12"/>
        <v>-686854</v>
      </c>
      <c r="F17" s="97"/>
      <c r="G17" s="112">
        <f t="shared" ref="G17:K17" si="13">G14-G15-G16</f>
        <v>-1110484.4659888716</v>
      </c>
      <c r="H17" s="112">
        <f t="shared" si="13"/>
        <v>-1198194.7313497723</v>
      </c>
      <c r="I17" s="112">
        <f t="shared" si="13"/>
        <v>-1292832.6853774644</v>
      </c>
      <c r="J17" s="112">
        <f t="shared" si="13"/>
        <v>-1394945.5031382474</v>
      </c>
      <c r="K17" s="112">
        <f t="shared" si="13"/>
        <v>-1505123.5776557503</v>
      </c>
      <c r="L17" s="67"/>
      <c r="M17" s="90"/>
      <c r="N17" s="90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</row>
    <row r="18" spans="1:30" ht="9" customHeight="1" x14ac:dyDescent="0.2">
      <c r="A18" s="67"/>
      <c r="B18" s="85"/>
      <c r="C18" s="88"/>
      <c r="D18" s="88"/>
      <c r="E18" s="88"/>
      <c r="F18" s="88"/>
      <c r="G18" s="88"/>
      <c r="H18" s="88"/>
      <c r="I18" s="88"/>
      <c r="J18" s="88"/>
      <c r="K18" s="88"/>
      <c r="L18" s="67"/>
      <c r="M18" s="88"/>
      <c r="N18" s="88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</row>
    <row r="19" spans="1:30" ht="12" customHeight="1" x14ac:dyDescent="0.2">
      <c r="A19" s="67"/>
      <c r="B19" s="85" t="s">
        <v>68</v>
      </c>
      <c r="C19" s="90">
        <f t="shared" ref="C19:E19" si="14">SUM(C20:C23)</f>
        <v>53786</v>
      </c>
      <c r="D19" s="90">
        <f t="shared" si="14"/>
        <v>-37041</v>
      </c>
      <c r="E19" s="90">
        <f t="shared" si="14"/>
        <v>200262</v>
      </c>
      <c r="F19" s="88"/>
      <c r="G19" s="90">
        <f t="shared" ref="G19:K19" si="15">SUM(G20:G23)</f>
        <v>0</v>
      </c>
      <c r="H19" s="90">
        <f t="shared" si="15"/>
        <v>0</v>
      </c>
      <c r="I19" s="90">
        <f t="shared" si="15"/>
        <v>0</v>
      </c>
      <c r="J19" s="90">
        <f t="shared" si="15"/>
        <v>0</v>
      </c>
      <c r="K19" s="90">
        <f t="shared" si="15"/>
        <v>0</v>
      </c>
      <c r="L19" s="67"/>
      <c r="M19" s="90"/>
      <c r="N19" s="90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</row>
    <row r="20" spans="1:30" ht="12" customHeight="1" x14ac:dyDescent="0.2">
      <c r="A20" s="67"/>
      <c r="B20" s="106" t="s">
        <v>69</v>
      </c>
      <c r="C20" s="107">
        <v>44592</v>
      </c>
      <c r="D20" s="107">
        <v>-67546</v>
      </c>
      <c r="E20" s="108">
        <v>142961</v>
      </c>
      <c r="F20" s="88"/>
      <c r="G20" s="113"/>
      <c r="H20" s="114"/>
      <c r="I20" s="114"/>
      <c r="J20" s="114"/>
      <c r="K20" s="114"/>
      <c r="L20" s="67"/>
      <c r="M20" s="90"/>
      <c r="N20" s="90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</row>
    <row r="21" spans="1:30" ht="12" customHeight="1" x14ac:dyDescent="0.2">
      <c r="A21" s="67"/>
      <c r="B21" s="106" t="s">
        <v>70</v>
      </c>
      <c r="C21" s="109">
        <v>3971</v>
      </c>
      <c r="D21" s="109">
        <v>4008</v>
      </c>
      <c r="E21" s="110">
        <v>2235</v>
      </c>
      <c r="F21" s="88"/>
      <c r="G21" s="115"/>
      <c r="H21" s="112"/>
      <c r="I21" s="112"/>
      <c r="J21" s="112"/>
      <c r="K21" s="112"/>
      <c r="L21" s="67"/>
      <c r="M21" s="90"/>
      <c r="N21" s="90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</row>
    <row r="22" spans="1:30" ht="12" customHeight="1" x14ac:dyDescent="0.2">
      <c r="A22" s="67"/>
      <c r="B22" s="106" t="s">
        <v>71</v>
      </c>
      <c r="C22" s="109">
        <v>5223</v>
      </c>
      <c r="D22" s="109">
        <v>750</v>
      </c>
      <c r="E22" s="110">
        <v>8616</v>
      </c>
      <c r="F22" s="88"/>
      <c r="G22" s="115"/>
      <c r="H22" s="112"/>
      <c r="I22" s="112"/>
      <c r="J22" s="112"/>
      <c r="K22" s="112"/>
      <c r="L22" s="67"/>
      <c r="M22" s="90"/>
      <c r="N22" s="90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</row>
    <row r="23" spans="1:30" ht="12" customHeight="1" x14ac:dyDescent="0.2">
      <c r="A23" s="67"/>
      <c r="B23" s="106" t="s">
        <v>72</v>
      </c>
      <c r="C23" s="116">
        <v>0</v>
      </c>
      <c r="D23" s="116">
        <v>25747</v>
      </c>
      <c r="E23" s="117">
        <v>46450</v>
      </c>
      <c r="F23" s="88"/>
      <c r="G23" s="118"/>
      <c r="H23" s="119"/>
      <c r="I23" s="119"/>
      <c r="J23" s="119"/>
      <c r="K23" s="119"/>
      <c r="L23" s="67"/>
      <c r="M23" s="90"/>
      <c r="N23" s="90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</row>
    <row r="24" spans="1:30" ht="12" customHeight="1" x14ac:dyDescent="0.2">
      <c r="A24" s="67"/>
      <c r="B24" s="102" t="s">
        <v>73</v>
      </c>
      <c r="C24" s="120">
        <v>599580</v>
      </c>
      <c r="D24" s="120">
        <v>629260</v>
      </c>
      <c r="E24" s="121">
        <v>691230</v>
      </c>
      <c r="F24" s="104"/>
      <c r="G24" s="122">
        <f>Forecast!G5</f>
        <v>743749.82912766968</v>
      </c>
      <c r="H24" s="122">
        <f>Forecast!H5</f>
        <v>802494.00509128557</v>
      </c>
      <c r="I24" s="122">
        <f>Forecast!I5</f>
        <v>865878.01836913859</v>
      </c>
      <c r="J24" s="122">
        <f>Forecast!J5</f>
        <v>934268.34087013686</v>
      </c>
      <c r="K24" s="122">
        <f>Forecast!K5</f>
        <v>1008060.3898413368</v>
      </c>
      <c r="L24" s="67"/>
      <c r="M24" s="103"/>
      <c r="N24" s="103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</row>
    <row r="25" spans="1:30" ht="14.25" customHeight="1" x14ac:dyDescent="0.2">
      <c r="A25" s="67"/>
      <c r="B25" s="85"/>
      <c r="C25" s="123"/>
      <c r="D25" s="123"/>
      <c r="E25" s="123"/>
      <c r="G25" s="124"/>
      <c r="H25" s="124"/>
      <c r="I25" s="124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</row>
    <row r="26" spans="1:30" ht="12" customHeight="1" x14ac:dyDescent="0.2">
      <c r="A26" s="67"/>
      <c r="B26" s="85" t="s">
        <v>74</v>
      </c>
      <c r="C26" s="90">
        <f>SUM(C27:C30)</f>
        <v>35118</v>
      </c>
      <c r="D26" s="90">
        <f t="shared" ref="C26:E26" si="16">SUM(D27:D30)</f>
        <v>-3818</v>
      </c>
      <c r="E26" s="90">
        <f t="shared" si="16"/>
        <v>-21630</v>
      </c>
      <c r="F26" s="88"/>
      <c r="G26" s="90">
        <f t="shared" ref="G26:K26" si="17">SUM(G27:G30)</f>
        <v>0</v>
      </c>
      <c r="H26" s="90">
        <f t="shared" si="17"/>
        <v>0</v>
      </c>
      <c r="I26" s="90">
        <f t="shared" si="17"/>
        <v>0</v>
      </c>
      <c r="J26" s="90">
        <f t="shared" si="17"/>
        <v>0</v>
      </c>
      <c r="K26" s="90">
        <f t="shared" si="17"/>
        <v>0</v>
      </c>
      <c r="L26" s="67"/>
      <c r="M26" s="90"/>
      <c r="N26" s="90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</row>
    <row r="27" spans="1:30" ht="12" customHeight="1" x14ac:dyDescent="0.2">
      <c r="A27" s="67"/>
      <c r="B27" s="85" t="s">
        <v>75</v>
      </c>
      <c r="C27" s="107">
        <v>-112</v>
      </c>
      <c r="D27" s="107">
        <v>790</v>
      </c>
      <c r="E27" s="108">
        <v>-478</v>
      </c>
      <c r="F27" s="88"/>
      <c r="G27" s="113"/>
      <c r="H27" s="114"/>
      <c r="I27" s="114"/>
      <c r="J27" s="114"/>
      <c r="K27" s="114"/>
      <c r="L27" s="67"/>
      <c r="M27" s="90"/>
      <c r="N27" s="90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</row>
    <row r="28" spans="1:30" ht="12" customHeight="1" x14ac:dyDescent="0.2">
      <c r="A28" s="67"/>
      <c r="B28" s="85" t="s">
        <v>76</v>
      </c>
      <c r="C28" s="191">
        <v>891</v>
      </c>
      <c r="D28" s="109">
        <v>0</v>
      </c>
      <c r="E28" s="110">
        <v>1578</v>
      </c>
      <c r="F28" s="88"/>
      <c r="G28" s="115"/>
      <c r="H28" s="112"/>
      <c r="I28" s="112"/>
      <c r="J28" s="112"/>
      <c r="K28" s="112"/>
      <c r="L28" s="67"/>
      <c r="M28" s="90"/>
      <c r="N28" s="90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</row>
    <row r="29" spans="1:30" ht="12" customHeight="1" x14ac:dyDescent="0.2">
      <c r="A29" s="67"/>
      <c r="B29" s="85" t="s">
        <v>77</v>
      </c>
      <c r="C29" s="191">
        <v>34339</v>
      </c>
      <c r="D29" s="109">
        <v>-4608</v>
      </c>
      <c r="E29" s="110">
        <v>-16577</v>
      </c>
      <c r="F29" s="88"/>
      <c r="G29" s="115"/>
      <c r="H29" s="112"/>
      <c r="I29" s="112"/>
      <c r="J29" s="112"/>
      <c r="K29" s="112"/>
      <c r="L29" s="67"/>
      <c r="M29" s="90"/>
      <c r="N29" s="90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</row>
    <row r="30" spans="1:30" ht="12" customHeight="1" x14ac:dyDescent="0.2">
      <c r="A30" s="67"/>
      <c r="B30" s="85" t="s">
        <v>78</v>
      </c>
      <c r="C30" s="192">
        <v>0</v>
      </c>
      <c r="D30" s="116">
        <v>0</v>
      </c>
      <c r="E30" s="117">
        <v>-6153</v>
      </c>
      <c r="F30" s="88"/>
      <c r="G30" s="118"/>
      <c r="H30" s="119"/>
      <c r="I30" s="119"/>
      <c r="J30" s="119"/>
      <c r="K30" s="119"/>
      <c r="L30" s="67"/>
      <c r="M30" s="90"/>
      <c r="N30" s="90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</row>
    <row r="31" spans="1:30" ht="12" customHeight="1" x14ac:dyDescent="0.2">
      <c r="A31" s="67"/>
      <c r="B31" s="85"/>
      <c r="C31" s="90"/>
      <c r="D31" s="90"/>
      <c r="E31" s="90"/>
      <c r="F31" s="88"/>
      <c r="G31" s="90"/>
      <c r="H31" s="90"/>
      <c r="I31" s="90"/>
      <c r="J31" s="90"/>
      <c r="K31" s="90"/>
      <c r="L31" s="67"/>
      <c r="M31" s="90"/>
      <c r="N31" s="90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</row>
    <row r="32" spans="1:30" ht="12" customHeight="1" x14ac:dyDescent="0.2">
      <c r="A32" s="67"/>
      <c r="B32" s="85" t="s">
        <v>79</v>
      </c>
      <c r="C32" s="119"/>
      <c r="D32" s="119"/>
      <c r="E32" s="119"/>
      <c r="F32" s="125"/>
      <c r="G32" s="112"/>
      <c r="H32" s="112"/>
      <c r="I32" s="112"/>
      <c r="J32" s="112"/>
      <c r="K32" s="112"/>
      <c r="L32" s="67"/>
      <c r="M32" s="90"/>
      <c r="N32" s="90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</row>
    <row r="33" spans="1:30" ht="12" customHeight="1" x14ac:dyDescent="0.2">
      <c r="A33" s="67"/>
      <c r="B33" s="102" t="s">
        <v>80</v>
      </c>
      <c r="C33" s="103">
        <f t="shared" ref="C33:E33" si="18">SUM(C24,C26,C32)</f>
        <v>634698</v>
      </c>
      <c r="D33" s="103">
        <f t="shared" si="18"/>
        <v>625442</v>
      </c>
      <c r="E33" s="103">
        <f t="shared" si="18"/>
        <v>669600</v>
      </c>
      <c r="F33" s="104"/>
      <c r="G33" s="122">
        <f t="shared" ref="G33:K33" si="19">SUM(G24,G26,G32)</f>
        <v>743749.82912766968</v>
      </c>
      <c r="H33" s="122">
        <f t="shared" si="19"/>
        <v>802494.00509128557</v>
      </c>
      <c r="I33" s="122">
        <f t="shared" si="19"/>
        <v>865878.01836913859</v>
      </c>
      <c r="J33" s="122">
        <f t="shared" si="19"/>
        <v>934268.34087013686</v>
      </c>
      <c r="K33" s="122">
        <f t="shared" si="19"/>
        <v>1008060.3898413368</v>
      </c>
      <c r="L33" s="67"/>
      <c r="M33" s="103"/>
      <c r="N33" s="103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</row>
    <row r="34" spans="1:30" ht="12" customHeight="1" x14ac:dyDescent="0.2">
      <c r="A34" s="67"/>
      <c r="B34" s="85" t="s">
        <v>81</v>
      </c>
      <c r="C34" s="90">
        <f t="shared" ref="C34:E34" si="20">SUM(C35:C36)</f>
        <v>-100506</v>
      </c>
      <c r="D34" s="90">
        <f t="shared" si="20"/>
        <v>-72085</v>
      </c>
      <c r="E34" s="90">
        <f t="shared" si="20"/>
        <v>-57089</v>
      </c>
      <c r="F34" s="88"/>
      <c r="G34" s="90">
        <f t="shared" ref="G34:K34" si="21">SUM(G35:G36)</f>
        <v>-84296.7992851663</v>
      </c>
      <c r="H34" s="90">
        <f t="shared" si="21"/>
        <v>-74701.221952914595</v>
      </c>
      <c r="I34" s="90">
        <f t="shared" si="21"/>
        <v>-19085.321684742699</v>
      </c>
      <c r="J34" s="90">
        <f t="shared" si="21"/>
        <v>-8873.5567047308195</v>
      </c>
      <c r="K34" s="90">
        <f t="shared" si="21"/>
        <v>-1650.27140566958</v>
      </c>
      <c r="L34" s="67"/>
      <c r="M34" s="90"/>
      <c r="N34" s="90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</row>
    <row r="35" spans="1:30" ht="12" customHeight="1" x14ac:dyDescent="0.2">
      <c r="A35" s="67"/>
      <c r="B35" s="85" t="s">
        <v>82</v>
      </c>
      <c r="C35" s="193">
        <v>-121919</v>
      </c>
      <c r="D35" s="107">
        <v>-101079</v>
      </c>
      <c r="E35" s="107">
        <v>-77859</v>
      </c>
      <c r="F35" s="88"/>
      <c r="G35" s="126">
        <f>-Forecast!G56</f>
        <v>-84296.7992851663</v>
      </c>
      <c r="H35" s="107">
        <f>-Forecast!H56</f>
        <v>-74701.221952914595</v>
      </c>
      <c r="I35" s="107">
        <f>-Forecast!I56</f>
        <v>-19085.321684742699</v>
      </c>
      <c r="J35" s="107">
        <f>-Forecast!J56</f>
        <v>-8873.5567047308195</v>
      </c>
      <c r="K35" s="107">
        <f>-Forecast!K56</f>
        <v>-1650.27140566958</v>
      </c>
      <c r="L35" s="67"/>
      <c r="M35" s="90"/>
      <c r="N35" s="90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</row>
    <row r="36" spans="1:30" ht="12" customHeight="1" x14ac:dyDescent="0.2">
      <c r="A36" s="67"/>
      <c r="B36" s="85" t="s">
        <v>83</v>
      </c>
      <c r="C36" s="191">
        <v>21413</v>
      </c>
      <c r="D36" s="109">
        <v>28994</v>
      </c>
      <c r="E36" s="109">
        <v>20770</v>
      </c>
      <c r="F36" s="88"/>
      <c r="G36" s="127"/>
      <c r="H36" s="116"/>
      <c r="I36" s="116"/>
      <c r="J36" s="116"/>
      <c r="K36" s="116"/>
      <c r="L36" s="67"/>
      <c r="M36" s="90"/>
      <c r="N36" s="90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</row>
    <row r="37" spans="1:30" ht="12" customHeight="1" x14ac:dyDescent="0.2">
      <c r="A37" s="67"/>
      <c r="B37" s="85"/>
      <c r="C37" s="128"/>
      <c r="D37" s="128"/>
      <c r="E37" s="128"/>
      <c r="F37" s="88"/>
      <c r="G37" s="128"/>
      <c r="H37" s="128"/>
      <c r="I37" s="128"/>
      <c r="J37" s="128"/>
      <c r="K37" s="128"/>
      <c r="L37" s="67"/>
      <c r="M37" s="88"/>
      <c r="N37" s="88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</row>
    <row r="38" spans="1:30" ht="12" customHeight="1" x14ac:dyDescent="0.2">
      <c r="A38" s="67"/>
      <c r="B38" s="102" t="s">
        <v>84</v>
      </c>
      <c r="C38" s="103">
        <f t="shared" ref="C38:E38" si="22">C33+C34</f>
        <v>534192</v>
      </c>
      <c r="D38" s="103">
        <f t="shared" si="22"/>
        <v>553357</v>
      </c>
      <c r="E38" s="103">
        <f t="shared" si="22"/>
        <v>612511</v>
      </c>
      <c r="F38" s="104"/>
      <c r="G38" s="103">
        <f t="shared" ref="G38:K38" si="23">G33+G34</f>
        <v>659453.02984250337</v>
      </c>
      <c r="H38" s="103">
        <f t="shared" si="23"/>
        <v>727792.78313837096</v>
      </c>
      <c r="I38" s="103">
        <f t="shared" si="23"/>
        <v>846792.69668439589</v>
      </c>
      <c r="J38" s="103">
        <f t="shared" si="23"/>
        <v>925394.78416540602</v>
      </c>
      <c r="K38" s="103">
        <f t="shared" si="23"/>
        <v>1006410.1184356671</v>
      </c>
      <c r="L38" s="67"/>
      <c r="M38" s="103"/>
      <c r="N38" s="103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</row>
    <row r="39" spans="1:30" ht="12" customHeight="1" x14ac:dyDescent="0.2">
      <c r="A39" s="67"/>
      <c r="B39" s="85"/>
      <c r="C39" s="88"/>
      <c r="D39" s="88"/>
      <c r="E39" s="88"/>
      <c r="F39" s="88"/>
      <c r="G39" s="88"/>
      <c r="H39" s="88"/>
      <c r="I39" s="88"/>
      <c r="J39" s="88"/>
      <c r="K39" s="88"/>
      <c r="L39" s="67"/>
      <c r="M39" s="88"/>
      <c r="N39" s="88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</row>
    <row r="40" spans="1:30" ht="12" customHeight="1" x14ac:dyDescent="0.2">
      <c r="A40" s="67"/>
      <c r="B40" s="85" t="s">
        <v>85</v>
      </c>
      <c r="C40" s="193">
        <f>IF(C38&gt;0,-C38*[1]Summary!$C$5,0)</f>
        <v>-149573.76000000001</v>
      </c>
      <c r="D40" s="107">
        <f>IF(D38&gt;0,-D38*Summary!$C$5,0)</f>
        <v>-154939.96000000002</v>
      </c>
      <c r="E40" s="108">
        <f>IF(E38&gt;0,-E38*Summary!$C$5,0)</f>
        <v>-171503.08000000002</v>
      </c>
      <c r="F40" s="88"/>
      <c r="G40" s="107">
        <f>IF(G38&gt;0,-G38*Summary!$C$5,0)</f>
        <v>-184646.84835590096</v>
      </c>
      <c r="H40" s="107">
        <f>IF(H38&gt;0,-H38*Summary!$C$6,0)</f>
        <v>-196504.05144736017</v>
      </c>
      <c r="I40" s="107">
        <f>IF(I38&gt;0,-I38*Summary!$C$6,0)</f>
        <v>-228634.02810478691</v>
      </c>
      <c r="J40" s="107">
        <f>IF(J38&gt;0,-J38*Summary!$C$6,0)</f>
        <v>-249856.59172465964</v>
      </c>
      <c r="K40" s="107">
        <f>IF(K38&gt;0,-K38*Summary!$C$6,0)</f>
        <v>-271730.73197763012</v>
      </c>
      <c r="L40" s="67"/>
      <c r="M40" s="90"/>
      <c r="N40" s="90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</row>
    <row r="41" spans="1:30" ht="12" customHeight="1" x14ac:dyDescent="0.2">
      <c r="A41" s="67"/>
      <c r="B41" s="101" t="s">
        <v>86</v>
      </c>
      <c r="C41" s="109"/>
      <c r="D41" s="109"/>
      <c r="E41" s="110"/>
      <c r="F41" s="88"/>
      <c r="G41" s="109"/>
      <c r="H41" s="109"/>
      <c r="I41" s="109"/>
      <c r="J41" s="109"/>
      <c r="K41" s="109"/>
      <c r="L41" s="67"/>
      <c r="M41" s="90"/>
      <c r="N41" s="90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</row>
    <row r="42" spans="1:30" ht="12" customHeight="1" x14ac:dyDescent="0.2">
      <c r="A42" s="67"/>
      <c r="B42" s="101" t="s">
        <v>87</v>
      </c>
      <c r="C42" s="116"/>
      <c r="D42" s="116"/>
      <c r="E42" s="117"/>
      <c r="F42" s="88"/>
      <c r="G42" s="116"/>
      <c r="H42" s="116"/>
      <c r="I42" s="116"/>
      <c r="J42" s="116"/>
      <c r="K42" s="116"/>
      <c r="L42" s="67"/>
      <c r="M42" s="90"/>
      <c r="N42" s="90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</row>
    <row r="43" spans="1:30" ht="12" customHeight="1" x14ac:dyDescent="0.2">
      <c r="A43" s="67"/>
      <c r="B43" s="85" t="s">
        <v>88</v>
      </c>
      <c r="C43" s="90">
        <f t="shared" ref="C43:E43" si="24">SUM(C40:C42)</f>
        <v>-149573.76000000001</v>
      </c>
      <c r="D43" s="90">
        <f t="shared" si="24"/>
        <v>-154939.96000000002</v>
      </c>
      <c r="E43" s="90">
        <f t="shared" si="24"/>
        <v>-171503.08000000002</v>
      </c>
      <c r="F43" s="88"/>
      <c r="G43" s="90">
        <f t="shared" ref="G43:K43" si="25">SUM(G40:G42)</f>
        <v>-184646.84835590096</v>
      </c>
      <c r="H43" s="90">
        <f t="shared" si="25"/>
        <v>-196504.05144736017</v>
      </c>
      <c r="I43" s="90">
        <f t="shared" si="25"/>
        <v>-228634.02810478691</v>
      </c>
      <c r="J43" s="90">
        <f t="shared" si="25"/>
        <v>-249856.59172465964</v>
      </c>
      <c r="K43" s="90">
        <f t="shared" si="25"/>
        <v>-271730.73197763012</v>
      </c>
      <c r="L43" s="67"/>
      <c r="M43" s="90"/>
      <c r="N43" s="90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</row>
    <row r="44" spans="1:30" ht="12" customHeight="1" x14ac:dyDescent="0.2">
      <c r="A44" s="67"/>
      <c r="B44" s="85"/>
      <c r="C44" s="128"/>
      <c r="D44" s="128"/>
      <c r="E44" s="128"/>
      <c r="F44" s="88"/>
      <c r="G44" s="128"/>
      <c r="H44" s="128"/>
      <c r="I44" s="128"/>
      <c r="J44" s="128"/>
      <c r="K44" s="128"/>
      <c r="L44" s="67"/>
      <c r="M44" s="88"/>
      <c r="N44" s="88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</row>
    <row r="45" spans="1:30" ht="12" customHeight="1" x14ac:dyDescent="0.2">
      <c r="A45" s="67"/>
      <c r="B45" s="102" t="s">
        <v>89</v>
      </c>
      <c r="C45" s="103">
        <f t="shared" ref="C45:E45" si="26">C38+C43</f>
        <v>384618.23999999999</v>
      </c>
      <c r="D45" s="103">
        <f t="shared" si="26"/>
        <v>398417.04</v>
      </c>
      <c r="E45" s="103">
        <f t="shared" si="26"/>
        <v>441007.92</v>
      </c>
      <c r="F45" s="104"/>
      <c r="G45" s="103">
        <f t="shared" ref="G45:K45" si="27">G38+G43</f>
        <v>474806.18148660241</v>
      </c>
      <c r="H45" s="103">
        <f t="shared" si="27"/>
        <v>531288.73169101076</v>
      </c>
      <c r="I45" s="103">
        <f t="shared" si="27"/>
        <v>618158.66857960902</v>
      </c>
      <c r="J45" s="103">
        <f t="shared" si="27"/>
        <v>675538.19244074635</v>
      </c>
      <c r="K45" s="103">
        <f t="shared" si="27"/>
        <v>734679.38645803696</v>
      </c>
      <c r="L45" s="67"/>
      <c r="M45" s="103"/>
      <c r="N45" s="103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</row>
    <row r="46" spans="1:30" ht="12" customHeight="1" x14ac:dyDescent="0.2">
      <c r="A46" s="67"/>
      <c r="B46" s="85"/>
      <c r="C46" s="88"/>
      <c r="D46" s="88"/>
      <c r="E46" s="88"/>
      <c r="F46" s="88"/>
      <c r="G46" s="88"/>
      <c r="H46" s="88"/>
      <c r="I46" s="88"/>
      <c r="J46" s="88"/>
      <c r="K46" s="88"/>
      <c r="L46" s="67"/>
      <c r="M46" s="88"/>
      <c r="N46" s="88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</row>
    <row r="47" spans="1:30" ht="12" customHeight="1" x14ac:dyDescent="0.2">
      <c r="A47" s="67"/>
      <c r="B47" s="85" t="s">
        <v>90</v>
      </c>
      <c r="C47" s="86">
        <v>-117154</v>
      </c>
      <c r="D47" s="86">
        <v>-147114</v>
      </c>
      <c r="E47" s="87">
        <v>-133005</v>
      </c>
      <c r="F47" s="88"/>
      <c r="G47" s="109"/>
      <c r="H47" s="109"/>
      <c r="I47" s="109"/>
      <c r="J47" s="109"/>
      <c r="K47" s="109"/>
      <c r="L47" s="67"/>
      <c r="M47" s="90"/>
      <c r="N47" s="90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</row>
    <row r="48" spans="1:30" ht="12" customHeight="1" x14ac:dyDescent="0.2">
      <c r="A48" s="67"/>
      <c r="B48" s="85"/>
      <c r="C48" s="88"/>
      <c r="D48" s="88"/>
      <c r="E48" s="88"/>
      <c r="F48" s="90"/>
      <c r="G48" s="90"/>
      <c r="H48" s="90"/>
      <c r="I48" s="90"/>
      <c r="J48" s="90"/>
      <c r="K48" s="90"/>
      <c r="L48" s="67"/>
      <c r="M48" s="90"/>
      <c r="N48" s="90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0" ht="12" customHeight="1" x14ac:dyDescent="0.2">
      <c r="A49" s="67"/>
      <c r="B49" s="85" t="s">
        <v>91</v>
      </c>
      <c r="C49" s="109">
        <v>377911</v>
      </c>
      <c r="D49" s="90">
        <f t="shared" ref="D49:E49" si="28">C51</f>
        <v>645375.24</v>
      </c>
      <c r="E49" s="90">
        <f t="shared" si="28"/>
        <v>896678.28</v>
      </c>
      <c r="F49" s="90"/>
      <c r="G49" s="90">
        <f>E62</f>
        <v>1286289</v>
      </c>
      <c r="H49" s="90">
        <f t="shared" ref="H49:K49" si="29">G51</f>
        <v>1761095.1814866024</v>
      </c>
      <c r="I49" s="90">
        <f t="shared" si="29"/>
        <v>2292383.9131776132</v>
      </c>
      <c r="J49" s="90">
        <f t="shared" si="29"/>
        <v>2910542.5817572223</v>
      </c>
      <c r="K49" s="90">
        <f t="shared" si="29"/>
        <v>3586080.7741979687</v>
      </c>
      <c r="L49" s="67"/>
      <c r="M49" s="90"/>
      <c r="N49" s="90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</row>
    <row r="50" spans="1:30" ht="12" customHeight="1" x14ac:dyDescent="0.2">
      <c r="A50" s="67"/>
      <c r="B50" s="102" t="s">
        <v>92</v>
      </c>
      <c r="C50" s="103">
        <f t="shared" ref="C50:E50" si="30">SUM(C45:C47)</f>
        <v>267464.24</v>
      </c>
      <c r="D50" s="103">
        <f t="shared" si="30"/>
        <v>251303.03999999998</v>
      </c>
      <c r="E50" s="103">
        <f t="shared" si="30"/>
        <v>308002.92</v>
      </c>
      <c r="F50" s="104"/>
      <c r="G50" s="103">
        <f t="shared" ref="G50:K50" si="31">SUM(G45:G47)</f>
        <v>474806.18148660241</v>
      </c>
      <c r="H50" s="103">
        <f t="shared" si="31"/>
        <v>531288.73169101076</v>
      </c>
      <c r="I50" s="103">
        <f t="shared" si="31"/>
        <v>618158.66857960902</v>
      </c>
      <c r="J50" s="103">
        <f t="shared" si="31"/>
        <v>675538.19244074635</v>
      </c>
      <c r="K50" s="103">
        <f t="shared" si="31"/>
        <v>734679.38645803696</v>
      </c>
      <c r="L50" s="67"/>
      <c r="M50" s="103"/>
      <c r="N50" s="10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</row>
    <row r="51" spans="1:30" ht="12" customHeight="1" x14ac:dyDescent="0.2">
      <c r="A51" s="67"/>
      <c r="B51" s="129" t="s">
        <v>93</v>
      </c>
      <c r="C51" s="130">
        <f t="shared" ref="C51:E51" si="32">C49+C50</f>
        <v>645375.24</v>
      </c>
      <c r="D51" s="130">
        <f t="shared" si="32"/>
        <v>896678.28</v>
      </c>
      <c r="E51" s="130">
        <f t="shared" si="32"/>
        <v>1204681.2</v>
      </c>
      <c r="F51" s="130"/>
      <c r="G51" s="130">
        <f t="shared" ref="G51:K51" si="33">G49+G50</f>
        <v>1761095.1814866024</v>
      </c>
      <c r="H51" s="130">
        <f t="shared" si="33"/>
        <v>2292383.9131776132</v>
      </c>
      <c r="I51" s="130">
        <f t="shared" si="33"/>
        <v>2910542.5817572223</v>
      </c>
      <c r="J51" s="130">
        <f t="shared" si="33"/>
        <v>3586080.7741979687</v>
      </c>
      <c r="K51" s="130">
        <f t="shared" si="33"/>
        <v>4320760.1606560051</v>
      </c>
      <c r="L51" s="67"/>
      <c r="M51" s="103"/>
      <c r="N51" s="10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</row>
    <row r="52" spans="1:30" ht="12" customHeight="1" x14ac:dyDescent="0.2">
      <c r="A52" s="67"/>
      <c r="B52" s="105"/>
      <c r="C52" s="131"/>
      <c r="D52" s="103"/>
      <c r="E52" s="131"/>
      <c r="F52" s="131"/>
      <c r="G52" s="131"/>
      <c r="H52" s="131"/>
      <c r="I52" s="131"/>
      <c r="J52" s="131"/>
      <c r="K52" s="131"/>
      <c r="L52" s="67"/>
      <c r="M52" s="131"/>
      <c r="N52" s="131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</row>
    <row r="53" spans="1:30" ht="12" customHeight="1" x14ac:dyDescent="0.2">
      <c r="A53" s="67"/>
      <c r="B53" s="73"/>
      <c r="C53" s="84"/>
      <c r="D53" s="88"/>
      <c r="E53" s="88"/>
      <c r="F53" s="88"/>
      <c r="G53" s="88"/>
      <c r="H53" s="88"/>
      <c r="I53" s="88"/>
      <c r="J53" s="88"/>
      <c r="K53" s="88"/>
      <c r="L53" s="67"/>
      <c r="M53" s="88"/>
      <c r="N53" s="88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</row>
    <row r="54" spans="1:30" ht="12" customHeight="1" x14ac:dyDescent="0.2">
      <c r="A54" s="67"/>
      <c r="B54" s="68" t="s">
        <v>94</v>
      </c>
      <c r="C54" s="69"/>
      <c r="D54" s="69"/>
      <c r="E54" s="69"/>
      <c r="F54" s="69"/>
      <c r="G54" s="70"/>
      <c r="H54" s="70"/>
      <c r="I54" s="70"/>
      <c r="J54" s="70"/>
      <c r="K54" s="70"/>
      <c r="L54" s="67"/>
      <c r="M54" s="72"/>
      <c r="N54" s="72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</row>
    <row r="55" spans="1:30" ht="12" customHeight="1" x14ac:dyDescent="0.2">
      <c r="A55" s="67"/>
      <c r="B55" s="74"/>
      <c r="C55" s="75">
        <f t="shared" ref="C55:E55" si="34">C3</f>
        <v>43821</v>
      </c>
      <c r="D55" s="75">
        <f t="shared" si="34"/>
        <v>44196</v>
      </c>
      <c r="E55" s="75">
        <f t="shared" si="34"/>
        <v>44561</v>
      </c>
      <c r="F55" s="132"/>
      <c r="G55" s="75">
        <f t="shared" ref="G55:K55" si="35">G3</f>
        <v>44926</v>
      </c>
      <c r="H55" s="75">
        <f t="shared" si="35"/>
        <v>45291</v>
      </c>
      <c r="I55" s="75">
        <f t="shared" si="35"/>
        <v>45656</v>
      </c>
      <c r="J55" s="75">
        <f t="shared" si="35"/>
        <v>46021</v>
      </c>
      <c r="K55" s="75">
        <f t="shared" si="35"/>
        <v>46386</v>
      </c>
      <c r="L55" s="67"/>
      <c r="M55" s="71"/>
      <c r="N55" s="71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</row>
    <row r="56" spans="1:30" ht="22.5" customHeight="1" x14ac:dyDescent="0.2">
      <c r="A56" s="67"/>
      <c r="B56" s="133"/>
      <c r="C56" s="81" t="str">
        <f t="shared" ref="C56:K56" si="36">C4</f>
        <v>12 months Audited</v>
      </c>
      <c r="D56" s="81" t="str">
        <f t="shared" si="36"/>
        <v>12 months Audited</v>
      </c>
      <c r="E56" s="81" t="str">
        <f t="shared" si="36"/>
        <v>12 months Audited</v>
      </c>
      <c r="F56" s="82" t="str">
        <f t="shared" si="36"/>
        <v>Average</v>
      </c>
      <c r="G56" s="81" t="str">
        <f t="shared" si="36"/>
        <v>Full year forecasts</v>
      </c>
      <c r="H56" s="81" t="str">
        <f t="shared" si="36"/>
        <v>Full year forecasts</v>
      </c>
      <c r="I56" s="81" t="str">
        <f t="shared" si="36"/>
        <v>Full year forecasts</v>
      </c>
      <c r="J56" s="81" t="str">
        <f t="shared" si="36"/>
        <v>Full year forecasts</v>
      </c>
      <c r="K56" s="81" t="str">
        <f t="shared" si="36"/>
        <v>Full year forecasts</v>
      </c>
      <c r="L56" s="67"/>
      <c r="M56" s="78"/>
      <c r="N56" s="78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</row>
    <row r="57" spans="1:30" ht="12" customHeight="1" x14ac:dyDescent="0.2">
      <c r="A57" s="67"/>
      <c r="B57" s="134"/>
      <c r="C57" s="131"/>
      <c r="D57" s="104"/>
      <c r="E57" s="104"/>
      <c r="F57" s="135"/>
      <c r="G57" s="104"/>
      <c r="H57" s="104"/>
      <c r="I57" s="104"/>
      <c r="J57" s="104"/>
      <c r="K57" s="104"/>
      <c r="L57" s="67"/>
      <c r="M57" s="104"/>
      <c r="N57" s="104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</row>
    <row r="58" spans="1:30" ht="12" customHeight="1" x14ac:dyDescent="0.2">
      <c r="A58" s="67"/>
      <c r="B58" s="102" t="s">
        <v>95</v>
      </c>
      <c r="C58" s="103">
        <f t="shared" ref="C58:E58" si="37">SUM(C59:C62)</f>
        <v>2513774</v>
      </c>
      <c r="D58" s="103">
        <f t="shared" si="37"/>
        <v>2754206</v>
      </c>
      <c r="E58" s="103">
        <f t="shared" si="37"/>
        <v>3112218</v>
      </c>
      <c r="F58" s="103"/>
      <c r="G58" s="103"/>
      <c r="H58" s="103"/>
      <c r="I58" s="103"/>
      <c r="J58" s="103"/>
      <c r="K58" s="103"/>
      <c r="L58" s="67"/>
      <c r="M58" s="103"/>
      <c r="N58" s="10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</row>
    <row r="59" spans="1:30" ht="12" customHeight="1" x14ac:dyDescent="0.2">
      <c r="A59" s="67"/>
      <c r="B59" s="85" t="s">
        <v>96</v>
      </c>
      <c r="C59" s="193">
        <v>1810506</v>
      </c>
      <c r="D59" s="107">
        <v>1809038</v>
      </c>
      <c r="E59" s="108">
        <v>1832487</v>
      </c>
      <c r="F59" s="90"/>
      <c r="G59" s="114"/>
      <c r="H59" s="114"/>
      <c r="I59" s="114"/>
      <c r="J59" s="114"/>
      <c r="K59" s="114"/>
      <c r="L59" s="67"/>
      <c r="M59" s="90"/>
      <c r="N59" s="90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</row>
    <row r="60" spans="1:30" ht="12" customHeight="1" x14ac:dyDescent="0.2">
      <c r="A60" s="67"/>
      <c r="B60" s="85" t="s">
        <v>97</v>
      </c>
      <c r="C60" s="191">
        <v>-36953</v>
      </c>
      <c r="D60" s="109">
        <v>-3143</v>
      </c>
      <c r="E60" s="110">
        <v>-6558</v>
      </c>
      <c r="F60" s="90"/>
      <c r="G60" s="112"/>
      <c r="H60" s="112"/>
      <c r="I60" s="112"/>
      <c r="J60" s="112"/>
      <c r="K60" s="112"/>
      <c r="L60" s="67"/>
      <c r="M60" s="90"/>
      <c r="N60" s="90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</row>
    <row r="61" spans="1:30" ht="12" customHeight="1" x14ac:dyDescent="0.2">
      <c r="A61" s="67"/>
      <c r="B61" s="85" t="s">
        <v>98</v>
      </c>
      <c r="C61" s="191">
        <v>76500</v>
      </c>
      <c r="D61" s="109"/>
      <c r="E61" s="110"/>
      <c r="F61" s="90"/>
      <c r="G61" s="112"/>
      <c r="H61" s="112"/>
      <c r="I61" s="112"/>
      <c r="J61" s="112"/>
      <c r="K61" s="112"/>
      <c r="L61" s="67"/>
      <c r="M61" s="90"/>
      <c r="N61" s="90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</row>
    <row r="62" spans="1:30" ht="12" customHeight="1" x14ac:dyDescent="0.2">
      <c r="A62" s="67"/>
      <c r="B62" s="85" t="s">
        <v>99</v>
      </c>
      <c r="C62" s="192">
        <v>663721</v>
      </c>
      <c r="D62" s="116">
        <v>948311</v>
      </c>
      <c r="E62" s="117">
        <v>1286289</v>
      </c>
      <c r="F62" s="90"/>
      <c r="G62" s="119"/>
      <c r="H62" s="119"/>
      <c r="I62" s="119"/>
      <c r="J62" s="119"/>
      <c r="K62" s="119"/>
      <c r="L62" s="67"/>
      <c r="M62" s="90"/>
      <c r="N62" s="90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</row>
    <row r="63" spans="1:30" ht="12" customHeight="1" x14ac:dyDescent="0.2">
      <c r="A63" s="67"/>
      <c r="B63" s="85"/>
      <c r="C63" s="88"/>
      <c r="D63" s="88"/>
      <c r="E63" s="88"/>
      <c r="F63" s="88"/>
      <c r="G63" s="125"/>
      <c r="H63" s="125"/>
      <c r="I63" s="125"/>
      <c r="J63" s="125"/>
      <c r="K63" s="125"/>
      <c r="L63" s="67"/>
      <c r="M63" s="88"/>
      <c r="N63" s="88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</row>
    <row r="64" spans="1:30" ht="12" customHeight="1" x14ac:dyDescent="0.2">
      <c r="A64" s="67"/>
      <c r="B64" s="102" t="s">
        <v>100</v>
      </c>
      <c r="C64" s="103">
        <f t="shared" ref="C64:E64" si="38">SUM(C65:C69)</f>
        <v>2679904</v>
      </c>
      <c r="D64" s="103">
        <f t="shared" si="38"/>
        <v>2146905</v>
      </c>
      <c r="E64" s="103">
        <f t="shared" si="38"/>
        <v>2590745</v>
      </c>
      <c r="F64" s="103"/>
      <c r="G64" s="136"/>
      <c r="H64" s="136"/>
      <c r="I64" s="136"/>
      <c r="J64" s="136"/>
      <c r="K64" s="136"/>
      <c r="L64" s="67"/>
      <c r="M64" s="103"/>
      <c r="N64" s="10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</row>
    <row r="65" spans="1:30" ht="12" customHeight="1" x14ac:dyDescent="0.2">
      <c r="A65" s="67"/>
      <c r="B65" s="85" t="s">
        <v>101</v>
      </c>
      <c r="C65" s="193">
        <v>1810506</v>
      </c>
      <c r="D65" s="109">
        <v>1308982</v>
      </c>
      <c r="E65" s="109">
        <v>1793679</v>
      </c>
      <c r="F65" s="90"/>
      <c r="G65" s="112"/>
      <c r="H65" s="112"/>
      <c r="I65" s="112"/>
      <c r="J65" s="112"/>
      <c r="K65" s="112"/>
      <c r="L65" s="67"/>
      <c r="M65" s="90"/>
      <c r="N65" s="90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</row>
    <row r="66" spans="1:30" ht="12" customHeight="1" x14ac:dyDescent="0.2">
      <c r="A66" s="67"/>
      <c r="B66" s="85" t="s">
        <v>102</v>
      </c>
      <c r="C66" s="191">
        <v>-36953</v>
      </c>
      <c r="D66" s="109">
        <v>144261</v>
      </c>
      <c r="E66" s="109">
        <v>125224</v>
      </c>
      <c r="F66" s="90"/>
      <c r="G66" s="112"/>
      <c r="H66" s="112"/>
      <c r="I66" s="112"/>
      <c r="J66" s="112"/>
      <c r="K66" s="112"/>
      <c r="L66" s="67"/>
      <c r="M66" s="90"/>
      <c r="N66" s="90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</row>
    <row r="67" spans="1:30" ht="12" customHeight="1" x14ac:dyDescent="0.2">
      <c r="A67" s="67"/>
      <c r="B67" s="101" t="s">
        <v>103</v>
      </c>
      <c r="C67" s="191">
        <v>76500</v>
      </c>
      <c r="D67" s="109">
        <v>508807</v>
      </c>
      <c r="E67" s="109">
        <v>608994</v>
      </c>
      <c r="F67" s="90"/>
      <c r="G67" s="112"/>
      <c r="H67" s="112"/>
      <c r="I67" s="112"/>
      <c r="J67" s="112"/>
      <c r="K67" s="112"/>
      <c r="L67" s="67"/>
      <c r="M67" s="90"/>
      <c r="N67" s="90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</row>
    <row r="68" spans="1:30" ht="12" customHeight="1" x14ac:dyDescent="0.2">
      <c r="A68" s="67"/>
      <c r="B68" s="101" t="s">
        <v>104</v>
      </c>
      <c r="C68" s="192">
        <v>663721</v>
      </c>
      <c r="D68" s="109">
        <v>31510</v>
      </c>
      <c r="E68" s="109">
        <v>0</v>
      </c>
      <c r="F68" s="90"/>
      <c r="G68" s="112"/>
      <c r="H68" s="112"/>
      <c r="I68" s="112"/>
      <c r="J68" s="112"/>
      <c r="K68" s="112"/>
      <c r="L68" s="67"/>
      <c r="M68" s="90"/>
      <c r="N68" s="90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</row>
    <row r="69" spans="1:30" ht="12" customHeight="1" x14ac:dyDescent="0.2">
      <c r="A69" s="67"/>
      <c r="B69" s="101" t="s">
        <v>105</v>
      </c>
      <c r="C69" s="192">
        <f>22510+32236+90862+20522</f>
        <v>166130</v>
      </c>
      <c r="D69" s="116">
        <f>22557+30814+99974</f>
        <v>153345</v>
      </c>
      <c r="E69" s="116">
        <f>20927+32148+9773</f>
        <v>62848</v>
      </c>
      <c r="F69" s="90"/>
      <c r="G69" s="119"/>
      <c r="H69" s="119"/>
      <c r="I69" s="119"/>
      <c r="J69" s="119"/>
      <c r="K69" s="119"/>
      <c r="L69" s="67"/>
      <c r="M69" s="90"/>
      <c r="N69" s="90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</row>
    <row r="70" spans="1:30" ht="12" customHeight="1" x14ac:dyDescent="0.2">
      <c r="A70" s="67"/>
      <c r="B70" s="85"/>
      <c r="C70" s="88"/>
      <c r="D70" s="88"/>
      <c r="E70" s="88"/>
      <c r="F70" s="88"/>
      <c r="G70" s="125"/>
      <c r="H70" s="125"/>
      <c r="I70" s="125"/>
      <c r="J70" s="125"/>
      <c r="K70" s="125"/>
      <c r="L70" s="67"/>
      <c r="M70" s="88"/>
      <c r="N70" s="88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</row>
    <row r="71" spans="1:30" ht="12" customHeight="1" x14ac:dyDescent="0.2">
      <c r="A71" s="67"/>
      <c r="B71" s="102" t="s">
        <v>106</v>
      </c>
      <c r="C71" s="103">
        <f t="shared" ref="C71:E71" si="39">SUM(C72:C79)</f>
        <v>915774</v>
      </c>
      <c r="D71" s="103">
        <f t="shared" si="39"/>
        <v>852766</v>
      </c>
      <c r="E71" s="103">
        <f t="shared" si="39"/>
        <v>1078715</v>
      </c>
      <c r="F71" s="103"/>
      <c r="G71" s="136"/>
      <c r="H71" s="136"/>
      <c r="I71" s="136"/>
      <c r="J71" s="136"/>
      <c r="K71" s="136"/>
      <c r="L71" s="67"/>
      <c r="M71" s="103"/>
      <c r="N71" s="10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</row>
    <row r="72" spans="1:30" ht="12" customHeight="1" x14ac:dyDescent="0.2">
      <c r="A72" s="67"/>
      <c r="B72" s="85" t="s">
        <v>107</v>
      </c>
      <c r="C72" s="193">
        <v>546052</v>
      </c>
      <c r="D72" s="107">
        <v>648340</v>
      </c>
      <c r="E72" s="108">
        <v>727408</v>
      </c>
      <c r="F72" s="90"/>
      <c r="G72" s="114"/>
      <c r="H72" s="114"/>
      <c r="I72" s="114"/>
      <c r="J72" s="114"/>
      <c r="K72" s="114"/>
      <c r="L72" s="67"/>
      <c r="M72" s="90"/>
      <c r="N72" s="90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</row>
    <row r="73" spans="1:30" ht="12" customHeight="1" x14ac:dyDescent="0.2">
      <c r="A73" s="67"/>
      <c r="B73" s="101" t="s">
        <v>108</v>
      </c>
      <c r="C73" s="191">
        <v>21088</v>
      </c>
      <c r="D73" s="109">
        <v>36432</v>
      </c>
      <c r="E73" s="110">
        <v>47513</v>
      </c>
      <c r="F73" s="90"/>
      <c r="G73" s="112"/>
      <c r="H73" s="112"/>
      <c r="I73" s="112"/>
      <c r="J73" s="112"/>
      <c r="K73" s="112"/>
      <c r="L73" s="67"/>
      <c r="M73" s="90"/>
      <c r="N73" s="90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</row>
    <row r="74" spans="1:30" ht="12" customHeight="1" x14ac:dyDescent="0.2">
      <c r="A74" s="67"/>
      <c r="B74" s="85" t="s">
        <v>109</v>
      </c>
      <c r="C74" s="191">
        <v>216</v>
      </c>
      <c r="D74" s="109">
        <v>778</v>
      </c>
      <c r="E74" s="110">
        <v>13</v>
      </c>
      <c r="F74" s="90"/>
      <c r="G74" s="112"/>
      <c r="H74" s="112"/>
      <c r="I74" s="112"/>
      <c r="J74" s="112"/>
      <c r="K74" s="112"/>
      <c r="L74" s="67"/>
      <c r="M74" s="90"/>
      <c r="N74" s="90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</row>
    <row r="75" spans="1:30" ht="12" customHeight="1" x14ac:dyDescent="0.2">
      <c r="A75" s="67"/>
      <c r="B75" s="85" t="s">
        <v>110</v>
      </c>
      <c r="C75" s="197">
        <v>8589</v>
      </c>
      <c r="D75" s="109">
        <v>4804</v>
      </c>
      <c r="E75" s="110">
        <v>52990</v>
      </c>
      <c r="F75" s="90"/>
      <c r="G75" s="112"/>
      <c r="H75" s="112"/>
      <c r="I75" s="112"/>
      <c r="J75" s="112"/>
      <c r="K75" s="112"/>
      <c r="L75" s="67"/>
      <c r="M75" s="90"/>
      <c r="N75" s="90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</row>
    <row r="76" spans="1:30" ht="12" customHeight="1" x14ac:dyDescent="0.2">
      <c r="A76" s="67"/>
      <c r="B76" s="85" t="s">
        <v>102</v>
      </c>
      <c r="C76" s="197">
        <v>13670</v>
      </c>
      <c r="D76" s="109">
        <v>15706</v>
      </c>
      <c r="E76" s="110">
        <v>19882</v>
      </c>
      <c r="F76" s="90"/>
      <c r="G76" s="112"/>
      <c r="H76" s="112"/>
      <c r="I76" s="112"/>
      <c r="J76" s="112"/>
      <c r="K76" s="112"/>
      <c r="L76" s="67"/>
      <c r="M76" s="90"/>
      <c r="N76" s="90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</row>
    <row r="77" spans="1:30" ht="12" customHeight="1" x14ac:dyDescent="0.2">
      <c r="A77" s="67"/>
      <c r="B77" s="101" t="s">
        <v>111</v>
      </c>
      <c r="C77" s="191">
        <v>285685</v>
      </c>
      <c r="D77" s="109">
        <f>117758</f>
        <v>117758</v>
      </c>
      <c r="E77" s="110">
        <f>70828</f>
        <v>70828</v>
      </c>
      <c r="F77" s="90"/>
      <c r="G77" s="112"/>
      <c r="H77" s="112"/>
      <c r="I77" s="112"/>
      <c r="J77" s="112"/>
      <c r="K77" s="112"/>
      <c r="L77" s="67"/>
      <c r="M77" s="90"/>
      <c r="N77" s="90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</row>
    <row r="78" spans="1:30" ht="12" customHeight="1" x14ac:dyDescent="0.2">
      <c r="A78" s="67"/>
      <c r="B78" s="101" t="s">
        <v>104</v>
      </c>
      <c r="C78" s="191">
        <v>15909</v>
      </c>
      <c r="D78" s="109">
        <v>0</v>
      </c>
      <c r="E78" s="110">
        <v>35746</v>
      </c>
      <c r="F78" s="90"/>
      <c r="G78" s="112"/>
      <c r="H78" s="112"/>
      <c r="I78" s="112"/>
      <c r="J78" s="112"/>
      <c r="K78" s="112"/>
      <c r="L78" s="67"/>
      <c r="M78" s="90"/>
      <c r="N78" s="90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</row>
    <row r="79" spans="1:30" ht="12" customHeight="1" x14ac:dyDescent="0.2">
      <c r="A79" s="67"/>
      <c r="B79" s="101" t="s">
        <v>112</v>
      </c>
      <c r="C79" s="192">
        <f>3317+21248</f>
        <v>24565</v>
      </c>
      <c r="D79" s="116">
        <f>24889+4059</f>
        <v>28948</v>
      </c>
      <c r="E79" s="117">
        <f>120671+118+3546</f>
        <v>124335</v>
      </c>
      <c r="F79" s="90"/>
      <c r="G79" s="119"/>
      <c r="H79" s="119"/>
      <c r="I79" s="119"/>
      <c r="J79" s="119"/>
      <c r="K79" s="119"/>
      <c r="L79" s="67"/>
      <c r="M79" s="90"/>
      <c r="N79" s="90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</row>
    <row r="80" spans="1:30" ht="12" customHeight="1" x14ac:dyDescent="0.2">
      <c r="A80" s="67"/>
      <c r="B80" s="85"/>
      <c r="C80" s="88"/>
      <c r="D80" s="88"/>
      <c r="E80" s="88"/>
      <c r="F80" s="88"/>
      <c r="G80" s="125"/>
      <c r="H80" s="125"/>
      <c r="I80" s="125"/>
      <c r="J80" s="125"/>
      <c r="K80" s="125"/>
      <c r="L80" s="67"/>
      <c r="M80" s="88"/>
      <c r="N80" s="88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</row>
    <row r="81" spans="1:30" ht="12" customHeight="1" x14ac:dyDescent="0.2">
      <c r="A81" s="67"/>
      <c r="B81" s="137" t="s">
        <v>113</v>
      </c>
      <c r="C81" s="138">
        <f t="shared" ref="C81:E81" si="40">C58+C64+C71</f>
        <v>6109452</v>
      </c>
      <c r="D81" s="138">
        <f t="shared" si="40"/>
        <v>5753877</v>
      </c>
      <c r="E81" s="138">
        <f t="shared" si="40"/>
        <v>6781678</v>
      </c>
      <c r="F81" s="138"/>
      <c r="G81" s="139"/>
      <c r="H81" s="139"/>
      <c r="I81" s="139"/>
      <c r="J81" s="139"/>
      <c r="K81" s="139"/>
      <c r="L81" s="67"/>
      <c r="M81" s="140"/>
      <c r="N81" s="140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</row>
    <row r="82" spans="1:30" ht="12" customHeight="1" x14ac:dyDescent="0.2">
      <c r="A82" s="67"/>
      <c r="B82" s="85"/>
      <c r="C82" s="88"/>
      <c r="D82" s="88"/>
      <c r="E82" s="88"/>
      <c r="F82" s="88"/>
      <c r="G82" s="125"/>
      <c r="H82" s="125"/>
      <c r="I82" s="125"/>
      <c r="J82" s="125"/>
      <c r="K82" s="125"/>
      <c r="L82" s="67"/>
      <c r="M82" s="88"/>
      <c r="N82" s="88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</row>
    <row r="83" spans="1:30" ht="12" customHeight="1" x14ac:dyDescent="0.2">
      <c r="A83" s="67"/>
      <c r="B83" s="102" t="s">
        <v>114</v>
      </c>
      <c r="C83" s="103">
        <f t="shared" ref="C83:E83" si="41">SUM(C84:C91)</f>
        <v>3787453</v>
      </c>
      <c r="D83" s="103">
        <f t="shared" si="41"/>
        <v>4063814</v>
      </c>
      <c r="E83" s="103">
        <f t="shared" si="41"/>
        <v>4303957</v>
      </c>
      <c r="F83" s="103"/>
      <c r="G83" s="136"/>
      <c r="H83" s="136"/>
      <c r="I83" s="136"/>
      <c r="J83" s="136"/>
      <c r="K83" s="136"/>
      <c r="L83" s="67"/>
      <c r="M83" s="103"/>
      <c r="N83" s="10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</row>
    <row r="84" spans="1:30" ht="12" customHeight="1" x14ac:dyDescent="0.2">
      <c r="A84" s="67"/>
      <c r="B84" s="85" t="s">
        <v>115</v>
      </c>
      <c r="C84" s="193">
        <v>1881734</v>
      </c>
      <c r="D84" s="107">
        <v>1993274</v>
      </c>
      <c r="E84" s="107">
        <v>2192999</v>
      </c>
      <c r="F84" s="90"/>
      <c r="G84" s="114"/>
      <c r="H84" s="114"/>
      <c r="I84" s="114"/>
      <c r="J84" s="114"/>
      <c r="K84" s="114"/>
      <c r="L84" s="67"/>
      <c r="M84" s="90"/>
      <c r="N84" s="90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</row>
    <row r="85" spans="1:30" ht="12" customHeight="1" x14ac:dyDescent="0.2">
      <c r="A85" s="67"/>
      <c r="B85" s="85" t="s">
        <v>116</v>
      </c>
      <c r="C85" s="191">
        <v>136695</v>
      </c>
      <c r="D85" s="109">
        <v>131904</v>
      </c>
      <c r="E85" s="109">
        <v>114446</v>
      </c>
      <c r="F85" s="90"/>
      <c r="G85" s="112"/>
      <c r="H85" s="112"/>
      <c r="I85" s="112"/>
      <c r="J85" s="112"/>
      <c r="K85" s="112"/>
      <c r="L85" s="67"/>
      <c r="M85" s="90"/>
      <c r="N85" s="90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</row>
    <row r="86" spans="1:30" ht="12" customHeight="1" x14ac:dyDescent="0.2">
      <c r="A86" s="67"/>
      <c r="B86" s="85" t="s">
        <v>117</v>
      </c>
      <c r="C86" s="191">
        <v>61448</v>
      </c>
      <c r="D86" s="109">
        <v>67321</v>
      </c>
      <c r="E86" s="109">
        <v>68299</v>
      </c>
      <c r="F86" s="90"/>
      <c r="G86" s="112"/>
      <c r="H86" s="112"/>
      <c r="I86" s="112"/>
      <c r="J86" s="112"/>
      <c r="K86" s="112"/>
      <c r="L86" s="67"/>
      <c r="M86" s="90"/>
      <c r="N86" s="90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</row>
    <row r="87" spans="1:30" ht="12" customHeight="1" x14ac:dyDescent="0.2">
      <c r="A87" s="67"/>
      <c r="B87" s="85" t="s">
        <v>118</v>
      </c>
      <c r="C87" s="191">
        <v>639795</v>
      </c>
      <c r="D87" s="109">
        <v>733174</v>
      </c>
      <c r="E87" s="109">
        <v>769463</v>
      </c>
      <c r="F87" s="90"/>
      <c r="G87" s="112"/>
      <c r="H87" s="112"/>
      <c r="I87" s="112"/>
      <c r="J87" s="112"/>
      <c r="K87" s="112"/>
      <c r="L87" s="67"/>
      <c r="M87" s="90"/>
      <c r="N87" s="90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</row>
    <row r="88" spans="1:30" ht="12" customHeight="1" x14ac:dyDescent="0.2">
      <c r="A88" s="67"/>
      <c r="B88" s="85" t="s">
        <v>119</v>
      </c>
      <c r="C88" s="191">
        <f>849615+5204+25264</f>
        <v>880083</v>
      </c>
      <c r="D88" s="109">
        <f>862492+5994+25264</f>
        <v>893750</v>
      </c>
      <c r="E88" s="109">
        <f>3700+865192+8073+29989</f>
        <v>906954</v>
      </c>
      <c r="F88" s="90"/>
      <c r="G88" s="112"/>
      <c r="H88" s="112"/>
      <c r="I88" s="112"/>
      <c r="J88" s="112"/>
      <c r="K88" s="112"/>
      <c r="L88" s="67"/>
      <c r="M88" s="90"/>
      <c r="N88" s="90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</row>
    <row r="89" spans="1:30" ht="12" customHeight="1" x14ac:dyDescent="0.2">
      <c r="A89" s="67"/>
      <c r="B89" s="85" t="s">
        <v>120</v>
      </c>
      <c r="C89" s="191">
        <f>78464+81799+3606</f>
        <v>163869</v>
      </c>
      <c r="D89" s="109">
        <f>85484+129444+3836</f>
        <v>218764</v>
      </c>
      <c r="E89" s="109">
        <f>94384+121718+7446</f>
        <v>223548</v>
      </c>
      <c r="F89" s="90"/>
      <c r="G89" s="112"/>
      <c r="H89" s="112"/>
      <c r="I89" s="112"/>
      <c r="J89" s="112"/>
      <c r="K89" s="112"/>
      <c r="L89" s="67"/>
      <c r="M89" s="90"/>
      <c r="N89" s="90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</row>
    <row r="90" spans="1:30" ht="12" customHeight="1" x14ac:dyDescent="0.2">
      <c r="A90" s="67"/>
      <c r="B90" s="85" t="s">
        <v>121</v>
      </c>
      <c r="C90" s="191">
        <v>611</v>
      </c>
      <c r="D90" s="109">
        <v>489</v>
      </c>
      <c r="E90" s="109">
        <v>3312</v>
      </c>
      <c r="F90" s="90"/>
      <c r="G90" s="112"/>
      <c r="H90" s="112"/>
      <c r="I90" s="112"/>
      <c r="J90" s="112"/>
      <c r="K90" s="112"/>
      <c r="L90" s="67"/>
      <c r="M90" s="90"/>
      <c r="N90" s="90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</row>
    <row r="91" spans="1:30" ht="12" customHeight="1" x14ac:dyDescent="0.2">
      <c r="A91" s="67"/>
      <c r="B91" s="85" t="s">
        <v>122</v>
      </c>
      <c r="C91" s="192">
        <f>23218</f>
        <v>23218</v>
      </c>
      <c r="D91" s="116">
        <f>25138</f>
        <v>25138</v>
      </c>
      <c r="E91" s="116">
        <v>24936</v>
      </c>
      <c r="F91" s="90"/>
      <c r="G91" s="119"/>
      <c r="H91" s="119"/>
      <c r="I91" s="119"/>
      <c r="J91" s="119"/>
      <c r="K91" s="119"/>
      <c r="L91" s="67"/>
      <c r="M91" s="90"/>
      <c r="N91" s="90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</row>
    <row r="92" spans="1:30" ht="12" customHeight="1" x14ac:dyDescent="0.2">
      <c r="A92" s="67"/>
      <c r="B92" s="85"/>
      <c r="C92" s="88"/>
      <c r="D92" s="88"/>
      <c r="E92" s="88"/>
      <c r="F92" s="88"/>
      <c r="G92" s="125"/>
      <c r="H92" s="125"/>
      <c r="I92" s="125"/>
      <c r="J92" s="125"/>
      <c r="K92" s="125"/>
      <c r="L92" s="67"/>
      <c r="M92" s="88"/>
      <c r="N92" s="88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</row>
    <row r="93" spans="1:30" ht="12" customHeight="1" x14ac:dyDescent="0.2">
      <c r="A93" s="67"/>
      <c r="B93" s="102" t="s">
        <v>123</v>
      </c>
      <c r="C93" s="103">
        <f t="shared" ref="C93:E93" si="42">SUM(C94:C99)</f>
        <v>1728800</v>
      </c>
      <c r="D93" s="103">
        <f t="shared" si="42"/>
        <v>1730201</v>
      </c>
      <c r="E93" s="103">
        <f t="shared" si="42"/>
        <v>2534227</v>
      </c>
      <c r="F93" s="103"/>
      <c r="G93" s="136"/>
      <c r="H93" s="136"/>
      <c r="I93" s="136"/>
      <c r="J93" s="136"/>
      <c r="K93" s="136"/>
      <c r="L93" s="67"/>
      <c r="M93" s="103"/>
      <c r="N93" s="10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</row>
    <row r="94" spans="1:30" ht="12" customHeight="1" x14ac:dyDescent="0.2">
      <c r="A94" s="67"/>
      <c r="B94" s="85" t="s">
        <v>124</v>
      </c>
      <c r="C94" s="194">
        <v>582162</v>
      </c>
      <c r="D94" s="107">
        <v>631023</v>
      </c>
      <c r="E94" s="107">
        <v>902618</v>
      </c>
      <c r="F94" s="90"/>
      <c r="G94" s="114"/>
      <c r="H94" s="114"/>
      <c r="I94" s="114"/>
      <c r="J94" s="114"/>
      <c r="K94" s="114"/>
      <c r="L94" s="67"/>
      <c r="M94" s="90"/>
      <c r="N94" s="90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</row>
    <row r="95" spans="1:30" ht="12" customHeight="1" x14ac:dyDescent="0.2">
      <c r="A95" s="67"/>
      <c r="B95" s="85" t="s">
        <v>125</v>
      </c>
      <c r="C95" s="195">
        <v>697629</v>
      </c>
      <c r="D95" s="109">
        <v>695783</v>
      </c>
      <c r="E95" s="109">
        <v>740033</v>
      </c>
      <c r="F95" s="90"/>
      <c r="G95" s="112"/>
      <c r="H95" s="112"/>
      <c r="I95" s="112"/>
      <c r="J95" s="112"/>
      <c r="K95" s="112"/>
      <c r="L95" s="67"/>
      <c r="M95" s="90"/>
      <c r="N95" s="90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</row>
    <row r="96" spans="1:30" ht="12" customHeight="1" x14ac:dyDescent="0.2">
      <c r="A96" s="67"/>
      <c r="B96" s="85" t="s">
        <v>126</v>
      </c>
      <c r="C96" s="195">
        <v>237882</v>
      </c>
      <c r="D96" s="109">
        <v>275245</v>
      </c>
      <c r="E96" s="109">
        <v>739909</v>
      </c>
      <c r="F96" s="90"/>
      <c r="G96" s="112"/>
      <c r="H96" s="112"/>
      <c r="I96" s="112"/>
      <c r="J96" s="112"/>
      <c r="K96" s="112"/>
      <c r="L96" s="67"/>
      <c r="M96" s="90"/>
      <c r="N96" s="90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</row>
    <row r="97" spans="1:30" ht="12" customHeight="1" x14ac:dyDescent="0.2">
      <c r="A97" s="67"/>
      <c r="B97" s="85" t="s">
        <v>127</v>
      </c>
      <c r="C97" s="195">
        <v>77891</v>
      </c>
      <c r="D97" s="109">
        <v>93087</v>
      </c>
      <c r="E97" s="109">
        <v>82123</v>
      </c>
      <c r="F97" s="90"/>
      <c r="G97" s="112"/>
      <c r="H97" s="112"/>
      <c r="I97" s="112"/>
      <c r="J97" s="112"/>
      <c r="K97" s="112"/>
      <c r="L97" s="67"/>
      <c r="M97" s="90"/>
      <c r="N97" s="90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</row>
    <row r="98" spans="1:30" ht="12" customHeight="1" x14ac:dyDescent="0.2">
      <c r="A98" s="67"/>
      <c r="B98" s="85" t="s">
        <v>128</v>
      </c>
      <c r="C98" s="195">
        <v>8289</v>
      </c>
      <c r="D98" s="109">
        <v>7729</v>
      </c>
      <c r="E98" s="109">
        <v>10678</v>
      </c>
      <c r="F98" s="90"/>
      <c r="G98" s="112"/>
      <c r="H98" s="112"/>
      <c r="I98" s="112"/>
      <c r="J98" s="112"/>
      <c r="K98" s="112"/>
      <c r="L98" s="67"/>
      <c r="M98" s="90"/>
      <c r="N98" s="90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</row>
    <row r="99" spans="1:30" ht="12" customHeight="1" x14ac:dyDescent="0.2">
      <c r="A99" s="67"/>
      <c r="B99" s="85" t="s">
        <v>129</v>
      </c>
      <c r="C99" s="196">
        <v>124947</v>
      </c>
      <c r="D99" s="116">
        <v>27334</v>
      </c>
      <c r="E99" s="116">
        <v>58866</v>
      </c>
      <c r="F99" s="90"/>
      <c r="G99" s="119"/>
      <c r="H99" s="119"/>
      <c r="I99" s="119"/>
      <c r="J99" s="119"/>
      <c r="K99" s="119"/>
      <c r="L99" s="67"/>
      <c r="M99" s="90"/>
      <c r="N99" s="90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</row>
    <row r="100" spans="1:30" ht="12" customHeight="1" x14ac:dyDescent="0.2">
      <c r="A100" s="67"/>
      <c r="B100" s="85"/>
      <c r="C100" s="88"/>
      <c r="D100" s="88"/>
      <c r="E100" s="88"/>
      <c r="F100" s="88"/>
      <c r="G100" s="125"/>
      <c r="H100" s="125"/>
      <c r="I100" s="125"/>
      <c r="J100" s="125"/>
      <c r="K100" s="125"/>
      <c r="L100" s="67"/>
      <c r="M100" s="88"/>
      <c r="N100" s="88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</row>
    <row r="101" spans="1:30" ht="12" customHeight="1" thickBot="1" x14ac:dyDescent="0.25">
      <c r="A101" s="67"/>
      <c r="B101" s="137" t="s">
        <v>130</v>
      </c>
      <c r="C101" s="138">
        <f t="shared" ref="C101:E101" si="43">SUM(C93,C83)</f>
        <v>5516253</v>
      </c>
      <c r="D101" s="138">
        <f t="shared" si="43"/>
        <v>5794015</v>
      </c>
      <c r="E101" s="138">
        <f t="shared" si="43"/>
        <v>6838184</v>
      </c>
      <c r="F101" s="138"/>
      <c r="G101" s="139"/>
      <c r="H101" s="139"/>
      <c r="I101" s="139"/>
      <c r="J101" s="139"/>
      <c r="K101" s="139"/>
      <c r="L101" s="67"/>
      <c r="M101" s="140"/>
      <c r="N101" s="140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</row>
    <row r="102" spans="1:30" ht="13.5" customHeight="1" thickTop="1" thickBot="1" x14ac:dyDescent="0.25">
      <c r="A102" s="67"/>
      <c r="B102" s="142" t="s">
        <v>131</v>
      </c>
      <c r="C102" s="143" t="str">
        <f t="shared" ref="C102:E102" si="44">IF(OR(C101-C81&lt;-2,C101-C81&gt;2),"" &amp; ROUND(C101-C81,0),"OK")</f>
        <v>-593199</v>
      </c>
      <c r="D102" s="144" t="str">
        <f t="shared" si="44"/>
        <v>40138</v>
      </c>
      <c r="E102" s="144" t="str">
        <f t="shared" si="44"/>
        <v>56506</v>
      </c>
      <c r="F102" s="144"/>
      <c r="G102" s="143"/>
      <c r="H102" s="144"/>
      <c r="I102" s="143"/>
      <c r="J102" s="143"/>
      <c r="K102" s="143"/>
      <c r="L102" s="67"/>
      <c r="M102" s="145"/>
      <c r="N102" s="145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</row>
    <row r="103" spans="1:30" ht="14.25" customHeight="1" x14ac:dyDescent="0.2">
      <c r="A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:30" ht="14.25" customHeight="1" x14ac:dyDescent="0.2">
      <c r="A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:30" ht="14.25" customHeight="1" x14ac:dyDescent="0.2">
      <c r="A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:30" ht="14.25" customHeight="1" x14ac:dyDescent="0.2">
      <c r="A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:30" ht="14.25" customHeight="1" x14ac:dyDescent="0.2">
      <c r="A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:30" ht="14.25" customHeight="1" x14ac:dyDescent="0.2">
      <c r="A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:30" ht="14.25" customHeight="1" x14ac:dyDescent="0.2">
      <c r="A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:30" ht="14.25" customHeight="1" x14ac:dyDescent="0.2">
      <c r="A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:30" ht="14.25" customHeight="1" x14ac:dyDescent="0.2">
      <c r="A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:30" ht="14.25" customHeight="1" x14ac:dyDescent="0.2">
      <c r="A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:30" ht="14.25" customHeight="1" x14ac:dyDescent="0.2">
      <c r="A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:30" ht="14.25" customHeight="1" x14ac:dyDescent="0.2">
      <c r="A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:30" ht="14.25" customHeight="1" x14ac:dyDescent="0.2">
      <c r="A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:30" ht="14.25" customHeight="1" x14ac:dyDescent="0.2">
      <c r="A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:30" ht="14.25" customHeight="1" x14ac:dyDescent="0.2">
      <c r="A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:30" ht="14.25" customHeight="1" x14ac:dyDescent="0.2">
      <c r="A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:30" ht="14.25" customHeight="1" x14ac:dyDescent="0.2">
      <c r="A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:30" ht="14.25" customHeight="1" x14ac:dyDescent="0.2">
      <c r="A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:30" ht="14.25" customHeight="1" x14ac:dyDescent="0.2">
      <c r="A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:30" ht="14.25" customHeight="1" x14ac:dyDescent="0.2">
      <c r="A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:30" ht="14.25" customHeight="1" x14ac:dyDescent="0.2">
      <c r="A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:30" ht="14.25" customHeight="1" x14ac:dyDescent="0.2">
      <c r="A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:30" ht="14.25" customHeight="1" x14ac:dyDescent="0.2">
      <c r="A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:30" ht="14.25" customHeight="1" x14ac:dyDescent="0.2">
      <c r="A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:30" ht="14.25" customHeight="1" x14ac:dyDescent="0.2">
      <c r="A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:30" ht="14.25" customHeight="1" x14ac:dyDescent="0.2">
      <c r="A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:30" ht="14.25" customHeight="1" x14ac:dyDescent="0.2">
      <c r="A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:30" ht="14.25" customHeight="1" x14ac:dyDescent="0.2">
      <c r="A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:30" ht="14.25" customHeight="1" x14ac:dyDescent="0.2">
      <c r="A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:30" ht="14.25" customHeight="1" x14ac:dyDescent="0.2">
      <c r="A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:30" ht="14.25" customHeight="1" x14ac:dyDescent="0.2">
      <c r="A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:30" ht="14.25" customHeight="1" x14ac:dyDescent="0.2">
      <c r="A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:30" ht="14.25" customHeight="1" x14ac:dyDescent="0.2">
      <c r="A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:30" ht="14.25" customHeight="1" x14ac:dyDescent="0.2">
      <c r="A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:30" ht="14.25" customHeight="1" x14ac:dyDescent="0.2">
      <c r="A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:30" ht="14.25" customHeight="1" x14ac:dyDescent="0.2">
      <c r="A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:30" ht="14.25" customHeight="1" x14ac:dyDescent="0.2">
      <c r="A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:30" ht="14.25" customHeight="1" x14ac:dyDescent="0.2">
      <c r="A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:30" ht="14.25" customHeight="1" x14ac:dyDescent="0.2">
      <c r="A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:30" ht="14.25" customHeight="1" x14ac:dyDescent="0.2">
      <c r="A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:30" ht="14.25" customHeight="1" x14ac:dyDescent="0.2">
      <c r="A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:30" ht="14.25" customHeight="1" x14ac:dyDescent="0.2">
      <c r="A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:30" ht="14.25" customHeight="1" x14ac:dyDescent="0.2">
      <c r="A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:30" ht="14.25" customHeight="1" x14ac:dyDescent="0.2">
      <c r="A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:30" ht="14.25" customHeight="1" x14ac:dyDescent="0.2">
      <c r="A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:30" ht="14.25" customHeight="1" x14ac:dyDescent="0.2">
      <c r="A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:30" ht="14.25" customHeight="1" x14ac:dyDescent="0.2">
      <c r="A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:30" ht="14.25" customHeight="1" x14ac:dyDescent="0.2">
      <c r="A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:30" ht="14.25" customHeight="1" x14ac:dyDescent="0.2">
      <c r="A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:30" ht="14.25" customHeight="1" x14ac:dyDescent="0.2">
      <c r="A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:30" ht="14.25" customHeight="1" x14ac:dyDescent="0.2">
      <c r="A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:30" ht="14.25" customHeight="1" x14ac:dyDescent="0.2">
      <c r="A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:30" ht="14.25" customHeight="1" x14ac:dyDescent="0.2">
      <c r="A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:30" ht="14.25" customHeight="1" x14ac:dyDescent="0.2">
      <c r="A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:30" ht="14.25" customHeight="1" x14ac:dyDescent="0.2">
      <c r="A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:30" ht="14.25" customHeight="1" x14ac:dyDescent="0.2">
      <c r="A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:30" ht="14.25" customHeight="1" x14ac:dyDescent="0.2">
      <c r="A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:30" ht="14.25" customHeight="1" x14ac:dyDescent="0.2">
      <c r="A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:30" ht="14.25" customHeight="1" x14ac:dyDescent="0.2">
      <c r="A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:30" ht="14.25" customHeight="1" x14ac:dyDescent="0.2">
      <c r="A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:30" ht="14.25" customHeight="1" x14ac:dyDescent="0.2">
      <c r="A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:30" ht="14.25" customHeight="1" x14ac:dyDescent="0.2">
      <c r="A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:30" ht="14.25" customHeight="1" x14ac:dyDescent="0.2">
      <c r="A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:30" ht="14.25" customHeight="1" x14ac:dyDescent="0.2">
      <c r="A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:30" ht="14.25" customHeight="1" x14ac:dyDescent="0.2">
      <c r="A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:30" ht="14.25" customHeight="1" x14ac:dyDescent="0.2">
      <c r="A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:30" ht="14.25" customHeight="1" x14ac:dyDescent="0.2">
      <c r="A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:30" ht="14.25" customHeight="1" x14ac:dyDescent="0.2">
      <c r="A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:30" ht="14.25" customHeight="1" x14ac:dyDescent="0.2">
      <c r="A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:30" ht="14.25" customHeight="1" x14ac:dyDescent="0.2">
      <c r="A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:30" ht="14.25" customHeight="1" x14ac:dyDescent="0.2">
      <c r="A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:30" ht="14.25" customHeight="1" x14ac:dyDescent="0.2">
      <c r="A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:30" ht="14.25" customHeight="1" x14ac:dyDescent="0.2">
      <c r="A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:30" ht="14.25" customHeight="1" x14ac:dyDescent="0.2">
      <c r="A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:30" ht="14.25" customHeight="1" x14ac:dyDescent="0.2">
      <c r="A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:30" ht="14.25" customHeight="1" x14ac:dyDescent="0.2">
      <c r="A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:30" ht="14.25" customHeight="1" x14ac:dyDescent="0.2">
      <c r="A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:30" ht="14.25" customHeight="1" x14ac:dyDescent="0.2">
      <c r="A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:30" ht="14.25" customHeight="1" x14ac:dyDescent="0.2">
      <c r="A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:30" ht="14.25" customHeight="1" x14ac:dyDescent="0.2">
      <c r="A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:30" ht="14.25" customHeight="1" x14ac:dyDescent="0.2">
      <c r="A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:30" ht="14.25" customHeight="1" x14ac:dyDescent="0.2">
      <c r="A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:30" ht="14.25" customHeight="1" x14ac:dyDescent="0.2">
      <c r="A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:30" ht="14.25" customHeight="1" x14ac:dyDescent="0.2">
      <c r="A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:30" ht="14.25" customHeight="1" x14ac:dyDescent="0.2">
      <c r="A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:30" ht="14.25" customHeight="1" x14ac:dyDescent="0.2">
      <c r="A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:30" ht="14.25" customHeight="1" x14ac:dyDescent="0.2">
      <c r="A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:30" ht="14.25" customHeight="1" x14ac:dyDescent="0.2">
      <c r="A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:30" ht="14.25" customHeight="1" x14ac:dyDescent="0.2">
      <c r="A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:30" ht="14.25" customHeight="1" x14ac:dyDescent="0.2">
      <c r="A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:30" ht="14.25" customHeight="1" x14ac:dyDescent="0.2">
      <c r="A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:30" ht="14.25" customHeight="1" x14ac:dyDescent="0.2">
      <c r="A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:30" ht="14.25" customHeight="1" x14ac:dyDescent="0.2">
      <c r="A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:30" ht="14.25" customHeight="1" x14ac:dyDescent="0.2">
      <c r="A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:30" ht="14.25" customHeight="1" x14ac:dyDescent="0.2">
      <c r="A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:30" ht="14.25" customHeight="1" x14ac:dyDescent="0.2">
      <c r="A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:30" ht="14.25" customHeight="1" x14ac:dyDescent="0.2">
      <c r="A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:30" ht="14.25" customHeight="1" x14ac:dyDescent="0.2">
      <c r="A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:30" ht="14.25" customHeight="1" x14ac:dyDescent="0.2">
      <c r="A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:30" ht="14.25" customHeight="1" x14ac:dyDescent="0.2">
      <c r="A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:30" ht="14.25" customHeight="1" x14ac:dyDescent="0.2">
      <c r="A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:30" ht="14.25" customHeight="1" x14ac:dyDescent="0.2">
      <c r="A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:30" ht="14.25" customHeight="1" x14ac:dyDescent="0.2">
      <c r="A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:30" ht="14.25" customHeight="1" x14ac:dyDescent="0.2">
      <c r="A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:30" ht="14.25" customHeight="1" x14ac:dyDescent="0.2">
      <c r="A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:30" ht="14.25" customHeight="1" x14ac:dyDescent="0.2">
      <c r="A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:30" ht="14.25" customHeight="1" x14ac:dyDescent="0.2">
      <c r="A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:30" ht="14.25" customHeight="1" x14ac:dyDescent="0.2">
      <c r="A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:30" ht="14.25" customHeight="1" x14ac:dyDescent="0.2">
      <c r="A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:30" ht="14.25" customHeight="1" x14ac:dyDescent="0.2">
      <c r="A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:30" ht="14.25" customHeight="1" x14ac:dyDescent="0.2">
      <c r="A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:30" ht="14.25" customHeight="1" x14ac:dyDescent="0.2">
      <c r="A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:30" ht="14.25" customHeight="1" x14ac:dyDescent="0.2">
      <c r="A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:30" ht="14.25" customHeight="1" x14ac:dyDescent="0.2">
      <c r="A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:30" ht="14.25" customHeight="1" x14ac:dyDescent="0.2">
      <c r="A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:30" ht="14.25" customHeight="1" x14ac:dyDescent="0.2">
      <c r="A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:30" ht="14.25" customHeight="1" x14ac:dyDescent="0.2">
      <c r="A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:30" ht="14.25" customHeight="1" x14ac:dyDescent="0.2">
      <c r="A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:30" ht="14.25" customHeight="1" x14ac:dyDescent="0.2">
      <c r="A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:30" ht="14.25" customHeight="1" x14ac:dyDescent="0.2">
      <c r="A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:30" ht="14.25" customHeight="1" x14ac:dyDescent="0.2">
      <c r="A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:30" ht="14.25" customHeight="1" x14ac:dyDescent="0.2">
      <c r="A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:30" ht="14.25" customHeight="1" x14ac:dyDescent="0.2">
      <c r="A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:30" ht="14.25" customHeight="1" x14ac:dyDescent="0.2">
      <c r="A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:30" ht="14.25" customHeight="1" x14ac:dyDescent="0.2">
      <c r="A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:30" ht="14.25" customHeight="1" x14ac:dyDescent="0.2">
      <c r="A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:30" ht="14.25" customHeight="1" x14ac:dyDescent="0.2">
      <c r="A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:30" ht="14.25" customHeight="1" x14ac:dyDescent="0.2">
      <c r="A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:30" ht="14.25" customHeight="1" x14ac:dyDescent="0.2">
      <c r="A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:30" ht="14.25" customHeight="1" x14ac:dyDescent="0.2">
      <c r="A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:30" ht="14.25" customHeight="1" x14ac:dyDescent="0.2">
      <c r="A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:30" ht="14.25" customHeight="1" x14ac:dyDescent="0.2">
      <c r="A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:30" ht="14.25" customHeight="1" x14ac:dyDescent="0.2">
      <c r="A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:30" ht="14.25" customHeight="1" x14ac:dyDescent="0.2">
      <c r="A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:30" ht="14.25" customHeight="1" x14ac:dyDescent="0.2">
      <c r="A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:30" ht="14.25" customHeight="1" x14ac:dyDescent="0.2">
      <c r="A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:30" ht="14.25" customHeight="1" x14ac:dyDescent="0.2">
      <c r="A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:30" ht="14.25" customHeight="1" x14ac:dyDescent="0.2">
      <c r="A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:30" ht="14.25" customHeight="1" x14ac:dyDescent="0.2">
      <c r="A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:30" ht="14.25" customHeight="1" x14ac:dyDescent="0.2">
      <c r="A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:30" ht="14.25" customHeight="1" x14ac:dyDescent="0.2">
      <c r="A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:30" ht="14.25" customHeight="1" x14ac:dyDescent="0.2">
      <c r="A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:30" ht="14.25" customHeight="1" x14ac:dyDescent="0.2">
      <c r="A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:30" ht="14.25" customHeight="1" x14ac:dyDescent="0.2">
      <c r="A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:30" ht="14.25" customHeight="1" x14ac:dyDescent="0.2">
      <c r="A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:30" ht="14.25" customHeight="1" x14ac:dyDescent="0.2">
      <c r="A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:30" ht="14.25" customHeight="1" x14ac:dyDescent="0.2">
      <c r="A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:30" ht="14.25" customHeight="1" x14ac:dyDescent="0.2">
      <c r="A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:30" ht="14.25" customHeight="1" x14ac:dyDescent="0.2">
      <c r="A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:30" ht="14.25" customHeight="1" x14ac:dyDescent="0.2">
      <c r="A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:30" ht="14.25" customHeight="1" x14ac:dyDescent="0.2">
      <c r="A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:30" ht="14.25" customHeight="1" x14ac:dyDescent="0.2">
      <c r="A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:30" ht="14.25" customHeight="1" x14ac:dyDescent="0.2">
      <c r="A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:30" ht="14.25" customHeight="1" x14ac:dyDescent="0.2">
      <c r="A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:30" ht="14.25" customHeight="1" x14ac:dyDescent="0.2">
      <c r="A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:30" ht="14.25" customHeight="1" x14ac:dyDescent="0.2">
      <c r="A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:30" ht="14.25" customHeight="1" x14ac:dyDescent="0.2">
      <c r="A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:30" ht="14.25" customHeight="1" x14ac:dyDescent="0.2">
      <c r="A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:30" ht="14.25" customHeight="1" x14ac:dyDescent="0.2">
      <c r="A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:30" ht="14.25" customHeight="1" x14ac:dyDescent="0.2">
      <c r="A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:30" ht="14.25" customHeight="1" x14ac:dyDescent="0.2">
      <c r="A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:30" ht="14.25" customHeight="1" x14ac:dyDescent="0.2">
      <c r="A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:30" ht="14.25" customHeight="1" x14ac:dyDescent="0.2">
      <c r="A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:30" ht="14.25" customHeight="1" x14ac:dyDescent="0.2">
      <c r="A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:30" ht="14.25" customHeight="1" x14ac:dyDescent="0.2">
      <c r="A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:30" ht="14.25" customHeight="1" x14ac:dyDescent="0.2">
      <c r="A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:30" ht="14.25" customHeight="1" x14ac:dyDescent="0.2">
      <c r="A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:30" ht="14.25" customHeight="1" x14ac:dyDescent="0.2">
      <c r="A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:30" ht="14.25" customHeight="1" x14ac:dyDescent="0.2">
      <c r="A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:30" ht="14.25" customHeight="1" x14ac:dyDescent="0.2">
      <c r="A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:30" ht="14.25" customHeight="1" x14ac:dyDescent="0.2">
      <c r="A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:30" ht="14.25" customHeight="1" x14ac:dyDescent="0.2">
      <c r="A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:30" ht="14.25" customHeight="1" x14ac:dyDescent="0.2">
      <c r="A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:30" ht="14.25" customHeight="1" x14ac:dyDescent="0.2">
      <c r="A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:30" ht="14.25" customHeight="1" x14ac:dyDescent="0.2">
      <c r="A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:30" ht="14.25" customHeight="1" x14ac:dyDescent="0.2">
      <c r="A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:30" ht="14.25" customHeight="1" x14ac:dyDescent="0.2">
      <c r="A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:30" ht="14.25" customHeight="1" x14ac:dyDescent="0.2">
      <c r="A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  <row r="281" spans="1:30" ht="14.25" customHeight="1" x14ac:dyDescent="0.2">
      <c r="A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</row>
    <row r="282" spans="1:30" ht="14.25" customHeight="1" x14ac:dyDescent="0.2">
      <c r="A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</row>
    <row r="283" spans="1:30" ht="14.25" customHeight="1" x14ac:dyDescent="0.2">
      <c r="A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</row>
    <row r="284" spans="1:30" ht="14.25" customHeight="1" x14ac:dyDescent="0.2">
      <c r="A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</row>
    <row r="285" spans="1:30" ht="14.25" customHeight="1" x14ac:dyDescent="0.2">
      <c r="A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</row>
    <row r="286" spans="1:30" ht="14.25" customHeight="1" x14ac:dyDescent="0.2">
      <c r="A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</row>
    <row r="287" spans="1:30" ht="14.25" customHeight="1" x14ac:dyDescent="0.2">
      <c r="A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</row>
    <row r="288" spans="1:30" ht="14.25" customHeight="1" x14ac:dyDescent="0.2">
      <c r="A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</row>
    <row r="289" spans="1:30" ht="14.25" customHeight="1" x14ac:dyDescent="0.2">
      <c r="A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</row>
    <row r="290" spans="1:30" ht="14.25" customHeight="1" x14ac:dyDescent="0.2">
      <c r="A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</row>
    <row r="291" spans="1:30" ht="14.25" customHeight="1" x14ac:dyDescent="0.2">
      <c r="A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</row>
    <row r="292" spans="1:30" ht="14.25" customHeight="1" x14ac:dyDescent="0.2">
      <c r="A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</row>
    <row r="293" spans="1:30" ht="14.25" customHeight="1" x14ac:dyDescent="0.2">
      <c r="A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</row>
    <row r="294" spans="1:30" ht="14.25" customHeight="1" x14ac:dyDescent="0.2">
      <c r="A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</row>
    <row r="295" spans="1:30" ht="14.25" customHeight="1" x14ac:dyDescent="0.2">
      <c r="A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</row>
    <row r="296" spans="1:30" ht="14.25" customHeight="1" x14ac:dyDescent="0.2">
      <c r="A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</row>
    <row r="297" spans="1:30" ht="14.25" customHeight="1" x14ac:dyDescent="0.2">
      <c r="A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</row>
    <row r="298" spans="1:30" ht="14.25" customHeight="1" x14ac:dyDescent="0.2">
      <c r="A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</row>
    <row r="299" spans="1:30" ht="14.25" customHeight="1" x14ac:dyDescent="0.2">
      <c r="A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</row>
    <row r="300" spans="1:30" ht="14.25" customHeight="1" x14ac:dyDescent="0.2">
      <c r="A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</row>
    <row r="301" spans="1:30" ht="14.25" customHeight="1" x14ac:dyDescent="0.2">
      <c r="A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</row>
    <row r="302" spans="1:30" ht="14.25" customHeight="1" x14ac:dyDescent="0.2">
      <c r="A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</row>
    <row r="303" spans="1:30" ht="14.25" customHeight="1" x14ac:dyDescent="0.2">
      <c r="A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</row>
    <row r="304" spans="1:30" ht="14.25" customHeight="1" x14ac:dyDescent="0.2">
      <c r="A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</row>
    <row r="305" spans="1:30" ht="14.25" customHeight="1" x14ac:dyDescent="0.2">
      <c r="A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</row>
    <row r="306" spans="1:30" ht="14.25" customHeight="1" x14ac:dyDescent="0.2">
      <c r="A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</row>
    <row r="307" spans="1:30" ht="14.25" customHeight="1" x14ac:dyDescent="0.2">
      <c r="A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</row>
    <row r="308" spans="1:30" ht="14.25" customHeight="1" x14ac:dyDescent="0.2">
      <c r="A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</row>
    <row r="309" spans="1:30" ht="14.25" customHeight="1" x14ac:dyDescent="0.2">
      <c r="A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</row>
    <row r="310" spans="1:30" ht="14.25" customHeight="1" x14ac:dyDescent="0.2">
      <c r="A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</row>
    <row r="311" spans="1:30" ht="14.25" customHeight="1" x14ac:dyDescent="0.2">
      <c r="A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</row>
    <row r="312" spans="1:30" ht="14.25" customHeight="1" x14ac:dyDescent="0.2">
      <c r="A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</row>
    <row r="313" spans="1:30" ht="14.25" customHeight="1" x14ac:dyDescent="0.2">
      <c r="A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</row>
    <row r="314" spans="1:30" ht="14.25" customHeight="1" x14ac:dyDescent="0.2">
      <c r="A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</row>
    <row r="315" spans="1:30" ht="14.25" customHeight="1" x14ac:dyDescent="0.2">
      <c r="A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</row>
    <row r="316" spans="1:30" ht="14.25" customHeight="1" x14ac:dyDescent="0.2">
      <c r="A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</row>
    <row r="317" spans="1:30" ht="14.25" customHeight="1" x14ac:dyDescent="0.2">
      <c r="A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</row>
    <row r="318" spans="1:30" ht="14.25" customHeight="1" x14ac:dyDescent="0.2">
      <c r="A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</row>
    <row r="319" spans="1:30" ht="14.25" customHeight="1" x14ac:dyDescent="0.2">
      <c r="A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</row>
    <row r="320" spans="1:30" ht="14.25" customHeight="1" x14ac:dyDescent="0.2">
      <c r="A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</row>
    <row r="321" spans="1:30" ht="14.25" customHeight="1" x14ac:dyDescent="0.2">
      <c r="A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</row>
    <row r="322" spans="1:30" ht="14.25" customHeight="1" x14ac:dyDescent="0.2">
      <c r="A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</row>
    <row r="323" spans="1:30" ht="14.25" customHeight="1" x14ac:dyDescent="0.2">
      <c r="A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</row>
    <row r="324" spans="1:30" ht="14.25" customHeight="1" x14ac:dyDescent="0.2">
      <c r="A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</row>
    <row r="325" spans="1:30" ht="14.25" customHeight="1" x14ac:dyDescent="0.2">
      <c r="A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</row>
    <row r="326" spans="1:30" ht="14.25" customHeight="1" x14ac:dyDescent="0.2">
      <c r="A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</row>
    <row r="327" spans="1:30" ht="14.25" customHeight="1" x14ac:dyDescent="0.2">
      <c r="A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</row>
    <row r="328" spans="1:30" ht="14.25" customHeight="1" x14ac:dyDescent="0.2">
      <c r="A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</row>
    <row r="329" spans="1:30" ht="14.25" customHeight="1" x14ac:dyDescent="0.2">
      <c r="A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</row>
    <row r="330" spans="1:30" ht="14.25" customHeight="1" x14ac:dyDescent="0.2">
      <c r="A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</row>
    <row r="331" spans="1:30" ht="14.25" customHeight="1" x14ac:dyDescent="0.2">
      <c r="A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</row>
    <row r="332" spans="1:30" ht="14.25" customHeight="1" x14ac:dyDescent="0.2">
      <c r="A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</row>
    <row r="333" spans="1:30" ht="14.25" customHeight="1" x14ac:dyDescent="0.2">
      <c r="A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</row>
    <row r="334" spans="1:30" ht="14.25" customHeight="1" x14ac:dyDescent="0.2">
      <c r="A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</row>
    <row r="335" spans="1:30" ht="14.25" customHeight="1" x14ac:dyDescent="0.2">
      <c r="A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</row>
    <row r="336" spans="1:30" ht="14.25" customHeight="1" x14ac:dyDescent="0.2">
      <c r="A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</row>
    <row r="337" spans="1:30" ht="14.25" customHeight="1" x14ac:dyDescent="0.2">
      <c r="A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</row>
    <row r="338" spans="1:30" ht="14.25" customHeight="1" x14ac:dyDescent="0.2">
      <c r="A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</row>
    <row r="339" spans="1:30" ht="14.25" customHeight="1" x14ac:dyDescent="0.2">
      <c r="A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</row>
    <row r="340" spans="1:30" ht="14.25" customHeight="1" x14ac:dyDescent="0.2">
      <c r="A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</row>
    <row r="341" spans="1:30" ht="14.25" customHeight="1" x14ac:dyDescent="0.2">
      <c r="A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</row>
    <row r="342" spans="1:30" ht="14.25" customHeight="1" x14ac:dyDescent="0.2">
      <c r="A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</row>
    <row r="343" spans="1:30" ht="14.25" customHeight="1" x14ac:dyDescent="0.2">
      <c r="A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</row>
    <row r="344" spans="1:30" ht="14.25" customHeight="1" x14ac:dyDescent="0.2">
      <c r="A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</row>
    <row r="345" spans="1:30" ht="14.25" customHeight="1" x14ac:dyDescent="0.2">
      <c r="A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</row>
    <row r="346" spans="1:30" ht="14.25" customHeight="1" x14ac:dyDescent="0.2">
      <c r="A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</row>
    <row r="347" spans="1:30" ht="14.25" customHeight="1" x14ac:dyDescent="0.2">
      <c r="A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</row>
    <row r="348" spans="1:30" ht="14.25" customHeight="1" x14ac:dyDescent="0.2">
      <c r="A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</row>
    <row r="349" spans="1:30" ht="14.25" customHeight="1" x14ac:dyDescent="0.2">
      <c r="A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</row>
    <row r="350" spans="1:30" ht="14.25" customHeight="1" x14ac:dyDescent="0.2">
      <c r="A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</row>
    <row r="351" spans="1:30" ht="14.25" customHeight="1" x14ac:dyDescent="0.2">
      <c r="A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</row>
    <row r="352" spans="1:30" ht="14.25" customHeight="1" x14ac:dyDescent="0.2">
      <c r="A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</row>
    <row r="353" spans="1:30" ht="14.25" customHeight="1" x14ac:dyDescent="0.2">
      <c r="A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</row>
    <row r="354" spans="1:30" ht="14.25" customHeight="1" x14ac:dyDescent="0.2">
      <c r="A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</row>
    <row r="355" spans="1:30" ht="14.25" customHeight="1" x14ac:dyDescent="0.2">
      <c r="A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</row>
    <row r="356" spans="1:30" ht="14.25" customHeight="1" x14ac:dyDescent="0.2">
      <c r="A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</row>
    <row r="357" spans="1:30" ht="14.25" customHeight="1" x14ac:dyDescent="0.2">
      <c r="A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</row>
    <row r="358" spans="1:30" ht="14.25" customHeight="1" x14ac:dyDescent="0.2">
      <c r="A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</row>
    <row r="359" spans="1:30" ht="14.25" customHeight="1" x14ac:dyDescent="0.2">
      <c r="A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</row>
    <row r="360" spans="1:30" ht="14.25" customHeight="1" x14ac:dyDescent="0.2">
      <c r="A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</row>
    <row r="361" spans="1:30" ht="14.25" customHeight="1" x14ac:dyDescent="0.2">
      <c r="A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</row>
    <row r="362" spans="1:30" ht="14.25" customHeight="1" x14ac:dyDescent="0.2">
      <c r="A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</row>
    <row r="363" spans="1:30" ht="14.25" customHeight="1" x14ac:dyDescent="0.2">
      <c r="A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</row>
    <row r="364" spans="1:30" ht="14.25" customHeight="1" x14ac:dyDescent="0.2">
      <c r="A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</row>
    <row r="365" spans="1:30" ht="14.25" customHeight="1" x14ac:dyDescent="0.2">
      <c r="A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</row>
    <row r="366" spans="1:30" ht="14.25" customHeight="1" x14ac:dyDescent="0.2">
      <c r="A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</row>
    <row r="367" spans="1:30" ht="14.25" customHeight="1" x14ac:dyDescent="0.2">
      <c r="A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</row>
    <row r="368" spans="1:30" ht="14.25" customHeight="1" x14ac:dyDescent="0.2">
      <c r="A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</row>
    <row r="369" spans="1:30" ht="14.25" customHeight="1" x14ac:dyDescent="0.2">
      <c r="A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</row>
    <row r="370" spans="1:30" ht="14.25" customHeight="1" x14ac:dyDescent="0.2">
      <c r="A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</row>
    <row r="371" spans="1:30" ht="14.25" customHeight="1" x14ac:dyDescent="0.2">
      <c r="A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</row>
    <row r="372" spans="1:30" ht="14.25" customHeight="1" x14ac:dyDescent="0.2">
      <c r="A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</row>
    <row r="373" spans="1:30" ht="14.25" customHeight="1" x14ac:dyDescent="0.2">
      <c r="A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</row>
    <row r="374" spans="1:30" ht="14.25" customHeight="1" x14ac:dyDescent="0.2">
      <c r="A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</row>
    <row r="375" spans="1:30" ht="14.25" customHeight="1" x14ac:dyDescent="0.2">
      <c r="A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</row>
    <row r="376" spans="1:30" ht="14.25" customHeight="1" x14ac:dyDescent="0.2">
      <c r="A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</row>
    <row r="377" spans="1:30" ht="14.25" customHeight="1" x14ac:dyDescent="0.2">
      <c r="A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</row>
    <row r="378" spans="1:30" ht="14.25" customHeight="1" x14ac:dyDescent="0.2">
      <c r="A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</row>
    <row r="379" spans="1:30" ht="14.25" customHeight="1" x14ac:dyDescent="0.2">
      <c r="A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</row>
    <row r="380" spans="1:30" ht="14.25" customHeight="1" x14ac:dyDescent="0.2">
      <c r="A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</row>
    <row r="381" spans="1:30" ht="14.25" customHeight="1" x14ac:dyDescent="0.2">
      <c r="A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</row>
    <row r="382" spans="1:30" ht="14.25" customHeight="1" x14ac:dyDescent="0.2">
      <c r="A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</row>
    <row r="383" spans="1:30" ht="14.25" customHeight="1" x14ac:dyDescent="0.2">
      <c r="A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</row>
    <row r="384" spans="1:30" ht="14.25" customHeight="1" x14ac:dyDescent="0.2">
      <c r="A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</row>
    <row r="385" spans="1:30" ht="14.25" customHeight="1" x14ac:dyDescent="0.2">
      <c r="A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</row>
    <row r="386" spans="1:30" ht="14.25" customHeight="1" x14ac:dyDescent="0.2">
      <c r="A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</row>
    <row r="387" spans="1:30" ht="14.25" customHeight="1" x14ac:dyDescent="0.2">
      <c r="A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</row>
    <row r="388" spans="1:30" ht="14.25" customHeight="1" x14ac:dyDescent="0.2">
      <c r="A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</row>
    <row r="389" spans="1:30" ht="14.25" customHeight="1" x14ac:dyDescent="0.2">
      <c r="A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</row>
    <row r="390" spans="1:30" ht="14.25" customHeight="1" x14ac:dyDescent="0.2">
      <c r="A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</row>
    <row r="391" spans="1:30" ht="14.25" customHeight="1" x14ac:dyDescent="0.2">
      <c r="A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</row>
    <row r="392" spans="1:30" ht="14.25" customHeight="1" x14ac:dyDescent="0.2">
      <c r="A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</row>
    <row r="393" spans="1:30" ht="14.25" customHeight="1" x14ac:dyDescent="0.2">
      <c r="A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</row>
    <row r="394" spans="1:30" ht="14.25" customHeight="1" x14ac:dyDescent="0.2">
      <c r="A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</row>
    <row r="395" spans="1:30" ht="14.25" customHeight="1" x14ac:dyDescent="0.2">
      <c r="A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</row>
    <row r="396" spans="1:30" ht="14.25" customHeight="1" x14ac:dyDescent="0.2">
      <c r="A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</row>
    <row r="397" spans="1:30" ht="14.25" customHeight="1" x14ac:dyDescent="0.2">
      <c r="A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</row>
    <row r="398" spans="1:30" ht="14.25" customHeight="1" x14ac:dyDescent="0.2">
      <c r="A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</row>
    <row r="399" spans="1:30" ht="14.25" customHeight="1" x14ac:dyDescent="0.2">
      <c r="A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</row>
    <row r="400" spans="1:30" ht="14.25" customHeight="1" x14ac:dyDescent="0.2">
      <c r="A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</row>
    <row r="401" spans="1:30" ht="14.25" customHeight="1" x14ac:dyDescent="0.2">
      <c r="A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</row>
    <row r="402" spans="1:30" ht="14.25" customHeight="1" x14ac:dyDescent="0.2">
      <c r="A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</row>
    <row r="403" spans="1:30" ht="14.25" customHeight="1" x14ac:dyDescent="0.2">
      <c r="A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</row>
    <row r="404" spans="1:30" ht="14.25" customHeight="1" x14ac:dyDescent="0.2">
      <c r="A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</row>
    <row r="405" spans="1:30" ht="14.25" customHeight="1" x14ac:dyDescent="0.2">
      <c r="A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</row>
    <row r="406" spans="1:30" ht="14.25" customHeight="1" x14ac:dyDescent="0.2">
      <c r="A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</row>
    <row r="407" spans="1:30" ht="14.25" customHeight="1" x14ac:dyDescent="0.2">
      <c r="A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</row>
    <row r="408" spans="1:30" ht="14.25" customHeight="1" x14ac:dyDescent="0.2">
      <c r="A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</row>
    <row r="409" spans="1:30" ht="14.25" customHeight="1" x14ac:dyDescent="0.2">
      <c r="A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</row>
    <row r="410" spans="1:30" ht="14.25" customHeight="1" x14ac:dyDescent="0.2">
      <c r="A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</row>
    <row r="411" spans="1:30" ht="14.25" customHeight="1" x14ac:dyDescent="0.2">
      <c r="A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</row>
    <row r="412" spans="1:30" ht="14.25" customHeight="1" x14ac:dyDescent="0.2">
      <c r="A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</row>
    <row r="413" spans="1:30" ht="14.25" customHeight="1" x14ac:dyDescent="0.2">
      <c r="A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</row>
    <row r="414" spans="1:30" ht="14.25" customHeight="1" x14ac:dyDescent="0.2">
      <c r="A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</row>
    <row r="415" spans="1:30" ht="14.25" customHeight="1" x14ac:dyDescent="0.2">
      <c r="A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</row>
    <row r="416" spans="1:30" ht="14.25" customHeight="1" x14ac:dyDescent="0.2">
      <c r="A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</row>
    <row r="417" spans="1:30" ht="14.25" customHeight="1" x14ac:dyDescent="0.2">
      <c r="A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</row>
    <row r="418" spans="1:30" ht="14.25" customHeight="1" x14ac:dyDescent="0.2">
      <c r="A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</row>
    <row r="419" spans="1:30" ht="14.25" customHeight="1" x14ac:dyDescent="0.2">
      <c r="A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</row>
    <row r="420" spans="1:30" ht="14.25" customHeight="1" x14ac:dyDescent="0.2">
      <c r="A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</row>
    <row r="421" spans="1:30" ht="14.25" customHeight="1" x14ac:dyDescent="0.2">
      <c r="A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</row>
    <row r="422" spans="1:30" ht="14.25" customHeight="1" x14ac:dyDescent="0.2">
      <c r="A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</row>
    <row r="423" spans="1:30" ht="14.25" customHeight="1" x14ac:dyDescent="0.2">
      <c r="A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</row>
    <row r="424" spans="1:30" ht="14.25" customHeight="1" x14ac:dyDescent="0.2">
      <c r="A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</row>
    <row r="425" spans="1:30" ht="14.25" customHeight="1" x14ac:dyDescent="0.2">
      <c r="A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</row>
    <row r="426" spans="1:30" ht="14.25" customHeight="1" x14ac:dyDescent="0.2">
      <c r="A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</row>
    <row r="427" spans="1:30" ht="14.25" customHeight="1" x14ac:dyDescent="0.2">
      <c r="A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</row>
    <row r="428" spans="1:30" ht="14.25" customHeight="1" x14ac:dyDescent="0.2">
      <c r="A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</row>
    <row r="429" spans="1:30" ht="14.25" customHeight="1" x14ac:dyDescent="0.2">
      <c r="A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</row>
    <row r="430" spans="1:30" ht="14.25" customHeight="1" x14ac:dyDescent="0.2">
      <c r="A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</row>
    <row r="431" spans="1:30" ht="14.25" customHeight="1" x14ac:dyDescent="0.2">
      <c r="A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</row>
    <row r="432" spans="1:30" ht="14.25" customHeight="1" x14ac:dyDescent="0.2">
      <c r="A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</row>
    <row r="433" spans="1:30" ht="14.25" customHeight="1" x14ac:dyDescent="0.2">
      <c r="A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</row>
    <row r="434" spans="1:30" ht="14.25" customHeight="1" x14ac:dyDescent="0.2">
      <c r="A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</row>
    <row r="435" spans="1:30" ht="14.25" customHeight="1" x14ac:dyDescent="0.2">
      <c r="A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</row>
    <row r="436" spans="1:30" ht="14.25" customHeight="1" x14ac:dyDescent="0.2">
      <c r="A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</row>
    <row r="437" spans="1:30" ht="14.25" customHeight="1" x14ac:dyDescent="0.2">
      <c r="A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</row>
    <row r="438" spans="1:30" ht="14.25" customHeight="1" x14ac:dyDescent="0.2">
      <c r="A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</row>
    <row r="439" spans="1:30" ht="14.25" customHeight="1" x14ac:dyDescent="0.2">
      <c r="A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</row>
    <row r="440" spans="1:30" ht="14.25" customHeight="1" x14ac:dyDescent="0.2">
      <c r="A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</row>
    <row r="441" spans="1:30" ht="14.25" customHeight="1" x14ac:dyDescent="0.2">
      <c r="A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</row>
    <row r="442" spans="1:30" ht="14.25" customHeight="1" x14ac:dyDescent="0.2">
      <c r="A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</row>
    <row r="443" spans="1:30" ht="14.25" customHeight="1" x14ac:dyDescent="0.2">
      <c r="A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</row>
    <row r="444" spans="1:30" ht="14.25" customHeight="1" x14ac:dyDescent="0.2">
      <c r="A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</row>
    <row r="445" spans="1:30" ht="14.25" customHeight="1" x14ac:dyDescent="0.2">
      <c r="A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</row>
    <row r="446" spans="1:30" ht="14.25" customHeight="1" x14ac:dyDescent="0.2">
      <c r="A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</row>
    <row r="447" spans="1:30" ht="14.25" customHeight="1" x14ac:dyDescent="0.2">
      <c r="A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</row>
    <row r="448" spans="1:30" ht="14.25" customHeight="1" x14ac:dyDescent="0.2">
      <c r="A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</row>
    <row r="449" spans="1:30" ht="14.25" customHeight="1" x14ac:dyDescent="0.2">
      <c r="A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</row>
    <row r="450" spans="1:30" ht="14.25" customHeight="1" x14ac:dyDescent="0.2">
      <c r="A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</row>
    <row r="451" spans="1:30" ht="14.25" customHeight="1" x14ac:dyDescent="0.2">
      <c r="A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</row>
    <row r="452" spans="1:30" ht="14.25" customHeight="1" x14ac:dyDescent="0.2">
      <c r="A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</row>
    <row r="453" spans="1:30" ht="14.25" customHeight="1" x14ac:dyDescent="0.2">
      <c r="A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</row>
    <row r="454" spans="1:30" ht="14.25" customHeight="1" x14ac:dyDescent="0.2">
      <c r="A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</row>
    <row r="455" spans="1:30" ht="14.25" customHeight="1" x14ac:dyDescent="0.2">
      <c r="A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</row>
    <row r="456" spans="1:30" ht="14.25" customHeight="1" x14ac:dyDescent="0.2">
      <c r="A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</row>
    <row r="457" spans="1:30" ht="14.25" customHeight="1" x14ac:dyDescent="0.2">
      <c r="A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</row>
    <row r="458" spans="1:30" ht="14.25" customHeight="1" x14ac:dyDescent="0.2">
      <c r="A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</row>
    <row r="459" spans="1:30" ht="14.25" customHeight="1" x14ac:dyDescent="0.2">
      <c r="A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</row>
    <row r="460" spans="1:30" ht="14.25" customHeight="1" x14ac:dyDescent="0.2">
      <c r="A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</row>
    <row r="461" spans="1:30" ht="14.25" customHeight="1" x14ac:dyDescent="0.2">
      <c r="A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</row>
    <row r="462" spans="1:30" ht="14.25" customHeight="1" x14ac:dyDescent="0.2">
      <c r="A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</row>
    <row r="463" spans="1:30" ht="14.25" customHeight="1" x14ac:dyDescent="0.2">
      <c r="A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</row>
    <row r="464" spans="1:30" ht="14.25" customHeight="1" x14ac:dyDescent="0.2">
      <c r="A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</row>
    <row r="465" spans="1:30" ht="14.25" customHeight="1" x14ac:dyDescent="0.2">
      <c r="A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</row>
    <row r="466" spans="1:30" ht="14.25" customHeight="1" x14ac:dyDescent="0.2">
      <c r="A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</row>
    <row r="467" spans="1:30" ht="14.25" customHeight="1" x14ac:dyDescent="0.2">
      <c r="A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</row>
    <row r="468" spans="1:30" ht="14.25" customHeight="1" x14ac:dyDescent="0.2">
      <c r="A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</row>
    <row r="469" spans="1:30" ht="14.25" customHeight="1" x14ac:dyDescent="0.2">
      <c r="A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</row>
    <row r="470" spans="1:30" ht="14.25" customHeight="1" x14ac:dyDescent="0.2">
      <c r="A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</row>
    <row r="471" spans="1:30" ht="14.25" customHeight="1" x14ac:dyDescent="0.2">
      <c r="A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</row>
    <row r="472" spans="1:30" ht="14.25" customHeight="1" x14ac:dyDescent="0.2">
      <c r="A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</row>
    <row r="473" spans="1:30" ht="14.25" customHeight="1" x14ac:dyDescent="0.2">
      <c r="A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</row>
    <row r="474" spans="1:30" ht="14.25" customHeight="1" x14ac:dyDescent="0.2">
      <c r="A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</row>
    <row r="475" spans="1:30" ht="14.25" customHeight="1" x14ac:dyDescent="0.2">
      <c r="A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</row>
    <row r="476" spans="1:30" ht="14.25" customHeight="1" x14ac:dyDescent="0.2">
      <c r="A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</row>
    <row r="477" spans="1:30" ht="14.25" customHeight="1" x14ac:dyDescent="0.2">
      <c r="A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</row>
    <row r="478" spans="1:30" ht="14.25" customHeight="1" x14ac:dyDescent="0.2">
      <c r="A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</row>
    <row r="479" spans="1:30" ht="14.25" customHeight="1" x14ac:dyDescent="0.2">
      <c r="A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</row>
    <row r="480" spans="1:30" ht="14.25" customHeight="1" x14ac:dyDescent="0.2">
      <c r="A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</row>
    <row r="481" spans="1:30" ht="14.25" customHeight="1" x14ac:dyDescent="0.2">
      <c r="A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</row>
    <row r="482" spans="1:30" ht="14.25" customHeight="1" x14ac:dyDescent="0.2">
      <c r="A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</row>
    <row r="483" spans="1:30" ht="14.25" customHeight="1" x14ac:dyDescent="0.2">
      <c r="A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</row>
    <row r="484" spans="1:30" ht="14.25" customHeight="1" x14ac:dyDescent="0.2">
      <c r="A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</row>
    <row r="485" spans="1:30" ht="14.25" customHeight="1" x14ac:dyDescent="0.2">
      <c r="A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</row>
    <row r="486" spans="1:30" ht="14.25" customHeight="1" x14ac:dyDescent="0.2">
      <c r="A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</row>
    <row r="487" spans="1:30" ht="14.25" customHeight="1" x14ac:dyDescent="0.2">
      <c r="A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</row>
    <row r="488" spans="1:30" ht="14.25" customHeight="1" x14ac:dyDescent="0.2">
      <c r="A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</row>
    <row r="489" spans="1:30" ht="14.25" customHeight="1" x14ac:dyDescent="0.2">
      <c r="A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</row>
    <row r="490" spans="1:30" ht="14.25" customHeight="1" x14ac:dyDescent="0.2">
      <c r="A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</row>
    <row r="491" spans="1:30" ht="14.25" customHeight="1" x14ac:dyDescent="0.2">
      <c r="A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</row>
    <row r="492" spans="1:30" ht="14.25" customHeight="1" x14ac:dyDescent="0.2">
      <c r="A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</row>
    <row r="493" spans="1:30" ht="14.25" customHeight="1" x14ac:dyDescent="0.2">
      <c r="A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</row>
    <row r="494" spans="1:30" ht="14.25" customHeight="1" x14ac:dyDescent="0.2">
      <c r="A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</row>
    <row r="495" spans="1:30" ht="14.25" customHeight="1" x14ac:dyDescent="0.2">
      <c r="A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</row>
    <row r="496" spans="1:30" ht="14.25" customHeight="1" x14ac:dyDescent="0.2">
      <c r="A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</row>
    <row r="497" spans="1:30" ht="14.25" customHeight="1" x14ac:dyDescent="0.2">
      <c r="A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</row>
    <row r="498" spans="1:30" ht="14.25" customHeight="1" x14ac:dyDescent="0.2">
      <c r="A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</row>
    <row r="499" spans="1:30" ht="14.25" customHeight="1" x14ac:dyDescent="0.2">
      <c r="A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</row>
    <row r="500" spans="1:30" ht="14.25" customHeight="1" x14ac:dyDescent="0.2">
      <c r="A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</row>
    <row r="501" spans="1:30" ht="14.25" customHeight="1" x14ac:dyDescent="0.2">
      <c r="A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</row>
    <row r="502" spans="1:30" ht="14.25" customHeight="1" x14ac:dyDescent="0.2">
      <c r="A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</row>
    <row r="503" spans="1:30" ht="14.25" customHeight="1" x14ac:dyDescent="0.2">
      <c r="A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</row>
    <row r="504" spans="1:30" ht="14.25" customHeight="1" x14ac:dyDescent="0.2">
      <c r="A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</row>
    <row r="505" spans="1:30" ht="14.25" customHeight="1" x14ac:dyDescent="0.2">
      <c r="A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</row>
    <row r="506" spans="1:30" ht="14.25" customHeight="1" x14ac:dyDescent="0.2">
      <c r="A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</row>
    <row r="507" spans="1:30" ht="14.25" customHeight="1" x14ac:dyDescent="0.2">
      <c r="A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</row>
    <row r="508" spans="1:30" ht="14.25" customHeight="1" x14ac:dyDescent="0.2">
      <c r="A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</row>
    <row r="509" spans="1:30" ht="14.25" customHeight="1" x14ac:dyDescent="0.2">
      <c r="A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</row>
    <row r="510" spans="1:30" ht="14.25" customHeight="1" x14ac:dyDescent="0.2">
      <c r="A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</row>
    <row r="511" spans="1:30" ht="14.25" customHeight="1" x14ac:dyDescent="0.2">
      <c r="A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</row>
    <row r="512" spans="1:30" ht="14.25" customHeight="1" x14ac:dyDescent="0.2">
      <c r="A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</row>
    <row r="513" spans="1:30" ht="14.25" customHeight="1" x14ac:dyDescent="0.2">
      <c r="A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</row>
    <row r="514" spans="1:30" ht="14.25" customHeight="1" x14ac:dyDescent="0.2">
      <c r="A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</row>
    <row r="515" spans="1:30" ht="14.25" customHeight="1" x14ac:dyDescent="0.2">
      <c r="A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</row>
    <row r="516" spans="1:30" ht="14.25" customHeight="1" x14ac:dyDescent="0.2">
      <c r="A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</row>
    <row r="517" spans="1:30" ht="14.25" customHeight="1" x14ac:dyDescent="0.2">
      <c r="A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</row>
    <row r="518" spans="1:30" ht="14.25" customHeight="1" x14ac:dyDescent="0.2">
      <c r="A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</row>
    <row r="519" spans="1:30" ht="14.25" customHeight="1" x14ac:dyDescent="0.2">
      <c r="A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</row>
    <row r="520" spans="1:30" ht="14.25" customHeight="1" x14ac:dyDescent="0.2">
      <c r="A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</row>
    <row r="521" spans="1:30" ht="14.25" customHeight="1" x14ac:dyDescent="0.2">
      <c r="A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</row>
    <row r="522" spans="1:30" ht="14.25" customHeight="1" x14ac:dyDescent="0.2">
      <c r="A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</row>
    <row r="523" spans="1:30" ht="14.25" customHeight="1" x14ac:dyDescent="0.2">
      <c r="A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</row>
    <row r="524" spans="1:30" ht="14.25" customHeight="1" x14ac:dyDescent="0.2">
      <c r="A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</row>
    <row r="525" spans="1:30" ht="14.25" customHeight="1" x14ac:dyDescent="0.2">
      <c r="A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</row>
    <row r="526" spans="1:30" ht="14.25" customHeight="1" x14ac:dyDescent="0.2">
      <c r="A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</row>
    <row r="527" spans="1:30" ht="14.25" customHeight="1" x14ac:dyDescent="0.2">
      <c r="A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</row>
    <row r="528" spans="1:30" ht="14.25" customHeight="1" x14ac:dyDescent="0.2">
      <c r="A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</row>
    <row r="529" spans="1:30" ht="14.25" customHeight="1" x14ac:dyDescent="0.2">
      <c r="A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</row>
    <row r="530" spans="1:30" ht="14.25" customHeight="1" x14ac:dyDescent="0.2">
      <c r="A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</row>
    <row r="531" spans="1:30" ht="14.25" customHeight="1" x14ac:dyDescent="0.2">
      <c r="A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</row>
    <row r="532" spans="1:30" ht="14.25" customHeight="1" x14ac:dyDescent="0.2">
      <c r="A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</row>
    <row r="533" spans="1:30" ht="14.25" customHeight="1" x14ac:dyDescent="0.2">
      <c r="A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</row>
    <row r="534" spans="1:30" ht="14.25" customHeight="1" x14ac:dyDescent="0.2">
      <c r="A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</row>
    <row r="535" spans="1:30" ht="14.25" customHeight="1" x14ac:dyDescent="0.2">
      <c r="A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</row>
    <row r="536" spans="1:30" ht="14.25" customHeight="1" x14ac:dyDescent="0.2">
      <c r="A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</row>
    <row r="537" spans="1:30" ht="14.25" customHeight="1" x14ac:dyDescent="0.2">
      <c r="A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</row>
    <row r="538" spans="1:30" ht="14.25" customHeight="1" x14ac:dyDescent="0.2">
      <c r="A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</row>
    <row r="539" spans="1:30" ht="14.25" customHeight="1" x14ac:dyDescent="0.2">
      <c r="A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</row>
    <row r="540" spans="1:30" ht="14.25" customHeight="1" x14ac:dyDescent="0.2">
      <c r="A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</row>
    <row r="541" spans="1:30" ht="14.25" customHeight="1" x14ac:dyDescent="0.2">
      <c r="A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</row>
    <row r="542" spans="1:30" ht="14.25" customHeight="1" x14ac:dyDescent="0.2">
      <c r="A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</row>
    <row r="543" spans="1:30" ht="14.25" customHeight="1" x14ac:dyDescent="0.2">
      <c r="A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</row>
    <row r="544" spans="1:30" ht="14.25" customHeight="1" x14ac:dyDescent="0.2">
      <c r="A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</row>
    <row r="545" spans="1:30" ht="14.25" customHeight="1" x14ac:dyDescent="0.2">
      <c r="A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</row>
    <row r="546" spans="1:30" ht="14.25" customHeight="1" x14ac:dyDescent="0.2">
      <c r="A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</row>
    <row r="547" spans="1:30" ht="14.25" customHeight="1" x14ac:dyDescent="0.2">
      <c r="A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</row>
    <row r="548" spans="1:30" ht="14.25" customHeight="1" x14ac:dyDescent="0.2">
      <c r="A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</row>
    <row r="549" spans="1:30" ht="14.25" customHeight="1" x14ac:dyDescent="0.2">
      <c r="A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</row>
    <row r="550" spans="1:30" ht="14.25" customHeight="1" x14ac:dyDescent="0.2">
      <c r="A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</row>
    <row r="551" spans="1:30" ht="14.25" customHeight="1" x14ac:dyDescent="0.2">
      <c r="A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</row>
    <row r="552" spans="1:30" ht="14.25" customHeight="1" x14ac:dyDescent="0.2">
      <c r="A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</row>
    <row r="553" spans="1:30" ht="14.25" customHeight="1" x14ac:dyDescent="0.2">
      <c r="A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</row>
    <row r="554" spans="1:30" ht="14.25" customHeight="1" x14ac:dyDescent="0.2">
      <c r="A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</row>
    <row r="555" spans="1:30" ht="14.25" customHeight="1" x14ac:dyDescent="0.2">
      <c r="A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</row>
    <row r="556" spans="1:30" ht="14.25" customHeight="1" x14ac:dyDescent="0.2">
      <c r="A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</row>
    <row r="557" spans="1:30" ht="14.25" customHeight="1" x14ac:dyDescent="0.2">
      <c r="A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</row>
    <row r="558" spans="1:30" ht="14.25" customHeight="1" x14ac:dyDescent="0.2">
      <c r="A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</row>
    <row r="559" spans="1:30" ht="14.25" customHeight="1" x14ac:dyDescent="0.2">
      <c r="A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</row>
    <row r="560" spans="1:30" ht="14.25" customHeight="1" x14ac:dyDescent="0.2">
      <c r="A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</row>
    <row r="561" spans="1:30" ht="14.25" customHeight="1" x14ac:dyDescent="0.2">
      <c r="A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</row>
    <row r="562" spans="1:30" ht="14.25" customHeight="1" x14ac:dyDescent="0.2">
      <c r="A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</row>
    <row r="563" spans="1:30" ht="14.25" customHeight="1" x14ac:dyDescent="0.2">
      <c r="A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</row>
    <row r="564" spans="1:30" ht="14.25" customHeight="1" x14ac:dyDescent="0.2">
      <c r="A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</row>
    <row r="565" spans="1:30" ht="14.25" customHeight="1" x14ac:dyDescent="0.2">
      <c r="A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</row>
    <row r="566" spans="1:30" ht="14.25" customHeight="1" x14ac:dyDescent="0.2">
      <c r="A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</row>
    <row r="567" spans="1:30" ht="14.25" customHeight="1" x14ac:dyDescent="0.2">
      <c r="A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</row>
    <row r="568" spans="1:30" ht="14.25" customHeight="1" x14ac:dyDescent="0.2">
      <c r="A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</row>
    <row r="569" spans="1:30" ht="14.25" customHeight="1" x14ac:dyDescent="0.2">
      <c r="A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</row>
    <row r="570" spans="1:30" ht="14.25" customHeight="1" x14ac:dyDescent="0.2">
      <c r="A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</row>
    <row r="571" spans="1:30" ht="14.25" customHeight="1" x14ac:dyDescent="0.2">
      <c r="A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</row>
    <row r="572" spans="1:30" ht="14.25" customHeight="1" x14ac:dyDescent="0.2">
      <c r="A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</row>
    <row r="573" spans="1:30" ht="14.25" customHeight="1" x14ac:dyDescent="0.2">
      <c r="A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</row>
    <row r="574" spans="1:30" ht="14.25" customHeight="1" x14ac:dyDescent="0.2">
      <c r="A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</row>
    <row r="575" spans="1:30" ht="14.25" customHeight="1" x14ac:dyDescent="0.2">
      <c r="A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</row>
    <row r="576" spans="1:30" ht="14.25" customHeight="1" x14ac:dyDescent="0.2">
      <c r="A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</row>
    <row r="577" spans="1:30" ht="14.25" customHeight="1" x14ac:dyDescent="0.2">
      <c r="A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</row>
    <row r="578" spans="1:30" ht="14.25" customHeight="1" x14ac:dyDescent="0.2">
      <c r="A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</row>
    <row r="579" spans="1:30" ht="14.25" customHeight="1" x14ac:dyDescent="0.2">
      <c r="A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</row>
    <row r="580" spans="1:30" ht="14.25" customHeight="1" x14ac:dyDescent="0.2">
      <c r="A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</row>
    <row r="581" spans="1:30" ht="14.25" customHeight="1" x14ac:dyDescent="0.2">
      <c r="A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</row>
    <row r="582" spans="1:30" ht="14.25" customHeight="1" x14ac:dyDescent="0.2">
      <c r="A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</row>
    <row r="583" spans="1:30" ht="14.25" customHeight="1" x14ac:dyDescent="0.2">
      <c r="A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</row>
    <row r="584" spans="1:30" ht="14.25" customHeight="1" x14ac:dyDescent="0.2">
      <c r="A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</row>
    <row r="585" spans="1:30" ht="14.25" customHeight="1" x14ac:dyDescent="0.2">
      <c r="A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</row>
    <row r="586" spans="1:30" ht="14.25" customHeight="1" x14ac:dyDescent="0.2">
      <c r="A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</row>
    <row r="587" spans="1:30" ht="14.25" customHeight="1" x14ac:dyDescent="0.2">
      <c r="A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</row>
    <row r="588" spans="1:30" ht="14.25" customHeight="1" x14ac:dyDescent="0.2">
      <c r="A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</row>
    <row r="589" spans="1:30" ht="14.25" customHeight="1" x14ac:dyDescent="0.2">
      <c r="A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</row>
    <row r="590" spans="1:30" ht="14.25" customHeight="1" x14ac:dyDescent="0.2">
      <c r="A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</row>
    <row r="591" spans="1:30" ht="14.25" customHeight="1" x14ac:dyDescent="0.2">
      <c r="A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</row>
    <row r="592" spans="1:30" ht="14.25" customHeight="1" x14ac:dyDescent="0.2">
      <c r="A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</row>
    <row r="593" spans="1:30" ht="14.25" customHeight="1" x14ac:dyDescent="0.2">
      <c r="A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</row>
    <row r="594" spans="1:30" ht="14.25" customHeight="1" x14ac:dyDescent="0.2">
      <c r="A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</row>
    <row r="595" spans="1:30" ht="14.25" customHeight="1" x14ac:dyDescent="0.2">
      <c r="A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</row>
    <row r="596" spans="1:30" ht="14.25" customHeight="1" x14ac:dyDescent="0.2">
      <c r="A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</row>
    <row r="597" spans="1:30" ht="14.25" customHeight="1" x14ac:dyDescent="0.2">
      <c r="A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</row>
    <row r="598" spans="1:30" ht="14.25" customHeight="1" x14ac:dyDescent="0.2">
      <c r="A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</row>
    <row r="599" spans="1:30" ht="14.25" customHeight="1" x14ac:dyDescent="0.2">
      <c r="A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</row>
    <row r="600" spans="1:30" ht="14.25" customHeight="1" x14ac:dyDescent="0.2">
      <c r="A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</row>
    <row r="601" spans="1:30" ht="14.25" customHeight="1" x14ac:dyDescent="0.2">
      <c r="A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</row>
    <row r="602" spans="1:30" ht="14.25" customHeight="1" x14ac:dyDescent="0.2">
      <c r="A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</row>
    <row r="603" spans="1:30" ht="14.25" customHeight="1" x14ac:dyDescent="0.2">
      <c r="A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</row>
    <row r="604" spans="1:30" ht="14.25" customHeight="1" x14ac:dyDescent="0.2">
      <c r="A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</row>
    <row r="605" spans="1:30" ht="14.25" customHeight="1" x14ac:dyDescent="0.2">
      <c r="A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</row>
    <row r="606" spans="1:30" ht="14.25" customHeight="1" x14ac:dyDescent="0.2">
      <c r="A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</row>
    <row r="607" spans="1:30" ht="14.25" customHeight="1" x14ac:dyDescent="0.2">
      <c r="A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</row>
    <row r="608" spans="1:30" ht="14.25" customHeight="1" x14ac:dyDescent="0.2">
      <c r="A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</row>
    <row r="609" spans="1:30" ht="14.25" customHeight="1" x14ac:dyDescent="0.2">
      <c r="A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</row>
    <row r="610" spans="1:30" ht="14.25" customHeight="1" x14ac:dyDescent="0.2">
      <c r="A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</row>
    <row r="611" spans="1:30" ht="14.25" customHeight="1" x14ac:dyDescent="0.2">
      <c r="A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</row>
    <row r="612" spans="1:30" ht="14.25" customHeight="1" x14ac:dyDescent="0.2">
      <c r="A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</row>
    <row r="613" spans="1:30" ht="14.25" customHeight="1" x14ac:dyDescent="0.2">
      <c r="A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</row>
    <row r="614" spans="1:30" ht="14.25" customHeight="1" x14ac:dyDescent="0.2">
      <c r="A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</row>
    <row r="615" spans="1:30" ht="14.25" customHeight="1" x14ac:dyDescent="0.2">
      <c r="A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</row>
    <row r="616" spans="1:30" ht="14.25" customHeight="1" x14ac:dyDescent="0.2">
      <c r="A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</row>
    <row r="617" spans="1:30" ht="14.25" customHeight="1" x14ac:dyDescent="0.2">
      <c r="A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</row>
    <row r="618" spans="1:30" ht="14.25" customHeight="1" x14ac:dyDescent="0.2">
      <c r="A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</row>
    <row r="619" spans="1:30" ht="14.25" customHeight="1" x14ac:dyDescent="0.2">
      <c r="A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</row>
    <row r="620" spans="1:30" ht="14.25" customHeight="1" x14ac:dyDescent="0.2">
      <c r="A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</row>
    <row r="621" spans="1:30" ht="14.25" customHeight="1" x14ac:dyDescent="0.2">
      <c r="A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</row>
    <row r="622" spans="1:30" ht="14.25" customHeight="1" x14ac:dyDescent="0.2">
      <c r="A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</row>
    <row r="623" spans="1:30" ht="14.25" customHeight="1" x14ac:dyDescent="0.2">
      <c r="A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</row>
    <row r="624" spans="1:30" ht="14.25" customHeight="1" x14ac:dyDescent="0.2">
      <c r="A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</row>
    <row r="625" spans="1:30" ht="14.25" customHeight="1" x14ac:dyDescent="0.2">
      <c r="A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</row>
    <row r="626" spans="1:30" ht="14.25" customHeight="1" x14ac:dyDescent="0.2">
      <c r="A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</row>
    <row r="627" spans="1:30" ht="14.25" customHeight="1" x14ac:dyDescent="0.2">
      <c r="A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</row>
    <row r="628" spans="1:30" ht="14.25" customHeight="1" x14ac:dyDescent="0.2">
      <c r="A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</row>
    <row r="629" spans="1:30" ht="14.25" customHeight="1" x14ac:dyDescent="0.2">
      <c r="A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</row>
    <row r="630" spans="1:30" ht="14.25" customHeight="1" x14ac:dyDescent="0.2">
      <c r="A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</row>
    <row r="631" spans="1:30" ht="14.25" customHeight="1" x14ac:dyDescent="0.2">
      <c r="A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</row>
    <row r="632" spans="1:30" ht="14.25" customHeight="1" x14ac:dyDescent="0.2">
      <c r="A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</row>
    <row r="633" spans="1:30" ht="14.25" customHeight="1" x14ac:dyDescent="0.2">
      <c r="A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</row>
    <row r="634" spans="1:30" ht="14.25" customHeight="1" x14ac:dyDescent="0.2">
      <c r="A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</row>
    <row r="635" spans="1:30" ht="14.25" customHeight="1" x14ac:dyDescent="0.2">
      <c r="A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</row>
    <row r="636" spans="1:30" ht="14.25" customHeight="1" x14ac:dyDescent="0.2">
      <c r="A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</row>
    <row r="637" spans="1:30" ht="14.25" customHeight="1" x14ac:dyDescent="0.2">
      <c r="A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</row>
    <row r="638" spans="1:30" ht="14.25" customHeight="1" x14ac:dyDescent="0.2">
      <c r="A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</row>
    <row r="639" spans="1:30" ht="14.25" customHeight="1" x14ac:dyDescent="0.2">
      <c r="A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</row>
    <row r="640" spans="1:30" ht="14.25" customHeight="1" x14ac:dyDescent="0.2">
      <c r="A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</row>
    <row r="641" spans="1:30" ht="14.25" customHeight="1" x14ac:dyDescent="0.2">
      <c r="A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</row>
    <row r="642" spans="1:30" ht="14.25" customHeight="1" x14ac:dyDescent="0.2">
      <c r="A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</row>
    <row r="643" spans="1:30" ht="14.25" customHeight="1" x14ac:dyDescent="0.2">
      <c r="A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</row>
    <row r="644" spans="1:30" ht="14.25" customHeight="1" x14ac:dyDescent="0.2">
      <c r="A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</row>
    <row r="645" spans="1:30" ht="14.25" customHeight="1" x14ac:dyDescent="0.2">
      <c r="A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</row>
    <row r="646" spans="1:30" ht="14.25" customHeight="1" x14ac:dyDescent="0.2">
      <c r="A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</row>
    <row r="647" spans="1:30" ht="14.25" customHeight="1" x14ac:dyDescent="0.2">
      <c r="A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</row>
    <row r="648" spans="1:30" ht="14.25" customHeight="1" x14ac:dyDescent="0.2">
      <c r="A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</row>
    <row r="649" spans="1:30" ht="14.25" customHeight="1" x14ac:dyDescent="0.2">
      <c r="A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</row>
    <row r="650" spans="1:30" ht="14.25" customHeight="1" x14ac:dyDescent="0.2">
      <c r="A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</row>
    <row r="651" spans="1:30" ht="14.25" customHeight="1" x14ac:dyDescent="0.2">
      <c r="A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</row>
    <row r="652" spans="1:30" ht="14.25" customHeight="1" x14ac:dyDescent="0.2">
      <c r="A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</row>
    <row r="653" spans="1:30" ht="14.25" customHeight="1" x14ac:dyDescent="0.2">
      <c r="A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</row>
    <row r="654" spans="1:30" ht="14.25" customHeight="1" x14ac:dyDescent="0.2">
      <c r="A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</row>
    <row r="655" spans="1:30" ht="14.25" customHeight="1" x14ac:dyDescent="0.2">
      <c r="A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</row>
    <row r="656" spans="1:30" ht="14.25" customHeight="1" x14ac:dyDescent="0.2">
      <c r="A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</row>
    <row r="657" spans="1:30" ht="14.25" customHeight="1" x14ac:dyDescent="0.2">
      <c r="A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</row>
    <row r="658" spans="1:30" ht="14.25" customHeight="1" x14ac:dyDescent="0.2">
      <c r="A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</row>
    <row r="659" spans="1:30" ht="14.25" customHeight="1" x14ac:dyDescent="0.2">
      <c r="A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</row>
    <row r="660" spans="1:30" ht="14.25" customHeight="1" x14ac:dyDescent="0.2">
      <c r="A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</row>
    <row r="661" spans="1:30" ht="14.25" customHeight="1" x14ac:dyDescent="0.2">
      <c r="A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</row>
    <row r="662" spans="1:30" ht="14.25" customHeight="1" x14ac:dyDescent="0.2">
      <c r="A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</row>
    <row r="663" spans="1:30" ht="14.25" customHeight="1" x14ac:dyDescent="0.2">
      <c r="A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</row>
    <row r="664" spans="1:30" ht="14.25" customHeight="1" x14ac:dyDescent="0.2">
      <c r="A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</row>
    <row r="665" spans="1:30" ht="14.25" customHeight="1" x14ac:dyDescent="0.2">
      <c r="A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</row>
    <row r="666" spans="1:30" ht="14.25" customHeight="1" x14ac:dyDescent="0.2">
      <c r="A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</row>
    <row r="667" spans="1:30" ht="14.25" customHeight="1" x14ac:dyDescent="0.2">
      <c r="A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</row>
    <row r="668" spans="1:30" ht="14.25" customHeight="1" x14ac:dyDescent="0.2">
      <c r="A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</row>
    <row r="669" spans="1:30" ht="14.25" customHeight="1" x14ac:dyDescent="0.2">
      <c r="A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</row>
    <row r="670" spans="1:30" ht="14.25" customHeight="1" x14ac:dyDescent="0.2">
      <c r="A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</row>
    <row r="671" spans="1:30" ht="14.25" customHeight="1" x14ac:dyDescent="0.2">
      <c r="A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</row>
    <row r="672" spans="1:30" ht="14.25" customHeight="1" x14ac:dyDescent="0.2">
      <c r="A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</row>
    <row r="673" spans="1:30" ht="14.25" customHeight="1" x14ac:dyDescent="0.2">
      <c r="A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</row>
    <row r="674" spans="1:30" ht="14.25" customHeight="1" x14ac:dyDescent="0.2">
      <c r="A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</row>
    <row r="675" spans="1:30" ht="14.25" customHeight="1" x14ac:dyDescent="0.2">
      <c r="A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</row>
    <row r="676" spans="1:30" ht="14.25" customHeight="1" x14ac:dyDescent="0.2">
      <c r="A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</row>
    <row r="677" spans="1:30" ht="14.25" customHeight="1" x14ac:dyDescent="0.2">
      <c r="A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</row>
    <row r="678" spans="1:30" ht="14.25" customHeight="1" x14ac:dyDescent="0.2">
      <c r="A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</row>
    <row r="679" spans="1:30" ht="14.25" customHeight="1" x14ac:dyDescent="0.2">
      <c r="A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</row>
    <row r="680" spans="1:30" ht="14.25" customHeight="1" x14ac:dyDescent="0.2">
      <c r="A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</row>
    <row r="681" spans="1:30" ht="14.25" customHeight="1" x14ac:dyDescent="0.2">
      <c r="A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</row>
    <row r="682" spans="1:30" ht="14.25" customHeight="1" x14ac:dyDescent="0.2">
      <c r="A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</row>
    <row r="683" spans="1:30" ht="14.25" customHeight="1" x14ac:dyDescent="0.2">
      <c r="A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</row>
    <row r="684" spans="1:30" ht="14.25" customHeight="1" x14ac:dyDescent="0.2">
      <c r="A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</row>
    <row r="685" spans="1:30" ht="14.25" customHeight="1" x14ac:dyDescent="0.2">
      <c r="A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</row>
    <row r="686" spans="1:30" ht="14.25" customHeight="1" x14ac:dyDescent="0.2">
      <c r="A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</row>
    <row r="687" spans="1:30" ht="14.25" customHeight="1" x14ac:dyDescent="0.2">
      <c r="A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</row>
    <row r="688" spans="1:30" ht="14.25" customHeight="1" x14ac:dyDescent="0.2">
      <c r="A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</row>
    <row r="689" spans="1:30" ht="14.25" customHeight="1" x14ac:dyDescent="0.2">
      <c r="A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</row>
    <row r="690" spans="1:30" ht="14.25" customHeight="1" x14ac:dyDescent="0.2">
      <c r="A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</row>
    <row r="691" spans="1:30" ht="14.25" customHeight="1" x14ac:dyDescent="0.2">
      <c r="A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</row>
    <row r="692" spans="1:30" ht="14.25" customHeight="1" x14ac:dyDescent="0.2">
      <c r="A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</row>
    <row r="693" spans="1:30" ht="14.25" customHeight="1" x14ac:dyDescent="0.2">
      <c r="A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</row>
    <row r="694" spans="1:30" ht="14.25" customHeight="1" x14ac:dyDescent="0.2">
      <c r="A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</row>
    <row r="695" spans="1:30" ht="14.25" customHeight="1" x14ac:dyDescent="0.2">
      <c r="A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</row>
    <row r="696" spans="1:30" ht="14.25" customHeight="1" x14ac:dyDescent="0.2">
      <c r="A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</row>
    <row r="697" spans="1:30" ht="14.25" customHeight="1" x14ac:dyDescent="0.2">
      <c r="A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</row>
    <row r="698" spans="1:30" ht="14.25" customHeight="1" x14ac:dyDescent="0.2">
      <c r="A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</row>
    <row r="699" spans="1:30" ht="14.25" customHeight="1" x14ac:dyDescent="0.2">
      <c r="A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</row>
    <row r="700" spans="1:30" ht="14.25" customHeight="1" x14ac:dyDescent="0.2">
      <c r="A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</row>
    <row r="701" spans="1:30" ht="14.25" customHeight="1" x14ac:dyDescent="0.2">
      <c r="A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</row>
    <row r="702" spans="1:30" ht="14.25" customHeight="1" x14ac:dyDescent="0.2">
      <c r="A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</row>
    <row r="703" spans="1:30" ht="14.25" customHeight="1" x14ac:dyDescent="0.2">
      <c r="A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</row>
    <row r="704" spans="1:30" ht="14.25" customHeight="1" x14ac:dyDescent="0.2">
      <c r="A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</row>
    <row r="705" spans="1:30" ht="14.25" customHeight="1" x14ac:dyDescent="0.2">
      <c r="A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</row>
    <row r="706" spans="1:30" ht="14.25" customHeight="1" x14ac:dyDescent="0.2">
      <c r="A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</row>
    <row r="707" spans="1:30" ht="14.25" customHeight="1" x14ac:dyDescent="0.2">
      <c r="A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</row>
    <row r="708" spans="1:30" ht="14.25" customHeight="1" x14ac:dyDescent="0.2">
      <c r="A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</row>
    <row r="709" spans="1:30" ht="14.25" customHeight="1" x14ac:dyDescent="0.2">
      <c r="A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</row>
    <row r="710" spans="1:30" ht="14.25" customHeight="1" x14ac:dyDescent="0.2">
      <c r="A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</row>
    <row r="711" spans="1:30" ht="14.25" customHeight="1" x14ac:dyDescent="0.2">
      <c r="A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</row>
    <row r="712" spans="1:30" ht="14.25" customHeight="1" x14ac:dyDescent="0.2">
      <c r="A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</row>
    <row r="713" spans="1:30" ht="14.25" customHeight="1" x14ac:dyDescent="0.2">
      <c r="A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</row>
    <row r="714" spans="1:30" ht="14.25" customHeight="1" x14ac:dyDescent="0.2">
      <c r="A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</row>
    <row r="715" spans="1:30" ht="14.25" customHeight="1" x14ac:dyDescent="0.2">
      <c r="A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</row>
    <row r="716" spans="1:30" ht="14.25" customHeight="1" x14ac:dyDescent="0.2">
      <c r="A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</row>
    <row r="717" spans="1:30" ht="14.25" customHeight="1" x14ac:dyDescent="0.2">
      <c r="A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</row>
    <row r="718" spans="1:30" ht="14.25" customHeight="1" x14ac:dyDescent="0.2">
      <c r="A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</row>
    <row r="719" spans="1:30" ht="14.25" customHeight="1" x14ac:dyDescent="0.2">
      <c r="A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</row>
    <row r="720" spans="1:30" ht="14.25" customHeight="1" x14ac:dyDescent="0.2">
      <c r="A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</row>
    <row r="721" spans="1:30" ht="14.25" customHeight="1" x14ac:dyDescent="0.2">
      <c r="A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</row>
    <row r="722" spans="1:30" ht="14.25" customHeight="1" x14ac:dyDescent="0.2">
      <c r="A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</row>
    <row r="723" spans="1:30" ht="14.25" customHeight="1" x14ac:dyDescent="0.2">
      <c r="A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</row>
    <row r="724" spans="1:30" ht="14.25" customHeight="1" x14ac:dyDescent="0.2">
      <c r="A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</row>
    <row r="725" spans="1:30" ht="14.25" customHeight="1" x14ac:dyDescent="0.2">
      <c r="A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</row>
    <row r="726" spans="1:30" ht="14.25" customHeight="1" x14ac:dyDescent="0.2">
      <c r="A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</row>
    <row r="727" spans="1:30" ht="14.25" customHeight="1" x14ac:dyDescent="0.2">
      <c r="A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</row>
    <row r="728" spans="1:30" ht="14.25" customHeight="1" x14ac:dyDescent="0.2">
      <c r="A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</row>
    <row r="729" spans="1:30" ht="14.25" customHeight="1" x14ac:dyDescent="0.2">
      <c r="A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</row>
    <row r="730" spans="1:30" ht="14.25" customHeight="1" x14ac:dyDescent="0.2">
      <c r="A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</row>
    <row r="731" spans="1:30" ht="14.25" customHeight="1" x14ac:dyDescent="0.2">
      <c r="A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</row>
    <row r="732" spans="1:30" ht="14.25" customHeight="1" x14ac:dyDescent="0.2">
      <c r="A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</row>
    <row r="733" spans="1:30" ht="14.25" customHeight="1" x14ac:dyDescent="0.2">
      <c r="A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</row>
    <row r="734" spans="1:30" ht="14.25" customHeight="1" x14ac:dyDescent="0.2">
      <c r="A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</row>
    <row r="735" spans="1:30" ht="14.25" customHeight="1" x14ac:dyDescent="0.2">
      <c r="A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</row>
    <row r="736" spans="1:30" ht="14.25" customHeight="1" x14ac:dyDescent="0.2">
      <c r="A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</row>
    <row r="737" spans="1:30" ht="14.25" customHeight="1" x14ac:dyDescent="0.2">
      <c r="A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</row>
    <row r="738" spans="1:30" ht="14.25" customHeight="1" x14ac:dyDescent="0.2">
      <c r="A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</row>
    <row r="739" spans="1:30" ht="14.25" customHeight="1" x14ac:dyDescent="0.2">
      <c r="A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</row>
    <row r="740" spans="1:30" ht="14.25" customHeight="1" x14ac:dyDescent="0.2">
      <c r="A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</row>
    <row r="741" spans="1:30" ht="14.25" customHeight="1" x14ac:dyDescent="0.2">
      <c r="A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</row>
    <row r="742" spans="1:30" ht="14.25" customHeight="1" x14ac:dyDescent="0.2">
      <c r="A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</row>
    <row r="743" spans="1:30" ht="14.25" customHeight="1" x14ac:dyDescent="0.2">
      <c r="A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</row>
    <row r="744" spans="1:30" ht="14.25" customHeight="1" x14ac:dyDescent="0.2">
      <c r="A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</row>
    <row r="745" spans="1:30" ht="14.25" customHeight="1" x14ac:dyDescent="0.2">
      <c r="A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</row>
    <row r="746" spans="1:30" ht="14.25" customHeight="1" x14ac:dyDescent="0.2">
      <c r="A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</row>
    <row r="747" spans="1:30" ht="14.25" customHeight="1" x14ac:dyDescent="0.2">
      <c r="A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</row>
    <row r="748" spans="1:30" ht="14.25" customHeight="1" x14ac:dyDescent="0.2">
      <c r="A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</row>
    <row r="749" spans="1:30" ht="14.25" customHeight="1" x14ac:dyDescent="0.2">
      <c r="A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</row>
    <row r="750" spans="1:30" ht="14.25" customHeight="1" x14ac:dyDescent="0.2">
      <c r="A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</row>
    <row r="751" spans="1:30" ht="14.25" customHeight="1" x14ac:dyDescent="0.2">
      <c r="A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</row>
    <row r="752" spans="1:30" ht="14.25" customHeight="1" x14ac:dyDescent="0.2">
      <c r="A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</row>
    <row r="753" spans="1:30" ht="14.25" customHeight="1" x14ac:dyDescent="0.2">
      <c r="A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</row>
    <row r="754" spans="1:30" ht="14.25" customHeight="1" x14ac:dyDescent="0.2">
      <c r="A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</row>
    <row r="755" spans="1:30" ht="14.25" customHeight="1" x14ac:dyDescent="0.2">
      <c r="A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</row>
    <row r="756" spans="1:30" ht="14.25" customHeight="1" x14ac:dyDescent="0.2">
      <c r="A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</row>
    <row r="757" spans="1:30" ht="14.25" customHeight="1" x14ac:dyDescent="0.2">
      <c r="A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</row>
    <row r="758" spans="1:30" ht="14.25" customHeight="1" x14ac:dyDescent="0.2">
      <c r="A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</row>
    <row r="759" spans="1:30" ht="14.25" customHeight="1" x14ac:dyDescent="0.2">
      <c r="A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</row>
    <row r="760" spans="1:30" ht="14.25" customHeight="1" x14ac:dyDescent="0.2">
      <c r="A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</row>
    <row r="761" spans="1:30" ht="14.25" customHeight="1" x14ac:dyDescent="0.2">
      <c r="A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</row>
    <row r="762" spans="1:30" ht="14.25" customHeight="1" x14ac:dyDescent="0.2">
      <c r="A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</row>
    <row r="763" spans="1:30" ht="14.25" customHeight="1" x14ac:dyDescent="0.2">
      <c r="A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</row>
    <row r="764" spans="1:30" ht="14.25" customHeight="1" x14ac:dyDescent="0.2">
      <c r="A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</row>
    <row r="765" spans="1:30" ht="14.25" customHeight="1" x14ac:dyDescent="0.2">
      <c r="A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</row>
    <row r="766" spans="1:30" ht="14.25" customHeight="1" x14ac:dyDescent="0.2">
      <c r="A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</row>
    <row r="767" spans="1:30" ht="14.25" customHeight="1" x14ac:dyDescent="0.2">
      <c r="A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</row>
    <row r="768" spans="1:30" ht="14.25" customHeight="1" x14ac:dyDescent="0.2">
      <c r="A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</row>
    <row r="769" spans="1:30" ht="14.25" customHeight="1" x14ac:dyDescent="0.2">
      <c r="A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</row>
    <row r="770" spans="1:30" ht="14.25" customHeight="1" x14ac:dyDescent="0.2">
      <c r="A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</row>
    <row r="771" spans="1:30" ht="14.25" customHeight="1" x14ac:dyDescent="0.2">
      <c r="A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</row>
    <row r="772" spans="1:30" ht="14.25" customHeight="1" x14ac:dyDescent="0.2">
      <c r="A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</row>
    <row r="773" spans="1:30" ht="14.25" customHeight="1" x14ac:dyDescent="0.2">
      <c r="A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</row>
    <row r="774" spans="1:30" ht="14.25" customHeight="1" x14ac:dyDescent="0.2">
      <c r="A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</row>
    <row r="775" spans="1:30" ht="14.25" customHeight="1" x14ac:dyDescent="0.2">
      <c r="A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</row>
    <row r="776" spans="1:30" ht="14.25" customHeight="1" x14ac:dyDescent="0.2">
      <c r="A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</row>
    <row r="777" spans="1:30" ht="14.25" customHeight="1" x14ac:dyDescent="0.2">
      <c r="A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</row>
    <row r="778" spans="1:30" ht="14.25" customHeight="1" x14ac:dyDescent="0.2">
      <c r="A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</row>
    <row r="779" spans="1:30" ht="14.25" customHeight="1" x14ac:dyDescent="0.2">
      <c r="A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</row>
    <row r="780" spans="1:30" ht="14.25" customHeight="1" x14ac:dyDescent="0.2">
      <c r="A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</row>
    <row r="781" spans="1:30" ht="14.25" customHeight="1" x14ac:dyDescent="0.2">
      <c r="A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</row>
    <row r="782" spans="1:30" ht="14.25" customHeight="1" x14ac:dyDescent="0.2">
      <c r="A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</row>
    <row r="783" spans="1:30" ht="14.25" customHeight="1" x14ac:dyDescent="0.2">
      <c r="A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</row>
    <row r="784" spans="1:30" ht="14.25" customHeight="1" x14ac:dyDescent="0.2">
      <c r="A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</row>
    <row r="785" spans="1:30" ht="14.25" customHeight="1" x14ac:dyDescent="0.2">
      <c r="A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</row>
    <row r="786" spans="1:30" ht="14.25" customHeight="1" x14ac:dyDescent="0.2">
      <c r="A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</row>
    <row r="787" spans="1:30" ht="14.25" customHeight="1" x14ac:dyDescent="0.2">
      <c r="A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</row>
    <row r="788" spans="1:30" ht="14.25" customHeight="1" x14ac:dyDescent="0.2">
      <c r="A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</row>
    <row r="789" spans="1:30" ht="14.25" customHeight="1" x14ac:dyDescent="0.2">
      <c r="A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</row>
    <row r="790" spans="1:30" ht="14.25" customHeight="1" x14ac:dyDescent="0.2">
      <c r="A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</row>
    <row r="791" spans="1:30" ht="14.25" customHeight="1" x14ac:dyDescent="0.2">
      <c r="A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</row>
    <row r="792" spans="1:30" ht="14.25" customHeight="1" x14ac:dyDescent="0.2">
      <c r="A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</row>
    <row r="793" spans="1:30" ht="14.25" customHeight="1" x14ac:dyDescent="0.2">
      <c r="A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</row>
    <row r="794" spans="1:30" ht="14.25" customHeight="1" x14ac:dyDescent="0.2">
      <c r="A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</row>
    <row r="795" spans="1:30" ht="14.25" customHeight="1" x14ac:dyDescent="0.2">
      <c r="A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</row>
    <row r="796" spans="1:30" ht="14.25" customHeight="1" x14ac:dyDescent="0.2">
      <c r="A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</row>
    <row r="797" spans="1:30" ht="14.25" customHeight="1" x14ac:dyDescent="0.2">
      <c r="A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</row>
    <row r="798" spans="1:30" ht="14.25" customHeight="1" x14ac:dyDescent="0.2">
      <c r="A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</row>
    <row r="799" spans="1:30" ht="14.25" customHeight="1" x14ac:dyDescent="0.2">
      <c r="A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</row>
    <row r="800" spans="1:30" ht="14.25" customHeight="1" x14ac:dyDescent="0.2">
      <c r="A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</row>
    <row r="801" spans="1:30" ht="14.25" customHeight="1" x14ac:dyDescent="0.2">
      <c r="A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</row>
    <row r="802" spans="1:30" ht="14.25" customHeight="1" x14ac:dyDescent="0.2">
      <c r="A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</row>
    <row r="803" spans="1:30" ht="14.25" customHeight="1" x14ac:dyDescent="0.2">
      <c r="A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</row>
    <row r="804" spans="1:30" ht="14.25" customHeight="1" x14ac:dyDescent="0.2">
      <c r="A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</row>
    <row r="805" spans="1:30" ht="14.25" customHeight="1" x14ac:dyDescent="0.2">
      <c r="A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</row>
    <row r="806" spans="1:30" ht="14.25" customHeight="1" x14ac:dyDescent="0.2">
      <c r="A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</row>
    <row r="807" spans="1:30" ht="14.25" customHeight="1" x14ac:dyDescent="0.2">
      <c r="A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</row>
    <row r="808" spans="1:30" ht="14.25" customHeight="1" x14ac:dyDescent="0.2">
      <c r="A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</row>
    <row r="809" spans="1:30" ht="14.25" customHeight="1" x14ac:dyDescent="0.2">
      <c r="A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</row>
    <row r="810" spans="1:30" ht="14.25" customHeight="1" x14ac:dyDescent="0.2">
      <c r="A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</row>
    <row r="811" spans="1:30" ht="14.25" customHeight="1" x14ac:dyDescent="0.2">
      <c r="A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</row>
    <row r="812" spans="1:30" ht="14.25" customHeight="1" x14ac:dyDescent="0.2">
      <c r="A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</row>
    <row r="813" spans="1:30" ht="14.25" customHeight="1" x14ac:dyDescent="0.2">
      <c r="A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</row>
    <row r="814" spans="1:30" ht="14.25" customHeight="1" x14ac:dyDescent="0.2">
      <c r="A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</row>
    <row r="815" spans="1:30" ht="14.25" customHeight="1" x14ac:dyDescent="0.2">
      <c r="A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</row>
    <row r="816" spans="1:30" ht="14.25" customHeight="1" x14ac:dyDescent="0.2">
      <c r="A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</row>
    <row r="817" spans="1:30" ht="14.25" customHeight="1" x14ac:dyDescent="0.2">
      <c r="A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</row>
    <row r="818" spans="1:30" ht="14.25" customHeight="1" x14ac:dyDescent="0.2">
      <c r="A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</row>
    <row r="819" spans="1:30" ht="14.25" customHeight="1" x14ac:dyDescent="0.2">
      <c r="A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</row>
    <row r="820" spans="1:30" ht="14.25" customHeight="1" x14ac:dyDescent="0.2">
      <c r="A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</row>
    <row r="821" spans="1:30" ht="14.25" customHeight="1" x14ac:dyDescent="0.2">
      <c r="A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</row>
    <row r="822" spans="1:30" ht="14.25" customHeight="1" x14ac:dyDescent="0.2">
      <c r="A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</row>
    <row r="823" spans="1:30" ht="14.25" customHeight="1" x14ac:dyDescent="0.2">
      <c r="A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</row>
    <row r="824" spans="1:30" ht="14.25" customHeight="1" x14ac:dyDescent="0.2">
      <c r="A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</row>
    <row r="825" spans="1:30" ht="14.25" customHeight="1" x14ac:dyDescent="0.2">
      <c r="A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</row>
    <row r="826" spans="1:30" ht="14.25" customHeight="1" x14ac:dyDescent="0.2">
      <c r="A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</row>
    <row r="827" spans="1:30" ht="14.25" customHeight="1" x14ac:dyDescent="0.2">
      <c r="A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</row>
    <row r="828" spans="1:30" ht="14.25" customHeight="1" x14ac:dyDescent="0.2">
      <c r="A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</row>
    <row r="829" spans="1:30" ht="14.25" customHeight="1" x14ac:dyDescent="0.2">
      <c r="A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</row>
    <row r="830" spans="1:30" ht="14.25" customHeight="1" x14ac:dyDescent="0.2">
      <c r="A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</row>
    <row r="831" spans="1:30" ht="14.25" customHeight="1" x14ac:dyDescent="0.2">
      <c r="A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</row>
    <row r="832" spans="1:30" ht="14.25" customHeight="1" x14ac:dyDescent="0.2">
      <c r="A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</row>
    <row r="833" spans="1:30" ht="14.25" customHeight="1" x14ac:dyDescent="0.2">
      <c r="A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</row>
    <row r="834" spans="1:30" ht="14.25" customHeight="1" x14ac:dyDescent="0.2">
      <c r="A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</row>
    <row r="835" spans="1:30" ht="14.25" customHeight="1" x14ac:dyDescent="0.2">
      <c r="A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</row>
    <row r="836" spans="1:30" ht="14.25" customHeight="1" x14ac:dyDescent="0.2">
      <c r="A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</row>
    <row r="837" spans="1:30" ht="14.25" customHeight="1" x14ac:dyDescent="0.2">
      <c r="A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</row>
    <row r="838" spans="1:30" ht="14.25" customHeight="1" x14ac:dyDescent="0.2">
      <c r="A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</row>
    <row r="839" spans="1:30" ht="14.25" customHeight="1" x14ac:dyDescent="0.2">
      <c r="A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</row>
    <row r="840" spans="1:30" ht="14.25" customHeight="1" x14ac:dyDescent="0.2">
      <c r="A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</row>
    <row r="841" spans="1:30" ht="14.25" customHeight="1" x14ac:dyDescent="0.2">
      <c r="A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</row>
    <row r="842" spans="1:30" ht="14.25" customHeight="1" x14ac:dyDescent="0.2">
      <c r="A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</row>
    <row r="843" spans="1:30" ht="14.25" customHeight="1" x14ac:dyDescent="0.2">
      <c r="A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</row>
    <row r="844" spans="1:30" ht="14.25" customHeight="1" x14ac:dyDescent="0.2">
      <c r="A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</row>
    <row r="845" spans="1:30" ht="14.25" customHeight="1" x14ac:dyDescent="0.2">
      <c r="A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</row>
    <row r="846" spans="1:30" ht="14.25" customHeight="1" x14ac:dyDescent="0.2">
      <c r="A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</row>
    <row r="847" spans="1:30" ht="14.25" customHeight="1" x14ac:dyDescent="0.2">
      <c r="A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</row>
    <row r="848" spans="1:30" ht="14.25" customHeight="1" x14ac:dyDescent="0.2">
      <c r="A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</row>
    <row r="849" spans="1:30" ht="14.25" customHeight="1" x14ac:dyDescent="0.2">
      <c r="A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</row>
    <row r="850" spans="1:30" ht="14.25" customHeight="1" x14ac:dyDescent="0.2">
      <c r="A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</row>
    <row r="851" spans="1:30" ht="14.25" customHeight="1" x14ac:dyDescent="0.2">
      <c r="A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</row>
    <row r="852" spans="1:30" ht="14.25" customHeight="1" x14ac:dyDescent="0.2">
      <c r="A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</row>
    <row r="853" spans="1:30" ht="14.25" customHeight="1" x14ac:dyDescent="0.2">
      <c r="A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</row>
    <row r="854" spans="1:30" ht="14.25" customHeight="1" x14ac:dyDescent="0.2">
      <c r="A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</row>
    <row r="855" spans="1:30" ht="14.25" customHeight="1" x14ac:dyDescent="0.2">
      <c r="A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</row>
    <row r="856" spans="1:30" ht="14.25" customHeight="1" x14ac:dyDescent="0.2">
      <c r="A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</row>
    <row r="857" spans="1:30" ht="14.25" customHeight="1" x14ac:dyDescent="0.2">
      <c r="A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</row>
    <row r="858" spans="1:30" ht="14.25" customHeight="1" x14ac:dyDescent="0.2">
      <c r="A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</row>
    <row r="859" spans="1:30" ht="14.25" customHeight="1" x14ac:dyDescent="0.2">
      <c r="A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</row>
    <row r="860" spans="1:30" ht="14.25" customHeight="1" x14ac:dyDescent="0.2">
      <c r="A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</row>
    <row r="861" spans="1:30" ht="14.25" customHeight="1" x14ac:dyDescent="0.2">
      <c r="A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</row>
    <row r="862" spans="1:30" ht="14.25" customHeight="1" x14ac:dyDescent="0.2">
      <c r="A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</row>
    <row r="863" spans="1:30" ht="14.25" customHeight="1" x14ac:dyDescent="0.2">
      <c r="A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</row>
    <row r="864" spans="1:30" ht="14.25" customHeight="1" x14ac:dyDescent="0.2">
      <c r="A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</row>
    <row r="865" spans="1:30" ht="14.25" customHeight="1" x14ac:dyDescent="0.2">
      <c r="A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</row>
    <row r="866" spans="1:30" ht="14.25" customHeight="1" x14ac:dyDescent="0.2">
      <c r="A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</row>
    <row r="867" spans="1:30" ht="14.25" customHeight="1" x14ac:dyDescent="0.2">
      <c r="A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</row>
    <row r="868" spans="1:30" ht="14.25" customHeight="1" x14ac:dyDescent="0.2">
      <c r="A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</row>
    <row r="869" spans="1:30" ht="14.25" customHeight="1" x14ac:dyDescent="0.2">
      <c r="A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</row>
    <row r="870" spans="1:30" ht="14.25" customHeight="1" x14ac:dyDescent="0.2">
      <c r="A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</row>
    <row r="871" spans="1:30" ht="14.25" customHeight="1" x14ac:dyDescent="0.2">
      <c r="A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</row>
    <row r="872" spans="1:30" ht="14.25" customHeight="1" x14ac:dyDescent="0.2">
      <c r="A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</row>
    <row r="873" spans="1:30" ht="14.25" customHeight="1" x14ac:dyDescent="0.2">
      <c r="A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</row>
    <row r="874" spans="1:30" ht="14.25" customHeight="1" x14ac:dyDescent="0.2">
      <c r="A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</row>
    <row r="875" spans="1:30" ht="14.25" customHeight="1" x14ac:dyDescent="0.2">
      <c r="A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</row>
    <row r="876" spans="1:30" ht="14.25" customHeight="1" x14ac:dyDescent="0.2">
      <c r="A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</row>
    <row r="877" spans="1:30" ht="14.25" customHeight="1" x14ac:dyDescent="0.2">
      <c r="A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</row>
    <row r="878" spans="1:30" ht="14.25" customHeight="1" x14ac:dyDescent="0.2">
      <c r="A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</row>
    <row r="879" spans="1:30" ht="14.25" customHeight="1" x14ac:dyDescent="0.2">
      <c r="A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</row>
    <row r="880" spans="1:30" ht="14.25" customHeight="1" x14ac:dyDescent="0.2">
      <c r="A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</row>
    <row r="881" spans="1:30" ht="14.25" customHeight="1" x14ac:dyDescent="0.2">
      <c r="A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</row>
    <row r="882" spans="1:30" ht="14.25" customHeight="1" x14ac:dyDescent="0.2">
      <c r="A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</row>
    <row r="883" spans="1:30" ht="14.25" customHeight="1" x14ac:dyDescent="0.2">
      <c r="A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</row>
    <row r="884" spans="1:30" ht="14.25" customHeight="1" x14ac:dyDescent="0.2">
      <c r="A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</row>
    <row r="885" spans="1:30" ht="14.25" customHeight="1" x14ac:dyDescent="0.2">
      <c r="A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</row>
    <row r="886" spans="1:30" ht="14.25" customHeight="1" x14ac:dyDescent="0.2">
      <c r="A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</row>
    <row r="887" spans="1:30" ht="14.25" customHeight="1" x14ac:dyDescent="0.2">
      <c r="A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</row>
    <row r="888" spans="1:30" ht="14.25" customHeight="1" x14ac:dyDescent="0.2">
      <c r="A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</row>
    <row r="889" spans="1:30" ht="14.25" customHeight="1" x14ac:dyDescent="0.2">
      <c r="A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</row>
    <row r="890" spans="1:30" ht="14.25" customHeight="1" x14ac:dyDescent="0.2">
      <c r="A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</row>
    <row r="891" spans="1:30" ht="14.25" customHeight="1" x14ac:dyDescent="0.2">
      <c r="A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</row>
    <row r="892" spans="1:30" ht="14.25" customHeight="1" x14ac:dyDescent="0.2">
      <c r="A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</row>
    <row r="893" spans="1:30" ht="14.25" customHeight="1" x14ac:dyDescent="0.2">
      <c r="A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</row>
    <row r="894" spans="1:30" ht="14.25" customHeight="1" x14ac:dyDescent="0.2">
      <c r="A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</row>
    <row r="895" spans="1:30" ht="14.25" customHeight="1" x14ac:dyDescent="0.2">
      <c r="A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</row>
    <row r="896" spans="1:30" ht="14.25" customHeight="1" x14ac:dyDescent="0.2">
      <c r="A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</row>
    <row r="897" spans="1:30" ht="14.25" customHeight="1" x14ac:dyDescent="0.2">
      <c r="A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</row>
    <row r="898" spans="1:30" ht="14.25" customHeight="1" x14ac:dyDescent="0.2">
      <c r="A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</row>
    <row r="899" spans="1:30" ht="14.25" customHeight="1" x14ac:dyDescent="0.2">
      <c r="A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</row>
    <row r="900" spans="1:30" ht="14.25" customHeight="1" x14ac:dyDescent="0.2">
      <c r="A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</row>
    <row r="901" spans="1:30" ht="14.25" customHeight="1" x14ac:dyDescent="0.2">
      <c r="A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</row>
    <row r="902" spans="1:30" ht="14.25" customHeight="1" x14ac:dyDescent="0.2">
      <c r="A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</row>
    <row r="903" spans="1:30" ht="14.25" customHeight="1" x14ac:dyDescent="0.2">
      <c r="A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</row>
    <row r="904" spans="1:30" ht="14.25" customHeight="1" x14ac:dyDescent="0.2">
      <c r="A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</row>
    <row r="905" spans="1:30" ht="14.25" customHeight="1" x14ac:dyDescent="0.2">
      <c r="A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</row>
    <row r="906" spans="1:30" ht="14.25" customHeight="1" x14ac:dyDescent="0.2">
      <c r="A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</row>
    <row r="907" spans="1:30" ht="14.25" customHeight="1" x14ac:dyDescent="0.2">
      <c r="A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</row>
    <row r="908" spans="1:30" ht="14.25" customHeight="1" x14ac:dyDescent="0.2">
      <c r="A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</row>
    <row r="909" spans="1:30" ht="14.25" customHeight="1" x14ac:dyDescent="0.2">
      <c r="A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</row>
    <row r="910" spans="1:30" ht="14.25" customHeight="1" x14ac:dyDescent="0.2">
      <c r="A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</row>
    <row r="911" spans="1:30" ht="14.25" customHeight="1" x14ac:dyDescent="0.2">
      <c r="A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</row>
    <row r="912" spans="1:30" ht="14.25" customHeight="1" x14ac:dyDescent="0.2">
      <c r="A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</row>
    <row r="913" spans="1:30" ht="14.25" customHeight="1" x14ac:dyDescent="0.2">
      <c r="A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</row>
    <row r="914" spans="1:30" ht="14.25" customHeight="1" x14ac:dyDescent="0.2">
      <c r="A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</row>
    <row r="915" spans="1:30" ht="14.25" customHeight="1" x14ac:dyDescent="0.2">
      <c r="A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</row>
    <row r="916" spans="1:30" ht="14.25" customHeight="1" x14ac:dyDescent="0.2">
      <c r="A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</row>
    <row r="917" spans="1:30" ht="14.25" customHeight="1" x14ac:dyDescent="0.2">
      <c r="A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</row>
    <row r="918" spans="1:30" ht="14.25" customHeight="1" x14ac:dyDescent="0.2">
      <c r="A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</row>
    <row r="919" spans="1:30" ht="14.25" customHeight="1" x14ac:dyDescent="0.2">
      <c r="A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</row>
    <row r="920" spans="1:30" ht="14.25" customHeight="1" x14ac:dyDescent="0.2">
      <c r="A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</row>
    <row r="921" spans="1:30" ht="14.25" customHeight="1" x14ac:dyDescent="0.2">
      <c r="A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</row>
    <row r="922" spans="1:30" ht="14.25" customHeight="1" x14ac:dyDescent="0.2">
      <c r="A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</row>
    <row r="923" spans="1:30" ht="14.25" customHeight="1" x14ac:dyDescent="0.2">
      <c r="A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</row>
    <row r="924" spans="1:30" ht="14.25" customHeight="1" x14ac:dyDescent="0.2">
      <c r="A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</row>
    <row r="925" spans="1:30" ht="14.25" customHeight="1" x14ac:dyDescent="0.2">
      <c r="A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</row>
    <row r="926" spans="1:30" ht="14.25" customHeight="1" x14ac:dyDescent="0.2">
      <c r="A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</row>
    <row r="927" spans="1:30" ht="14.25" customHeight="1" x14ac:dyDescent="0.2">
      <c r="A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</row>
    <row r="928" spans="1:30" ht="14.25" customHeight="1" x14ac:dyDescent="0.2">
      <c r="A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</row>
    <row r="929" spans="1:30" ht="14.25" customHeight="1" x14ac:dyDescent="0.2">
      <c r="A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</row>
    <row r="930" spans="1:30" ht="14.25" customHeight="1" x14ac:dyDescent="0.2">
      <c r="A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</row>
    <row r="931" spans="1:30" ht="14.25" customHeight="1" x14ac:dyDescent="0.2">
      <c r="A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</row>
    <row r="932" spans="1:30" ht="14.25" customHeight="1" x14ac:dyDescent="0.2">
      <c r="A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</row>
    <row r="933" spans="1:30" ht="14.25" customHeight="1" x14ac:dyDescent="0.2">
      <c r="A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</row>
    <row r="934" spans="1:30" ht="14.25" customHeight="1" x14ac:dyDescent="0.2">
      <c r="A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</row>
    <row r="935" spans="1:30" ht="14.25" customHeight="1" x14ac:dyDescent="0.2">
      <c r="A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</row>
    <row r="936" spans="1:30" ht="14.25" customHeight="1" x14ac:dyDescent="0.2">
      <c r="A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</row>
    <row r="937" spans="1:30" ht="14.25" customHeight="1" x14ac:dyDescent="0.2">
      <c r="A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</row>
    <row r="938" spans="1:30" ht="14.25" customHeight="1" x14ac:dyDescent="0.2">
      <c r="A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</row>
    <row r="939" spans="1:30" ht="14.25" customHeight="1" x14ac:dyDescent="0.2">
      <c r="A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</row>
    <row r="940" spans="1:30" ht="14.25" customHeight="1" x14ac:dyDescent="0.2">
      <c r="A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</row>
    <row r="941" spans="1:30" ht="14.25" customHeight="1" x14ac:dyDescent="0.2">
      <c r="A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</row>
    <row r="942" spans="1:30" ht="14.25" customHeight="1" x14ac:dyDescent="0.2">
      <c r="A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</row>
    <row r="943" spans="1:30" ht="14.25" customHeight="1" x14ac:dyDescent="0.2">
      <c r="A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</row>
    <row r="944" spans="1:30" ht="14.25" customHeight="1" x14ac:dyDescent="0.2">
      <c r="A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</row>
    <row r="945" spans="1:30" ht="14.25" customHeight="1" x14ac:dyDescent="0.2">
      <c r="A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</row>
    <row r="946" spans="1:30" ht="14.25" customHeight="1" x14ac:dyDescent="0.2">
      <c r="A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</row>
    <row r="947" spans="1:30" ht="14.25" customHeight="1" x14ac:dyDescent="0.2">
      <c r="A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</row>
    <row r="948" spans="1:30" ht="14.25" customHeight="1" x14ac:dyDescent="0.2">
      <c r="A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</row>
    <row r="949" spans="1:30" ht="14.25" customHeight="1" x14ac:dyDescent="0.2">
      <c r="A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</row>
    <row r="950" spans="1:30" ht="14.25" customHeight="1" x14ac:dyDescent="0.2">
      <c r="A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</row>
    <row r="951" spans="1:30" ht="14.25" customHeight="1" x14ac:dyDescent="0.2">
      <c r="A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</row>
    <row r="952" spans="1:30" ht="14.25" customHeight="1" x14ac:dyDescent="0.2">
      <c r="A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</row>
    <row r="953" spans="1:30" ht="14.25" customHeight="1" x14ac:dyDescent="0.2">
      <c r="A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</row>
    <row r="954" spans="1:30" ht="14.25" customHeight="1" x14ac:dyDescent="0.2">
      <c r="A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</row>
    <row r="955" spans="1:30" ht="14.25" customHeight="1" x14ac:dyDescent="0.2">
      <c r="A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</row>
    <row r="956" spans="1:30" ht="14.25" customHeight="1" x14ac:dyDescent="0.2">
      <c r="A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</row>
    <row r="957" spans="1:30" ht="14.25" customHeight="1" x14ac:dyDescent="0.2">
      <c r="A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</row>
    <row r="958" spans="1:30" ht="14.25" customHeight="1" x14ac:dyDescent="0.2">
      <c r="A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</row>
    <row r="959" spans="1:30" ht="14.25" customHeight="1" x14ac:dyDescent="0.2">
      <c r="A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</row>
    <row r="960" spans="1:30" ht="14.25" customHeight="1" x14ac:dyDescent="0.2">
      <c r="A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</row>
    <row r="961" spans="1:30" ht="14.25" customHeight="1" x14ac:dyDescent="0.2">
      <c r="A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</row>
    <row r="962" spans="1:30" ht="14.25" customHeight="1" x14ac:dyDescent="0.2">
      <c r="A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</row>
    <row r="963" spans="1:30" ht="14.25" customHeight="1" x14ac:dyDescent="0.2">
      <c r="A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</row>
    <row r="964" spans="1:30" ht="14.25" customHeight="1" x14ac:dyDescent="0.2">
      <c r="A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</row>
    <row r="965" spans="1:30" ht="14.25" customHeight="1" x14ac:dyDescent="0.2">
      <c r="A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</row>
    <row r="966" spans="1:30" ht="14.25" customHeight="1" x14ac:dyDescent="0.2">
      <c r="A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</row>
    <row r="967" spans="1:30" ht="14.25" customHeight="1" x14ac:dyDescent="0.2">
      <c r="A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</row>
    <row r="968" spans="1:30" ht="14.25" customHeight="1" x14ac:dyDescent="0.2">
      <c r="A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</row>
    <row r="969" spans="1:30" ht="14.25" customHeight="1" x14ac:dyDescent="0.2">
      <c r="A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</row>
    <row r="970" spans="1:30" ht="14.25" customHeight="1" x14ac:dyDescent="0.2">
      <c r="A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</row>
    <row r="971" spans="1:30" ht="14.25" customHeight="1" x14ac:dyDescent="0.2">
      <c r="A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</row>
    <row r="972" spans="1:30" ht="14.25" customHeight="1" x14ac:dyDescent="0.2">
      <c r="A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</row>
    <row r="973" spans="1:30" ht="14.25" customHeight="1" x14ac:dyDescent="0.2">
      <c r="A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</row>
    <row r="974" spans="1:30" ht="14.25" customHeight="1" x14ac:dyDescent="0.2">
      <c r="A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</row>
    <row r="975" spans="1:30" ht="14.25" customHeight="1" x14ac:dyDescent="0.2">
      <c r="A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</row>
    <row r="976" spans="1:30" ht="14.25" customHeight="1" x14ac:dyDescent="0.2">
      <c r="A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</row>
    <row r="977" spans="1:30" ht="14.25" customHeight="1" x14ac:dyDescent="0.2">
      <c r="A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</row>
    <row r="978" spans="1:30" ht="14.25" customHeight="1" x14ac:dyDescent="0.2">
      <c r="A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</row>
    <row r="979" spans="1:30" ht="14.25" customHeight="1" x14ac:dyDescent="0.2">
      <c r="A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</row>
    <row r="980" spans="1:30" ht="14.25" customHeight="1" x14ac:dyDescent="0.2">
      <c r="A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</row>
    <row r="981" spans="1:30" ht="14.25" customHeight="1" x14ac:dyDescent="0.2">
      <c r="A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</row>
    <row r="982" spans="1:30" ht="14.25" customHeight="1" x14ac:dyDescent="0.2">
      <c r="A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</row>
    <row r="983" spans="1:30" ht="14.25" customHeight="1" x14ac:dyDescent="0.2">
      <c r="A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</row>
    <row r="984" spans="1:30" ht="14.25" customHeight="1" x14ac:dyDescent="0.2">
      <c r="A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</row>
    <row r="985" spans="1:30" ht="14.25" customHeight="1" x14ac:dyDescent="0.2">
      <c r="A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</row>
    <row r="986" spans="1:30" ht="14.25" customHeight="1" x14ac:dyDescent="0.2">
      <c r="A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</row>
    <row r="987" spans="1:30" ht="14.25" customHeight="1" x14ac:dyDescent="0.2">
      <c r="A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</row>
    <row r="988" spans="1:30" ht="14.25" customHeight="1" x14ac:dyDescent="0.2">
      <c r="A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</row>
    <row r="989" spans="1:30" ht="14.25" customHeight="1" x14ac:dyDescent="0.2">
      <c r="A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</row>
    <row r="990" spans="1:30" ht="14.25" customHeight="1" x14ac:dyDescent="0.2">
      <c r="A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</row>
    <row r="991" spans="1:30" ht="14.25" customHeight="1" x14ac:dyDescent="0.2">
      <c r="A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</row>
    <row r="992" spans="1:30" ht="14.25" customHeight="1" x14ac:dyDescent="0.2">
      <c r="A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</row>
    <row r="993" spans="1:30" ht="14.25" customHeight="1" x14ac:dyDescent="0.2">
      <c r="A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</row>
    <row r="994" spans="1:30" ht="14.25" customHeight="1" x14ac:dyDescent="0.2">
      <c r="A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</row>
    <row r="995" spans="1:30" ht="14.25" customHeight="1" x14ac:dyDescent="0.2">
      <c r="A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</row>
    <row r="996" spans="1:30" ht="14.25" customHeight="1" x14ac:dyDescent="0.2">
      <c r="A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</row>
    <row r="997" spans="1:30" ht="14.25" customHeight="1" x14ac:dyDescent="0.2">
      <c r="A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</row>
    <row r="998" spans="1:30" ht="14.25" customHeight="1" x14ac:dyDescent="0.2">
      <c r="A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</row>
    <row r="999" spans="1:30" ht="14.25" customHeight="1" x14ac:dyDescent="0.2">
      <c r="A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</row>
    <row r="1000" spans="1:30" ht="14.25" customHeight="1" x14ac:dyDescent="0.2">
      <c r="A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00"/>
  <sheetViews>
    <sheetView showGridLines="0" topLeftCell="B28" workbookViewId="0">
      <selection activeCell="E21" sqref="E21:E24"/>
    </sheetView>
  </sheetViews>
  <sheetFormatPr baseColWidth="10" defaultColWidth="14.5" defaultRowHeight="15" customHeight="1" x14ac:dyDescent="0.2"/>
  <cols>
    <col min="1" max="1" width="3.33203125" customWidth="1"/>
    <col min="2" max="2" width="38.1640625" customWidth="1"/>
    <col min="3" max="5" width="10.33203125" customWidth="1"/>
    <col min="6" max="6" width="9.33203125" customWidth="1"/>
    <col min="7" max="7" width="10.33203125" customWidth="1"/>
    <col min="8" max="11" width="8.83203125" customWidth="1"/>
    <col min="12" max="31" width="8.6640625" customWidth="1"/>
  </cols>
  <sheetData>
    <row r="1" spans="1:31" ht="14.25" customHeight="1" x14ac:dyDescent="0.2">
      <c r="A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</row>
    <row r="2" spans="1:31" ht="12" customHeight="1" x14ac:dyDescent="0.2">
      <c r="A2" s="67"/>
      <c r="B2" s="147" t="s">
        <v>132</v>
      </c>
      <c r="C2" s="69"/>
      <c r="D2" s="69"/>
      <c r="E2" s="69"/>
      <c r="F2" s="69"/>
      <c r="G2" s="70"/>
      <c r="H2" s="70"/>
      <c r="I2" s="70"/>
      <c r="J2" s="70"/>
      <c r="K2" s="70"/>
      <c r="L2" s="72"/>
      <c r="M2" s="72"/>
      <c r="N2" s="72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67"/>
    </row>
    <row r="3" spans="1:31" ht="12" customHeight="1" x14ac:dyDescent="0.2">
      <c r="A3" s="67"/>
      <c r="B3" s="148" t="s">
        <v>55</v>
      </c>
      <c r="C3" s="75">
        <f>'Financial statements'!C3</f>
        <v>43821</v>
      </c>
      <c r="D3" s="75">
        <f>'Financial statements'!D3</f>
        <v>44196</v>
      </c>
      <c r="E3" s="75">
        <f>'Financial statements'!E3</f>
        <v>44561</v>
      </c>
      <c r="F3" s="77"/>
      <c r="G3" s="75">
        <f>'Financial statements'!G3</f>
        <v>44926</v>
      </c>
      <c r="H3" s="75">
        <f>'Financial statements'!H3</f>
        <v>45291</v>
      </c>
      <c r="I3" s="75">
        <f>'Financial statements'!I3</f>
        <v>45656</v>
      </c>
      <c r="J3" s="75">
        <f>'Financial statements'!J3</f>
        <v>46021</v>
      </c>
      <c r="K3" s="75">
        <f>'Financial statements'!K3</f>
        <v>46386</v>
      </c>
      <c r="L3" s="71"/>
      <c r="M3" s="71"/>
      <c r="N3" s="71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67"/>
    </row>
    <row r="4" spans="1:31" ht="22.5" customHeight="1" x14ac:dyDescent="0.2">
      <c r="A4" s="67"/>
      <c r="B4" s="79"/>
      <c r="C4" s="149" t="s">
        <v>56</v>
      </c>
      <c r="D4" s="81" t="str">
        <f t="shared" ref="D4:E4" si="0">C4</f>
        <v>12 months Audited</v>
      </c>
      <c r="E4" s="81" t="str">
        <f t="shared" si="0"/>
        <v>12 months Audited</v>
      </c>
      <c r="F4" s="82" t="s">
        <v>57</v>
      </c>
      <c r="G4" s="81" t="s">
        <v>58</v>
      </c>
      <c r="H4" s="81" t="s">
        <v>58</v>
      </c>
      <c r="I4" s="81" t="s">
        <v>58</v>
      </c>
      <c r="J4" s="81" t="s">
        <v>58</v>
      </c>
      <c r="K4" s="81" t="s">
        <v>58</v>
      </c>
      <c r="L4" s="78"/>
      <c r="M4" s="78"/>
      <c r="N4" s="78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67"/>
    </row>
    <row r="5" spans="1:31" ht="14.25" customHeight="1" x14ac:dyDescent="0.2">
      <c r="A5" s="67"/>
      <c r="B5" s="150" t="s">
        <v>133</v>
      </c>
      <c r="C5" s="151">
        <f>'Financial statements'!C33</f>
        <v>634698</v>
      </c>
      <c r="D5" s="152">
        <f>'Financial statements'!D33</f>
        <v>625442</v>
      </c>
      <c r="E5" s="153">
        <f>'Financial statements'!E33</f>
        <v>669600</v>
      </c>
      <c r="F5" s="124"/>
      <c r="G5" s="154">
        <f>G11*'Financial statements'!G6</f>
        <v>743749.82912766968</v>
      </c>
      <c r="H5" s="154">
        <f>H11*'Financial statements'!H6</f>
        <v>802494.00509128557</v>
      </c>
      <c r="I5" s="154">
        <f>I11*'Financial statements'!I6</f>
        <v>865878.01836913859</v>
      </c>
      <c r="J5" s="154">
        <f>J11*'Financial statements'!J6</f>
        <v>934268.34087013686</v>
      </c>
      <c r="K5" s="154">
        <f>K11*'Financial statements'!K6</f>
        <v>1008060.3898413368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</row>
    <row r="6" spans="1:31" ht="14.25" customHeight="1" x14ac:dyDescent="0.2">
      <c r="A6" s="67"/>
      <c r="B6" s="150" t="s">
        <v>134</v>
      </c>
      <c r="C6" s="155">
        <f>-'Financial statements'!C16</f>
        <v>174872</v>
      </c>
      <c r="D6" s="156">
        <f>-'Financial statements'!D16</f>
        <v>210662</v>
      </c>
      <c r="E6" s="157">
        <f>-'Financial statements'!E16</f>
        <v>237302</v>
      </c>
      <c r="F6" s="124"/>
      <c r="G6" s="154">
        <f>G12*'Financial statements'!G6</f>
        <v>238459.31293884522</v>
      </c>
      <c r="H6" s="154">
        <f>H12*'Financial statements'!H6</f>
        <v>257293.73183998605</v>
      </c>
      <c r="I6" s="154">
        <f>I12*'Financial statements'!I6</f>
        <v>277615.76441815955</v>
      </c>
      <c r="J6" s="154">
        <f>J12*'Financial statements'!J6</f>
        <v>299542.90803092753</v>
      </c>
      <c r="K6" s="154">
        <f>K12*'Financial statements'!K6</f>
        <v>323201.94042177929</v>
      </c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</row>
    <row r="7" spans="1:31" ht="14.25" customHeight="1" x14ac:dyDescent="0.2">
      <c r="A7" s="67"/>
      <c r="B7" s="150" t="s">
        <v>135</v>
      </c>
      <c r="C7" s="158">
        <f>-'Financial statements'!C15</f>
        <v>8612</v>
      </c>
      <c r="D7" s="159">
        <f>-'Financial statements'!D15</f>
        <v>8631</v>
      </c>
      <c r="E7" s="160">
        <f>-'Financial statements'!E15</f>
        <v>8731</v>
      </c>
      <c r="F7" s="124"/>
      <c r="G7" s="154">
        <f>G13*'Financial statements'!G6</f>
        <v>10019.018680030455</v>
      </c>
      <c r="H7" s="154">
        <f>H13*'Financial statements'!H6</f>
        <v>10810.358688824504</v>
      </c>
      <c r="I7" s="154">
        <f>I13*'Financial statements'!I6</f>
        <v>11664.201726060483</v>
      </c>
      <c r="J7" s="154">
        <f>J13*'Financial statements'!J6</f>
        <v>12585.484517445417</v>
      </c>
      <c r="K7" s="154">
        <f>K13*'Financial statements'!K6</f>
        <v>13579.533709963973</v>
      </c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</row>
    <row r="8" spans="1:31" ht="14.25" customHeight="1" x14ac:dyDescent="0.2">
      <c r="A8" s="161"/>
      <c r="B8" s="162" t="s">
        <v>9</v>
      </c>
      <c r="C8" s="163">
        <f t="shared" ref="C8:E8" si="1">SUM(C5:C7)</f>
        <v>818182</v>
      </c>
      <c r="D8" s="163">
        <f t="shared" si="1"/>
        <v>844735</v>
      </c>
      <c r="E8" s="163">
        <f t="shared" si="1"/>
        <v>915633</v>
      </c>
      <c r="F8" s="163"/>
      <c r="G8" s="163">
        <f t="shared" ref="G8:K8" si="2">SUM(G5:G7)</f>
        <v>992228.16074654541</v>
      </c>
      <c r="H8" s="163">
        <f t="shared" si="2"/>
        <v>1070598.0956200962</v>
      </c>
      <c r="I8" s="163">
        <f t="shared" si="2"/>
        <v>1155157.9845133587</v>
      </c>
      <c r="J8" s="163">
        <f t="shared" si="2"/>
        <v>1246396.7334185098</v>
      </c>
      <c r="K8" s="163">
        <f t="shared" si="2"/>
        <v>1344841.8639730799</v>
      </c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</row>
    <row r="9" spans="1:31" ht="14.25" customHeight="1" x14ac:dyDescent="0.2">
      <c r="A9" s="67"/>
      <c r="C9" s="124"/>
      <c r="D9" s="124"/>
      <c r="E9" s="124"/>
      <c r="F9" s="124"/>
      <c r="G9" s="124"/>
      <c r="H9" s="124"/>
      <c r="I9" s="124"/>
      <c r="J9" s="124"/>
      <c r="K9" s="124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</row>
    <row r="10" spans="1:31" ht="14.25" customHeight="1" x14ac:dyDescent="0.2">
      <c r="A10" s="67"/>
      <c r="B10" s="164" t="s">
        <v>136</v>
      </c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</row>
    <row r="11" spans="1:31" ht="14.25" customHeight="1" x14ac:dyDescent="0.2">
      <c r="A11" s="67"/>
      <c r="B11" s="165" t="str">
        <f t="shared" ref="B11:B13" si="3">B5</f>
        <v>Profit before interest and Tax (EBIT)</v>
      </c>
      <c r="C11" s="166">
        <f>C5/'Financial statements'!C6</f>
        <v>0.16001655887932087</v>
      </c>
      <c r="D11" s="166">
        <f>D5/'Financial statements'!D6</f>
        <v>0.1429470950708048</v>
      </c>
      <c r="E11" s="166">
        <f>E5/'Financial statements'!E6</f>
        <v>0.14507753609984525</v>
      </c>
      <c r="F11" s="167">
        <f>AVERAGE(C11:E11)</f>
        <v>0.14934706334999032</v>
      </c>
      <c r="G11" s="166">
        <f t="shared" ref="G11:K11" si="4">F11</f>
        <v>0.14934706334999032</v>
      </c>
      <c r="H11" s="166">
        <f t="shared" si="4"/>
        <v>0.14934706334999032</v>
      </c>
      <c r="I11" s="166">
        <f t="shared" si="4"/>
        <v>0.14934706334999032</v>
      </c>
      <c r="J11" s="166">
        <f t="shared" si="4"/>
        <v>0.14934706334999032</v>
      </c>
      <c r="K11" s="166">
        <f t="shared" si="4"/>
        <v>0.14934706334999032</v>
      </c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</row>
    <row r="12" spans="1:31" ht="14.25" customHeight="1" x14ac:dyDescent="0.2">
      <c r="A12" s="67"/>
      <c r="B12" s="165" t="str">
        <f t="shared" si="3"/>
        <v>Depreciation</v>
      </c>
      <c r="C12" s="166">
        <f>Forecast!C6/'Financial statements'!C6</f>
        <v>4.4087764077316453E-2</v>
      </c>
      <c r="D12" s="166">
        <f>Forecast!D6/'Financial statements'!D6</f>
        <v>4.8147583535812881E-2</v>
      </c>
      <c r="E12" s="166">
        <f>Forecast!E6/'Financial statements'!E6</f>
        <v>5.1414560142720243E-2</v>
      </c>
      <c r="F12" s="167">
        <f t="shared" ref="F12:F14" si="5">AVERAGE(C12:E12)</f>
        <v>4.7883302585283193E-2</v>
      </c>
      <c r="G12" s="166">
        <f t="shared" ref="G12:K12" si="6">F12</f>
        <v>4.7883302585283193E-2</v>
      </c>
      <c r="H12" s="166">
        <f t="shared" si="6"/>
        <v>4.7883302585283193E-2</v>
      </c>
      <c r="I12" s="166">
        <f t="shared" si="6"/>
        <v>4.7883302585283193E-2</v>
      </c>
      <c r="J12" s="166">
        <f t="shared" si="6"/>
        <v>4.7883302585283193E-2</v>
      </c>
      <c r="K12" s="166">
        <f t="shared" si="6"/>
        <v>4.7883302585283193E-2</v>
      </c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</row>
    <row r="13" spans="1:31" ht="14.25" customHeight="1" x14ac:dyDescent="0.2">
      <c r="A13" s="67"/>
      <c r="B13" s="165" t="str">
        <f t="shared" si="3"/>
        <v>Amortisation</v>
      </c>
      <c r="C13" s="166">
        <f>C7/'Financial statements'!C6</f>
        <v>2.1712099377478914E-3</v>
      </c>
      <c r="D13" s="166">
        <f>D7/'Financial statements'!D6</f>
        <v>1.9726471480267017E-3</v>
      </c>
      <c r="E13" s="166">
        <f>E7/'Financial statements'!E6</f>
        <v>1.8916845395575699E-3</v>
      </c>
      <c r="F13" s="167">
        <f t="shared" si="5"/>
        <v>2.0118472084440543E-3</v>
      </c>
      <c r="G13" s="166">
        <f t="shared" ref="G13:K13" si="7">F13</f>
        <v>2.0118472084440543E-3</v>
      </c>
      <c r="H13" s="166">
        <f t="shared" si="7"/>
        <v>2.0118472084440543E-3</v>
      </c>
      <c r="I13" s="166">
        <f t="shared" si="7"/>
        <v>2.0118472084440543E-3</v>
      </c>
      <c r="J13" s="166">
        <f t="shared" si="7"/>
        <v>2.0118472084440543E-3</v>
      </c>
      <c r="K13" s="166">
        <f t="shared" si="7"/>
        <v>2.0118472084440543E-3</v>
      </c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</row>
    <row r="14" spans="1:31" ht="14.25" customHeight="1" x14ac:dyDescent="0.2">
      <c r="A14" s="67"/>
      <c r="B14" s="6" t="s">
        <v>137</v>
      </c>
      <c r="C14" s="168">
        <f>C8/'Financial statements'!C6</f>
        <v>0.20627553289438522</v>
      </c>
      <c r="D14" s="168">
        <f>D8/'Financial statements'!D6</f>
        <v>0.19306732575464439</v>
      </c>
      <c r="E14" s="168">
        <f>E8/'Financial statements'!E6</f>
        <v>0.19838378078212304</v>
      </c>
      <c r="F14" s="167">
        <f t="shared" si="5"/>
        <v>0.19924221314371757</v>
      </c>
      <c r="G14" s="168">
        <f t="shared" ref="G14:K14" si="8">SUM(G11:G13)</f>
        <v>0.19924221314371757</v>
      </c>
      <c r="H14" s="168">
        <f t="shared" si="8"/>
        <v>0.19924221314371757</v>
      </c>
      <c r="I14" s="168">
        <f t="shared" si="8"/>
        <v>0.19924221314371757</v>
      </c>
      <c r="J14" s="168">
        <f t="shared" si="8"/>
        <v>0.19924221314371757</v>
      </c>
      <c r="K14" s="168">
        <f t="shared" si="8"/>
        <v>0.19924221314371757</v>
      </c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</row>
    <row r="15" spans="1:31" ht="14.25" customHeight="1" x14ac:dyDescent="0.2">
      <c r="A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</row>
    <row r="16" spans="1:31" ht="14.25" customHeight="1" x14ac:dyDescent="0.2">
      <c r="A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</row>
    <row r="17" spans="1:31" ht="12" customHeight="1" x14ac:dyDescent="0.2">
      <c r="A17" s="67"/>
      <c r="B17" s="147" t="s">
        <v>138</v>
      </c>
      <c r="C17" s="69"/>
      <c r="D17" s="69"/>
      <c r="E17" s="69"/>
      <c r="F17" s="69"/>
      <c r="G17" s="70"/>
      <c r="H17" s="70"/>
      <c r="I17" s="70"/>
      <c r="J17" s="70"/>
      <c r="K17" s="70"/>
      <c r="L17" s="72"/>
      <c r="M17" s="72"/>
      <c r="N17" s="72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67"/>
    </row>
    <row r="18" spans="1:31" ht="12" customHeight="1" x14ac:dyDescent="0.2">
      <c r="A18" s="67"/>
      <c r="B18" s="148" t="s">
        <v>55</v>
      </c>
      <c r="C18" s="75">
        <f t="shared" ref="C18:E18" si="9">C3</f>
        <v>43821</v>
      </c>
      <c r="D18" s="75">
        <f t="shared" si="9"/>
        <v>44196</v>
      </c>
      <c r="E18" s="75">
        <f t="shared" si="9"/>
        <v>44561</v>
      </c>
      <c r="F18" s="75"/>
      <c r="G18" s="75">
        <f t="shared" ref="G18:K18" si="10">G3</f>
        <v>44926</v>
      </c>
      <c r="H18" s="75">
        <f t="shared" si="10"/>
        <v>45291</v>
      </c>
      <c r="I18" s="75">
        <f t="shared" si="10"/>
        <v>45656</v>
      </c>
      <c r="J18" s="75">
        <f t="shared" si="10"/>
        <v>46021</v>
      </c>
      <c r="K18" s="75">
        <f t="shared" si="10"/>
        <v>46386</v>
      </c>
      <c r="L18" s="71"/>
      <c r="M18" s="71"/>
      <c r="N18" s="71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67"/>
    </row>
    <row r="19" spans="1:31" ht="22.5" customHeight="1" x14ac:dyDescent="0.2">
      <c r="A19" s="67"/>
      <c r="B19" s="79"/>
      <c r="C19" s="149" t="s">
        <v>56</v>
      </c>
      <c r="D19" s="81" t="str">
        <f t="shared" ref="D19:E19" si="11">C19</f>
        <v>12 months Audited</v>
      </c>
      <c r="E19" s="81" t="str">
        <f t="shared" si="11"/>
        <v>12 months Audited</v>
      </c>
      <c r="F19" s="82" t="s">
        <v>57</v>
      </c>
      <c r="G19" s="81" t="s">
        <v>58</v>
      </c>
      <c r="H19" s="81" t="s">
        <v>58</v>
      </c>
      <c r="I19" s="81" t="s">
        <v>58</v>
      </c>
      <c r="J19" s="81" t="s">
        <v>58</v>
      </c>
      <c r="K19" s="81" t="s">
        <v>58</v>
      </c>
      <c r="L19" s="78"/>
      <c r="M19" s="78"/>
      <c r="N19" s="78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67"/>
    </row>
    <row r="20" spans="1:31" ht="13.5" customHeight="1" x14ac:dyDescent="0.2">
      <c r="A20" s="161"/>
      <c r="B20" s="169" t="s">
        <v>139</v>
      </c>
      <c r="C20" s="170">
        <f t="shared" ref="C20:E20" si="12">SUM(C21:C24)</f>
        <v>597184</v>
      </c>
      <c r="D20" s="170">
        <f t="shared" si="12"/>
        <v>642034</v>
      </c>
      <c r="E20" s="170">
        <f t="shared" si="12"/>
        <v>867730</v>
      </c>
      <c r="F20" s="171"/>
      <c r="G20" s="170">
        <f t="shared" ref="G20:K20" si="13">SUM(G21:G24)</f>
        <v>805604.50176799169</v>
      </c>
      <c r="H20" s="170">
        <f t="shared" si="13"/>
        <v>869234.19384394935</v>
      </c>
      <c r="I20" s="170">
        <f t="shared" si="13"/>
        <v>937889.59978421137</v>
      </c>
      <c r="J20" s="170">
        <f t="shared" si="13"/>
        <v>1011967.6694878229</v>
      </c>
      <c r="K20" s="170">
        <f t="shared" si="13"/>
        <v>1091896.705458974</v>
      </c>
      <c r="L20" s="172"/>
      <c r="M20" s="172"/>
      <c r="N20" s="172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61"/>
    </row>
    <row r="21" spans="1:31" ht="14.25" customHeight="1" x14ac:dyDescent="0.2">
      <c r="A21" s="67"/>
      <c r="B21" s="150" t="s">
        <v>140</v>
      </c>
      <c r="C21" s="151">
        <f>'Financial statements'!C94</f>
        <v>582162</v>
      </c>
      <c r="D21" s="152">
        <f>'Financial statements'!D95</f>
        <v>695783</v>
      </c>
      <c r="E21" s="153">
        <f>'[1]Financial statements'!E95</f>
        <v>740033</v>
      </c>
      <c r="G21" s="154">
        <f>G27*'Financial statements'!G6</f>
        <v>773782.33353688766</v>
      </c>
      <c r="H21" s="154">
        <f>H27*'Financial statements'!H6</f>
        <v>834898.59034617222</v>
      </c>
      <c r="I21" s="154">
        <f>I27*'Financial statements'!I6</f>
        <v>900842.04039118893</v>
      </c>
      <c r="J21" s="154">
        <f>J27*'Financial statements'!J6</f>
        <v>971993.9536605078</v>
      </c>
      <c r="K21" s="154">
        <f>K27*'Financial statements'!K6</f>
        <v>1048765.7142891774</v>
      </c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</row>
    <row r="22" spans="1:31" ht="14.25" customHeight="1" x14ac:dyDescent="0.2">
      <c r="A22" s="67"/>
      <c r="B22" s="150" t="s">
        <v>141</v>
      </c>
      <c r="C22" s="155">
        <f>'Financial statements'!C94</f>
        <v>582162</v>
      </c>
      <c r="D22" s="156">
        <f>'Financial statements'!D94</f>
        <v>631023</v>
      </c>
      <c r="E22" s="157">
        <f>'[1]Financial statements'!E94</f>
        <v>902618</v>
      </c>
      <c r="G22" s="154">
        <f>G28*'Financial statements'!G6</f>
        <v>807687.92122709262</v>
      </c>
      <c r="H22" s="154">
        <f>H28*'Financial statements'!H6</f>
        <v>871482.16965589696</v>
      </c>
      <c r="I22" s="154">
        <f>I28*'Financial statements'!I6</f>
        <v>940315.12923245877</v>
      </c>
      <c r="J22" s="154">
        <f>J28*'Financial statements'!J6</f>
        <v>1014584.7764304546</v>
      </c>
      <c r="K22" s="154">
        <f>K28*'Financial statements'!K6</f>
        <v>1094720.5214114534</v>
      </c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</row>
    <row r="23" spans="1:31" ht="14.25" customHeight="1" x14ac:dyDescent="0.2">
      <c r="A23" s="67"/>
      <c r="B23" s="150" t="s">
        <v>142</v>
      </c>
      <c r="C23" s="155">
        <f>-'Financial statements'!C73</f>
        <v>-21088</v>
      </c>
      <c r="D23" s="156">
        <f>-'Financial statements'!D73</f>
        <v>-36432</v>
      </c>
      <c r="E23" s="157">
        <f>-'[1]Financial statements'!E73</f>
        <v>-47513</v>
      </c>
      <c r="G23" s="154">
        <f>G29*'Financial statements'!G6</f>
        <v>-39736.440264954523</v>
      </c>
      <c r="H23" s="154">
        <f>H29*'Financial statements'!H6</f>
        <v>-42874.974685634705</v>
      </c>
      <c r="I23" s="154">
        <f>I29*'Financial statements'!I6</f>
        <v>-46261.402431537623</v>
      </c>
      <c r="J23" s="154">
        <f>J29*'Financial statements'!J6</f>
        <v>-49915.303055554301</v>
      </c>
      <c r="K23" s="154">
        <f>K29*'Financial statements'!K6</f>
        <v>-53857.802577754999</v>
      </c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</row>
    <row r="24" spans="1:31" ht="14.25" customHeight="1" x14ac:dyDescent="0.2">
      <c r="A24" s="67"/>
      <c r="B24" s="150" t="s">
        <v>143</v>
      </c>
      <c r="C24" s="158">
        <f>-'Financial statements'!C72</f>
        <v>-546052</v>
      </c>
      <c r="D24" s="159">
        <f>-'Financial statements'!D72</f>
        <v>-648340</v>
      </c>
      <c r="E24" s="160">
        <f>-'[1]Financial statements'!E72</f>
        <v>-727408</v>
      </c>
      <c r="G24" s="154">
        <f>G30*'Financial statements'!G6</f>
        <v>-736129.31273103424</v>
      </c>
      <c r="H24" s="154">
        <f>H30*'Financial statements'!H6</f>
        <v>-794271.5914724851</v>
      </c>
      <c r="I24" s="154">
        <f>I30*'Financial statements'!I6</f>
        <v>-857006.16740789881</v>
      </c>
      <c r="J24" s="154">
        <f>J30*'Financial statements'!J6</f>
        <v>-924695.75754758494</v>
      </c>
      <c r="K24" s="154">
        <f>K30*'Financial statements'!K6</f>
        <v>-997731.72766390175</v>
      </c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</row>
    <row r="25" spans="1:31" ht="14.25" customHeight="1" x14ac:dyDescent="0.2">
      <c r="A25" s="161"/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</row>
    <row r="26" spans="1:31" ht="14.25" customHeight="1" x14ac:dyDescent="0.2">
      <c r="A26" s="67"/>
      <c r="B26" s="164" t="s">
        <v>144</v>
      </c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</row>
    <row r="27" spans="1:31" ht="14.25" customHeight="1" x14ac:dyDescent="0.2">
      <c r="A27" s="67"/>
      <c r="B27" s="165" t="str">
        <f t="shared" ref="B27:B30" si="14">B21</f>
        <v>Trade and other receivables</v>
      </c>
      <c r="C27" s="166">
        <f>C21/'Financial statements'!$C$6</f>
        <v>0.14677147233850302</v>
      </c>
      <c r="D27" s="166">
        <f>D21/'Financial statements'!$D$6</f>
        <v>0.1590237922135862</v>
      </c>
      <c r="E27" s="166">
        <f>E21/'Financial statements'!$E$6</f>
        <v>0.16033776026370486</v>
      </c>
      <c r="F27" s="174">
        <f t="shared" ref="F27:F30" si="15">AVERAGE(C27:E27)</f>
        <v>0.15537767493859803</v>
      </c>
      <c r="G27" s="166">
        <f t="shared" ref="G27:K27" si="16">F27</f>
        <v>0.15537767493859803</v>
      </c>
      <c r="H27" s="166">
        <f t="shared" si="16"/>
        <v>0.15537767493859803</v>
      </c>
      <c r="I27" s="166">
        <f t="shared" si="16"/>
        <v>0.15537767493859803</v>
      </c>
      <c r="J27" s="166">
        <f t="shared" si="16"/>
        <v>0.15537767493859803</v>
      </c>
      <c r="K27" s="166">
        <f t="shared" si="16"/>
        <v>0.15537767493859803</v>
      </c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</row>
    <row r="28" spans="1:31" ht="14.25" customHeight="1" x14ac:dyDescent="0.2">
      <c r="A28" s="67"/>
      <c r="B28" s="165" t="str">
        <f t="shared" si="14"/>
        <v>Inventories</v>
      </c>
      <c r="C28" s="166">
        <f>C22/'Financial statements'!$C$6</f>
        <v>0.14677147233850302</v>
      </c>
      <c r="D28" s="166">
        <f>D22/'Financial statements'!$D$6</f>
        <v>0.14422265337611553</v>
      </c>
      <c r="E28" s="166">
        <f>E22/'Financial statements'!$E$6</f>
        <v>0.19556391200622777</v>
      </c>
      <c r="F28" s="174">
        <f t="shared" si="15"/>
        <v>0.16218601257361545</v>
      </c>
      <c r="G28" s="166">
        <f t="shared" ref="G28:K28" si="17">F28</f>
        <v>0.16218601257361545</v>
      </c>
      <c r="H28" s="166">
        <f t="shared" si="17"/>
        <v>0.16218601257361545</v>
      </c>
      <c r="I28" s="166">
        <f t="shared" si="17"/>
        <v>0.16218601257361545</v>
      </c>
      <c r="J28" s="166">
        <f t="shared" si="17"/>
        <v>0.16218601257361545</v>
      </c>
      <c r="K28" s="166">
        <f t="shared" si="17"/>
        <v>0.16218601257361545</v>
      </c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</row>
    <row r="29" spans="1:31" ht="14.25" customHeight="1" x14ac:dyDescent="0.2">
      <c r="A29" s="67"/>
      <c r="B29" s="165" t="str">
        <f t="shared" si="14"/>
        <v>Short-term provisions</v>
      </c>
      <c r="C29" s="166">
        <f>C23/'Financial statements'!$C$6</f>
        <v>-5.3165902423626963E-3</v>
      </c>
      <c r="D29" s="166">
        <f>D23/'Financial statements'!$D$6</f>
        <v>-8.3266690878123963E-3</v>
      </c>
      <c r="E29" s="166">
        <f>E23/'Financial statements'!$E$6</f>
        <v>-1.0294308501660613E-2</v>
      </c>
      <c r="F29" s="174">
        <f t="shared" si="15"/>
        <v>-7.9791892772785675E-3</v>
      </c>
      <c r="G29" s="166">
        <f t="shared" ref="G29:K29" si="18">F29</f>
        <v>-7.9791892772785675E-3</v>
      </c>
      <c r="H29" s="166">
        <f t="shared" si="18"/>
        <v>-7.9791892772785675E-3</v>
      </c>
      <c r="I29" s="166">
        <f t="shared" si="18"/>
        <v>-7.9791892772785675E-3</v>
      </c>
      <c r="J29" s="166">
        <f t="shared" si="18"/>
        <v>-7.9791892772785675E-3</v>
      </c>
      <c r="K29" s="166">
        <f t="shared" si="18"/>
        <v>-7.9791892772785675E-3</v>
      </c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</row>
    <row r="30" spans="1:31" ht="14.25" customHeight="1" x14ac:dyDescent="0.2">
      <c r="A30" s="67"/>
      <c r="B30" s="165" t="str">
        <f t="shared" si="14"/>
        <v>Trade and other payables</v>
      </c>
      <c r="C30" s="166">
        <f>C24/'Financial statements'!$C$6</f>
        <v>-0.13766761831480628</v>
      </c>
      <c r="D30" s="166">
        <f>D24/'Financial statements'!$D$6</f>
        <v>-0.14818051812670974</v>
      </c>
      <c r="E30" s="166">
        <f>E24/'Financial statements'!$E$6</f>
        <v>-0.15760239005274226</v>
      </c>
      <c r="F30" s="174">
        <f t="shared" si="15"/>
        <v>-0.14781684216475277</v>
      </c>
      <c r="G30" s="166">
        <f t="shared" ref="G30:K30" si="19">F30</f>
        <v>-0.14781684216475277</v>
      </c>
      <c r="H30" s="166">
        <f t="shared" si="19"/>
        <v>-0.14781684216475277</v>
      </c>
      <c r="I30" s="166">
        <f t="shared" si="19"/>
        <v>-0.14781684216475277</v>
      </c>
      <c r="J30" s="166">
        <f t="shared" si="19"/>
        <v>-0.14781684216475277</v>
      </c>
      <c r="K30" s="166">
        <f t="shared" si="19"/>
        <v>-0.14781684216475277</v>
      </c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</row>
    <row r="31" spans="1:31" ht="14.25" customHeight="1" x14ac:dyDescent="0.2">
      <c r="A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</row>
    <row r="32" spans="1:31" ht="14.25" customHeight="1" x14ac:dyDescent="0.2">
      <c r="A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</row>
    <row r="33" spans="1:31" ht="12" customHeight="1" x14ac:dyDescent="0.2">
      <c r="A33" s="67"/>
      <c r="B33" s="147" t="s">
        <v>145</v>
      </c>
      <c r="C33" s="69"/>
      <c r="D33" s="69"/>
      <c r="E33" s="69"/>
      <c r="F33" s="69"/>
      <c r="G33" s="70"/>
      <c r="H33" s="70"/>
      <c r="I33" s="70"/>
      <c r="J33" s="70"/>
      <c r="K33" s="70"/>
      <c r="L33" s="72"/>
      <c r="M33" s="72"/>
      <c r="N33" s="72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67"/>
    </row>
    <row r="34" spans="1:31" ht="12" customHeight="1" x14ac:dyDescent="0.2">
      <c r="A34" s="67"/>
      <c r="B34" s="148" t="s">
        <v>55</v>
      </c>
      <c r="C34" s="75">
        <f t="shared" ref="C34:E34" si="20">C3</f>
        <v>43821</v>
      </c>
      <c r="D34" s="75">
        <f t="shared" si="20"/>
        <v>44196</v>
      </c>
      <c r="E34" s="75">
        <f t="shared" si="20"/>
        <v>44561</v>
      </c>
      <c r="F34" s="75"/>
      <c r="G34" s="75">
        <f t="shared" ref="G34:K34" si="21">G3</f>
        <v>44926</v>
      </c>
      <c r="H34" s="75">
        <f t="shared" si="21"/>
        <v>45291</v>
      </c>
      <c r="I34" s="75">
        <f t="shared" si="21"/>
        <v>45656</v>
      </c>
      <c r="J34" s="75">
        <f t="shared" si="21"/>
        <v>46021</v>
      </c>
      <c r="K34" s="75">
        <f t="shared" si="21"/>
        <v>46386</v>
      </c>
      <c r="L34" s="71"/>
      <c r="M34" s="71"/>
      <c r="N34" s="71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67"/>
    </row>
    <row r="35" spans="1:31" ht="22.5" customHeight="1" x14ac:dyDescent="0.2">
      <c r="A35" s="67"/>
      <c r="B35" s="79"/>
      <c r="C35" s="149" t="s">
        <v>56</v>
      </c>
      <c r="D35" s="81" t="str">
        <f t="shared" ref="D35:E35" si="22">C35</f>
        <v>12 months Audited</v>
      </c>
      <c r="E35" s="81" t="str">
        <f t="shared" si="22"/>
        <v>12 months Audited</v>
      </c>
      <c r="F35" s="82" t="s">
        <v>57</v>
      </c>
      <c r="G35" s="81" t="s">
        <v>58</v>
      </c>
      <c r="H35" s="81" t="s">
        <v>58</v>
      </c>
      <c r="I35" s="81" t="s">
        <v>58</v>
      </c>
      <c r="J35" s="81" t="s">
        <v>58</v>
      </c>
      <c r="K35" s="81" t="s">
        <v>58</v>
      </c>
      <c r="L35" s="78"/>
      <c r="M35" s="78"/>
      <c r="N35" s="78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67"/>
    </row>
    <row r="36" spans="1:31" ht="14.25" customHeight="1" x14ac:dyDescent="0.2">
      <c r="A36" s="67"/>
      <c r="H36" s="171"/>
      <c r="I36" s="171"/>
      <c r="J36" s="171"/>
      <c r="K36" s="171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</row>
    <row r="37" spans="1:31" ht="14.25" customHeight="1" x14ac:dyDescent="0.2">
      <c r="A37" s="67"/>
      <c r="B37" s="150" t="s">
        <v>1</v>
      </c>
      <c r="C37" s="151">
        <f>-264629-22098</f>
        <v>-286727</v>
      </c>
      <c r="D37" s="152">
        <f>-286313-7574</f>
        <v>-293887</v>
      </c>
      <c r="E37" s="153">
        <f>-273751-2496</f>
        <v>-276247</v>
      </c>
      <c r="F37" s="124"/>
      <c r="G37" s="175">
        <f>G42*'Financial statements'!G6</f>
        <v>-330854.41112084803</v>
      </c>
      <c r="H37" s="154">
        <f>H42*'Financial statements'!H6</f>
        <v>-356986.54451309016</v>
      </c>
      <c r="I37" s="154">
        <f>I42*'Financial statements'!I6</f>
        <v>-385182.6926885008</v>
      </c>
      <c r="J37" s="154">
        <f>J42*'Financial statements'!J6</f>
        <v>-415605.87934519112</v>
      </c>
      <c r="K37" s="154">
        <f>K42*'Financial statements'!K6</f>
        <v>-448432.00440985482</v>
      </c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</row>
    <row r="38" spans="1:31" ht="14.25" customHeight="1" x14ac:dyDescent="0.2">
      <c r="A38" s="67"/>
      <c r="B38" s="150" t="s">
        <v>146</v>
      </c>
      <c r="C38" s="155">
        <f>SUM('Financial statements'!C40:C42)</f>
        <v>-149573.76000000001</v>
      </c>
      <c r="D38" s="156">
        <f>SUM('Financial statements'!D40:D42)</f>
        <v>-154939.96000000002</v>
      </c>
      <c r="E38" s="157">
        <f>SUM('Financial statements'!E40:E42)</f>
        <v>-171503.08000000002</v>
      </c>
      <c r="F38" s="124"/>
      <c r="G38" s="176">
        <f>G45*'Financial statements'!G38</f>
        <v>-184646.84835590096</v>
      </c>
      <c r="H38" s="154">
        <f>H45*'Financial statements'!H38</f>
        <v>-196504.05144736017</v>
      </c>
      <c r="I38" s="154">
        <f>I45*'Financial statements'!I38</f>
        <v>-228634.02810478691</v>
      </c>
      <c r="J38" s="154">
        <f>J45*'Financial statements'!J38</f>
        <v>-249856.59172465964</v>
      </c>
      <c r="K38" s="154">
        <f>K45*'Financial statements'!K38</f>
        <v>-271730.73197763012</v>
      </c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</row>
    <row r="39" spans="1:31" ht="14.25" customHeight="1" x14ac:dyDescent="0.2">
      <c r="A39" s="67"/>
      <c r="B39" s="150" t="s">
        <v>39</v>
      </c>
      <c r="C39" s="158">
        <f>'Financial statements'!C47</f>
        <v>-117154</v>
      </c>
      <c r="D39" s="159">
        <f>'Financial statements'!D47</f>
        <v>-147114</v>
      </c>
      <c r="E39" s="160">
        <f>'Financial statements'!E47</f>
        <v>-133005</v>
      </c>
      <c r="F39" s="124"/>
      <c r="G39" s="177">
        <f>G48*'Financial statements'!G45</f>
        <v>-186198.50254376567</v>
      </c>
      <c r="H39" s="154">
        <f>H48*'Financial statements'!H45</f>
        <v>-208348.52223176896</v>
      </c>
      <c r="I39" s="154">
        <f>I48*'Financial statements'!I45</f>
        <v>-242415.16414886632</v>
      </c>
      <c r="J39" s="154">
        <f>J48*'Financial statements'!J45</f>
        <v>-264916.9382120574</v>
      </c>
      <c r="K39" s="154">
        <f>K48*'Financial statements'!K45</f>
        <v>-288109.56331687729</v>
      </c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</row>
    <row r="40" spans="1:31" ht="14.25" customHeight="1" x14ac:dyDescent="0.2">
      <c r="A40" s="67"/>
      <c r="H40" s="162"/>
      <c r="I40" s="162"/>
      <c r="J40" s="162"/>
      <c r="K40" s="162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</row>
    <row r="41" spans="1:31" ht="14.25" customHeight="1" x14ac:dyDescent="0.2">
      <c r="A41" s="67"/>
      <c r="B41" s="164" t="s">
        <v>144</v>
      </c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</row>
    <row r="42" spans="1:31" ht="14.25" customHeight="1" x14ac:dyDescent="0.2">
      <c r="A42" s="67"/>
      <c r="B42" s="165" t="str">
        <f>B37</f>
        <v>Capex</v>
      </c>
      <c r="C42" s="166">
        <f>C37/'Financial statements'!C6</f>
        <v>-7.228802970513698E-2</v>
      </c>
      <c r="D42" s="166">
        <f>D37/'Financial statements'!D6</f>
        <v>-6.7168966793201626E-2</v>
      </c>
      <c r="E42" s="166">
        <f>E37/'Financial statements'!E6</f>
        <v>-5.9852500171705417E-2</v>
      </c>
      <c r="F42" s="174">
        <f>AVERAGE(C42:E42)</f>
        <v>-6.643649889001467E-2</v>
      </c>
      <c r="G42" s="166">
        <f t="shared" ref="G42:K42" si="23">$F$42</f>
        <v>-6.643649889001467E-2</v>
      </c>
      <c r="H42" s="166">
        <f t="shared" si="23"/>
        <v>-6.643649889001467E-2</v>
      </c>
      <c r="I42" s="166">
        <f t="shared" si="23"/>
        <v>-6.643649889001467E-2</v>
      </c>
      <c r="J42" s="166">
        <f t="shared" si="23"/>
        <v>-6.643649889001467E-2</v>
      </c>
      <c r="K42" s="166">
        <f t="shared" si="23"/>
        <v>-6.643649889001467E-2</v>
      </c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</row>
    <row r="43" spans="1:31" ht="14.25" customHeight="1" x14ac:dyDescent="0.2">
      <c r="A43" s="67"/>
      <c r="C43" s="168"/>
      <c r="D43" s="168"/>
      <c r="E43" s="168"/>
      <c r="F43" s="178"/>
      <c r="G43" s="168"/>
      <c r="H43" s="179"/>
      <c r="I43" s="179"/>
      <c r="J43" s="179"/>
      <c r="K43" s="179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</row>
    <row r="44" spans="1:31" ht="14.25" customHeight="1" x14ac:dyDescent="0.2">
      <c r="A44" s="67"/>
      <c r="B44" s="164" t="s">
        <v>147</v>
      </c>
      <c r="C44" s="168"/>
      <c r="D44" s="168"/>
      <c r="E44" s="168"/>
      <c r="F44" s="178"/>
      <c r="G44" s="168"/>
      <c r="H44" s="168"/>
      <c r="I44" s="168"/>
      <c r="J44" s="168"/>
      <c r="K44" s="168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</row>
    <row r="45" spans="1:31" ht="14.25" customHeight="1" x14ac:dyDescent="0.2">
      <c r="A45" s="67"/>
      <c r="B45" s="165" t="str">
        <f>B38</f>
        <v>Cash taxes</v>
      </c>
      <c r="C45" s="166">
        <f>C38/'Financial statements'!C38</f>
        <v>-0.28000000000000003</v>
      </c>
      <c r="D45" s="166">
        <f>D38/'Financial statements'!D38</f>
        <v>-0.28000000000000003</v>
      </c>
      <c r="E45" s="166">
        <f>E38/'Financial statements'!E38</f>
        <v>-0.28000000000000003</v>
      </c>
      <c r="F45" s="174">
        <f>AVERAGE(C45:E45)</f>
        <v>-0.28000000000000003</v>
      </c>
      <c r="G45" s="166">
        <f>$F$45</f>
        <v>-0.28000000000000003</v>
      </c>
      <c r="H45" s="166">
        <f>-Summary!$C$6</f>
        <v>-0.27</v>
      </c>
      <c r="I45" s="166">
        <f>-Summary!$C$6</f>
        <v>-0.27</v>
      </c>
      <c r="J45" s="166">
        <f>-Summary!$C$6</f>
        <v>-0.27</v>
      </c>
      <c r="K45" s="166">
        <f>-Summary!$C$6</f>
        <v>-0.27</v>
      </c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</row>
    <row r="46" spans="1:31" ht="14.25" customHeight="1" x14ac:dyDescent="0.2">
      <c r="A46" s="67"/>
      <c r="C46" s="168"/>
      <c r="D46" s="168"/>
      <c r="E46" s="168"/>
      <c r="F46" s="178"/>
      <c r="G46" s="168"/>
      <c r="H46" s="179"/>
      <c r="I46" s="179"/>
      <c r="J46" s="179"/>
      <c r="K46" s="179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</row>
    <row r="47" spans="1:31" ht="14.25" customHeight="1" x14ac:dyDescent="0.2">
      <c r="A47" s="67"/>
      <c r="B47" s="164" t="s">
        <v>148</v>
      </c>
      <c r="C47" s="168"/>
      <c r="D47" s="168"/>
      <c r="E47" s="168"/>
      <c r="F47" s="178"/>
      <c r="G47" s="168"/>
      <c r="H47" s="168"/>
      <c r="I47" s="168"/>
      <c r="J47" s="168"/>
      <c r="K47" s="168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</row>
    <row r="48" spans="1:31" ht="14.25" customHeight="1" x14ac:dyDescent="0.2">
      <c r="A48" s="67"/>
      <c r="B48" s="165" t="str">
        <f>B39</f>
        <v>Dividends</v>
      </c>
      <c r="C48" s="166">
        <f>C39/'Financial statements'!C45</f>
        <v>-0.30459813866341856</v>
      </c>
      <c r="D48" s="166">
        <f>D39/'Financial statements'!D45</f>
        <v>-0.36924625513005166</v>
      </c>
      <c r="E48" s="166">
        <f>E39/'Financial statements'!E45</f>
        <v>-0.30159322308769421</v>
      </c>
      <c r="F48" s="174">
        <f>AVERAGE(C48:E48)</f>
        <v>-0.32514587229372144</v>
      </c>
      <c r="G48" s="166">
        <f>-Summary!$C$4</f>
        <v>-0.39215686274509809</v>
      </c>
      <c r="H48" s="166">
        <f>-Summary!$C$4</f>
        <v>-0.39215686274509809</v>
      </c>
      <c r="I48" s="166">
        <f>-Summary!$C$4</f>
        <v>-0.39215686274509809</v>
      </c>
      <c r="J48" s="166">
        <f>-Summary!$C$4</f>
        <v>-0.39215686274509809</v>
      </c>
      <c r="K48" s="166">
        <f>-Summary!$C$4</f>
        <v>-0.39215686274509809</v>
      </c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</row>
    <row r="49" spans="1:31" ht="14.25" customHeight="1" x14ac:dyDescent="0.2">
      <c r="A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</row>
    <row r="50" spans="1:31" ht="14.25" customHeight="1" x14ac:dyDescent="0.2">
      <c r="A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</row>
    <row r="51" spans="1:31" ht="14.25" customHeight="1" x14ac:dyDescent="0.2">
      <c r="A51" s="67"/>
      <c r="B51" s="147" t="s">
        <v>149</v>
      </c>
      <c r="C51" s="69"/>
      <c r="D51" s="69"/>
      <c r="E51" s="69"/>
      <c r="F51" s="69"/>
      <c r="G51" s="70"/>
      <c r="H51" s="70"/>
      <c r="I51" s="70"/>
      <c r="J51" s="70"/>
      <c r="K51" s="70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</row>
    <row r="52" spans="1:31" ht="14.25" customHeight="1" x14ac:dyDescent="0.2">
      <c r="A52" s="67"/>
      <c r="B52" s="148" t="s">
        <v>55</v>
      </c>
      <c r="C52" s="75">
        <f t="shared" ref="C52:E52" si="24">C3</f>
        <v>43821</v>
      </c>
      <c r="D52" s="75">
        <f t="shared" si="24"/>
        <v>44196</v>
      </c>
      <c r="E52" s="75">
        <f t="shared" si="24"/>
        <v>44561</v>
      </c>
      <c r="F52" s="75"/>
      <c r="G52" s="75">
        <f t="shared" ref="G52:K52" si="25">G3</f>
        <v>44926</v>
      </c>
      <c r="H52" s="75">
        <f t="shared" si="25"/>
        <v>45291</v>
      </c>
      <c r="I52" s="75">
        <f t="shared" si="25"/>
        <v>45656</v>
      </c>
      <c r="J52" s="75">
        <f t="shared" si="25"/>
        <v>46021</v>
      </c>
      <c r="K52" s="75">
        <f t="shared" si="25"/>
        <v>46386</v>
      </c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</row>
    <row r="53" spans="1:31" ht="14.25" customHeight="1" x14ac:dyDescent="0.2">
      <c r="A53" s="67"/>
      <c r="B53" s="79"/>
      <c r="C53" s="149" t="s">
        <v>56</v>
      </c>
      <c r="D53" s="81" t="str">
        <f t="shared" ref="D53:E53" si="26">C53</f>
        <v>12 months Audited</v>
      </c>
      <c r="E53" s="81" t="str">
        <f t="shared" si="26"/>
        <v>12 months Audited</v>
      </c>
      <c r="F53" s="82" t="s">
        <v>57</v>
      </c>
      <c r="G53" s="81" t="s">
        <v>58</v>
      </c>
      <c r="H53" s="81" t="s">
        <v>58</v>
      </c>
      <c r="I53" s="81" t="s">
        <v>58</v>
      </c>
      <c r="J53" s="81" t="s">
        <v>58</v>
      </c>
      <c r="K53" s="81" t="s">
        <v>58</v>
      </c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</row>
    <row r="54" spans="1:31" ht="14.25" customHeight="1" x14ac:dyDescent="0.2">
      <c r="A54" s="67"/>
      <c r="B54" s="6" t="s">
        <v>150</v>
      </c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</row>
    <row r="55" spans="1:31" ht="14.25" customHeight="1" x14ac:dyDescent="0.2">
      <c r="A55" s="67"/>
      <c r="B55" s="165" t="s">
        <v>151</v>
      </c>
      <c r="C55" s="180">
        <v>527203</v>
      </c>
      <c r="D55" s="180">
        <v>754133</v>
      </c>
      <c r="E55" s="180">
        <v>200866</v>
      </c>
      <c r="F55" s="181"/>
      <c r="G55" s="154">
        <f>144.726170758549*1000</f>
        <v>144726.17075854898</v>
      </c>
      <c r="H55" s="154">
        <f>972.909980967513*1000</f>
        <v>972909.98096751294</v>
      </c>
      <c r="I55" s="154">
        <f>164.532648358972*1000</f>
        <v>164532.64835897202</v>
      </c>
      <c r="J55" s="154">
        <f>148.934084792139*1000</f>
        <v>148934.08479213901</v>
      </c>
      <c r="K55" s="154">
        <f>94.9213457624251*1000</f>
        <v>94921.345762425102</v>
      </c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</row>
    <row r="56" spans="1:31" ht="14.25" customHeight="1" x14ac:dyDescent="0.2">
      <c r="A56" s="67"/>
      <c r="B56" s="165" t="s">
        <v>43</v>
      </c>
      <c r="C56" s="180">
        <v>99560</v>
      </c>
      <c r="D56" s="180">
        <v>79892</v>
      </c>
      <c r="E56" s="180">
        <v>58300</v>
      </c>
      <c r="F56" s="181"/>
      <c r="G56" s="154">
        <f>84.2967992851663*1000</f>
        <v>84296.7992851663</v>
      </c>
      <c r="H56" s="154">
        <f>74.7012219529146*1000</f>
        <v>74701.221952914595</v>
      </c>
      <c r="I56" s="154">
        <f>19.0853216847427*1000</f>
        <v>19085.321684742699</v>
      </c>
      <c r="J56" s="154">
        <f>8.87355670473082*1000</f>
        <v>8873.5567047308195</v>
      </c>
      <c r="K56" s="154">
        <f>1.65027140566958*1000</f>
        <v>1650.27140566958</v>
      </c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</row>
    <row r="57" spans="1:31" ht="14.25" customHeight="1" x14ac:dyDescent="0.2">
      <c r="A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</row>
    <row r="58" spans="1:31" ht="14.25" customHeight="1" x14ac:dyDescent="0.2">
      <c r="A58" s="67"/>
      <c r="B58" s="6" t="s">
        <v>152</v>
      </c>
      <c r="C58" s="180">
        <f>('Financial statements'!C65+'Financial statements'!C75+'Financial statements'!C77)</f>
        <v>2104780</v>
      </c>
      <c r="D58" s="180">
        <f>('Financial statements'!D65+'Financial statements'!D75+'Financial statements'!D77)</f>
        <v>1431544</v>
      </c>
      <c r="E58" s="180">
        <f>('Financial statements'!E65+'Financial statements'!E75+'Financial statements'!E77)</f>
        <v>1917497</v>
      </c>
      <c r="G58" s="181">
        <f>E58-Forecast!G55</f>
        <v>1772770.8292414511</v>
      </c>
      <c r="H58" s="181">
        <f t="shared" ref="H58:K58" si="27">G58-H55</f>
        <v>799860.84827393817</v>
      </c>
      <c r="I58" s="181">
        <f t="shared" si="27"/>
        <v>635328.19991496613</v>
      </c>
      <c r="J58" s="181">
        <f t="shared" si="27"/>
        <v>486394.11512282712</v>
      </c>
      <c r="K58" s="181">
        <f t="shared" si="27"/>
        <v>391472.76936040202</v>
      </c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</row>
    <row r="59" spans="1:31" ht="14.25" customHeight="1" x14ac:dyDescent="0.2">
      <c r="A59" s="67"/>
      <c r="B59" s="189" t="s">
        <v>153</v>
      </c>
      <c r="C59" s="190"/>
      <c r="D59" s="190"/>
      <c r="E59" s="190"/>
      <c r="F59" s="190"/>
      <c r="G59" s="190"/>
      <c r="H59" s="190"/>
      <c r="I59" s="190"/>
      <c r="J59" s="190"/>
      <c r="K59" s="190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</row>
    <row r="60" spans="1:31" ht="14.25" customHeight="1" x14ac:dyDescent="0.2">
      <c r="A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</row>
    <row r="61" spans="1:31" ht="14.25" customHeight="1" x14ac:dyDescent="0.2">
      <c r="A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</row>
    <row r="62" spans="1:31" ht="14.25" customHeight="1" x14ac:dyDescent="0.2">
      <c r="A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</row>
    <row r="63" spans="1:31" ht="14.25" customHeight="1" x14ac:dyDescent="0.2">
      <c r="A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</row>
    <row r="64" spans="1:31" ht="14.25" customHeight="1" x14ac:dyDescent="0.2">
      <c r="A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</row>
    <row r="65" spans="1:31" ht="14.25" customHeight="1" x14ac:dyDescent="0.2">
      <c r="A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</row>
    <row r="66" spans="1:31" ht="14.25" customHeight="1" x14ac:dyDescent="0.2">
      <c r="A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</row>
    <row r="67" spans="1:31" ht="14.25" customHeight="1" x14ac:dyDescent="0.2">
      <c r="A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</row>
    <row r="68" spans="1:31" ht="14.25" customHeight="1" x14ac:dyDescent="0.2">
      <c r="A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</row>
    <row r="69" spans="1:31" ht="14.25" customHeight="1" x14ac:dyDescent="0.2">
      <c r="A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</row>
    <row r="70" spans="1:31" ht="14.25" customHeight="1" x14ac:dyDescent="0.2">
      <c r="A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</row>
    <row r="71" spans="1:31" ht="14.25" customHeight="1" x14ac:dyDescent="0.2">
      <c r="A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</row>
    <row r="72" spans="1:31" ht="14.25" customHeight="1" x14ac:dyDescent="0.2">
      <c r="A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</row>
    <row r="73" spans="1:31" ht="14.25" customHeight="1" x14ac:dyDescent="0.2">
      <c r="A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</row>
    <row r="74" spans="1:31" ht="14.25" customHeight="1" x14ac:dyDescent="0.2">
      <c r="A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</row>
    <row r="75" spans="1:31" ht="14.25" customHeight="1" x14ac:dyDescent="0.2">
      <c r="A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</row>
    <row r="76" spans="1:31" ht="14.25" customHeight="1" x14ac:dyDescent="0.2">
      <c r="A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</row>
    <row r="77" spans="1:31" ht="14.25" customHeight="1" x14ac:dyDescent="0.2">
      <c r="A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</row>
    <row r="78" spans="1:31" ht="14.25" customHeight="1" x14ac:dyDescent="0.2">
      <c r="A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</row>
    <row r="79" spans="1:31" ht="14.25" customHeight="1" x14ac:dyDescent="0.2">
      <c r="A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</row>
    <row r="80" spans="1:31" ht="14.25" customHeight="1" x14ac:dyDescent="0.2">
      <c r="A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</row>
    <row r="81" spans="1:31" ht="14.25" customHeight="1" x14ac:dyDescent="0.2">
      <c r="A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</row>
    <row r="82" spans="1:31" ht="14.25" customHeight="1" x14ac:dyDescent="0.2">
      <c r="A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</row>
    <row r="83" spans="1:31" ht="14.25" customHeight="1" x14ac:dyDescent="0.2">
      <c r="A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</row>
    <row r="84" spans="1:31" ht="14.25" customHeight="1" x14ac:dyDescent="0.2">
      <c r="A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</row>
    <row r="85" spans="1:31" ht="14.25" customHeight="1" x14ac:dyDescent="0.2">
      <c r="A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</row>
    <row r="86" spans="1:31" ht="14.25" customHeight="1" x14ac:dyDescent="0.2">
      <c r="A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</row>
    <row r="87" spans="1:31" ht="14.25" customHeight="1" x14ac:dyDescent="0.2">
      <c r="A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</row>
    <row r="88" spans="1:31" ht="14.25" customHeight="1" x14ac:dyDescent="0.2">
      <c r="A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</row>
    <row r="89" spans="1:31" ht="14.25" customHeight="1" x14ac:dyDescent="0.2">
      <c r="A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</row>
    <row r="90" spans="1:31" ht="14.25" customHeight="1" x14ac:dyDescent="0.2">
      <c r="A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</row>
    <row r="91" spans="1:31" ht="14.25" customHeight="1" x14ac:dyDescent="0.2">
      <c r="A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</row>
    <row r="92" spans="1:31" ht="14.25" customHeight="1" x14ac:dyDescent="0.2">
      <c r="A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</row>
    <row r="93" spans="1:31" ht="14.25" customHeight="1" x14ac:dyDescent="0.2">
      <c r="A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</row>
    <row r="94" spans="1:31" ht="14.25" customHeight="1" x14ac:dyDescent="0.2">
      <c r="A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</row>
    <row r="95" spans="1:31" ht="14.25" customHeight="1" x14ac:dyDescent="0.2">
      <c r="A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</row>
    <row r="96" spans="1:31" ht="14.25" customHeight="1" x14ac:dyDescent="0.2">
      <c r="A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</row>
    <row r="97" spans="1:31" ht="14.25" customHeight="1" x14ac:dyDescent="0.2">
      <c r="A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</row>
    <row r="98" spans="1:31" ht="14.25" customHeight="1" x14ac:dyDescent="0.2">
      <c r="A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</row>
    <row r="99" spans="1:31" ht="14.25" customHeight="1" x14ac:dyDescent="0.2">
      <c r="A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</row>
    <row r="100" spans="1:31" ht="14.25" customHeight="1" x14ac:dyDescent="0.2">
      <c r="A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</row>
    <row r="101" spans="1:31" ht="14.25" customHeight="1" x14ac:dyDescent="0.2">
      <c r="A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</row>
    <row r="102" spans="1:31" ht="14.25" customHeight="1" x14ac:dyDescent="0.2">
      <c r="A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</row>
    <row r="103" spans="1:31" ht="14.25" customHeight="1" x14ac:dyDescent="0.2">
      <c r="A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</row>
    <row r="104" spans="1:31" ht="14.25" customHeight="1" x14ac:dyDescent="0.2">
      <c r="A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</row>
    <row r="105" spans="1:31" ht="14.25" customHeight="1" x14ac:dyDescent="0.2">
      <c r="A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</row>
    <row r="106" spans="1:31" ht="14.25" customHeight="1" x14ac:dyDescent="0.2">
      <c r="A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</row>
    <row r="107" spans="1:31" ht="14.25" customHeight="1" x14ac:dyDescent="0.2">
      <c r="A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</row>
    <row r="108" spans="1:31" ht="14.25" customHeight="1" x14ac:dyDescent="0.2">
      <c r="A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</row>
    <row r="109" spans="1:31" ht="14.25" customHeight="1" x14ac:dyDescent="0.2">
      <c r="A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</row>
    <row r="110" spans="1:31" ht="14.25" customHeight="1" x14ac:dyDescent="0.2">
      <c r="A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</row>
    <row r="111" spans="1:31" ht="14.25" customHeight="1" x14ac:dyDescent="0.2">
      <c r="A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</row>
    <row r="112" spans="1:31" ht="14.25" customHeight="1" x14ac:dyDescent="0.2">
      <c r="A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</row>
    <row r="113" spans="1:31" ht="14.25" customHeight="1" x14ac:dyDescent="0.2">
      <c r="A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</row>
    <row r="114" spans="1:31" ht="14.25" customHeight="1" x14ac:dyDescent="0.2">
      <c r="A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</row>
    <row r="115" spans="1:31" ht="14.25" customHeight="1" x14ac:dyDescent="0.2">
      <c r="A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</row>
    <row r="116" spans="1:31" ht="14.25" customHeight="1" x14ac:dyDescent="0.2">
      <c r="A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</row>
    <row r="117" spans="1:31" ht="14.25" customHeight="1" x14ac:dyDescent="0.2">
      <c r="A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</row>
    <row r="118" spans="1:31" ht="14.25" customHeight="1" x14ac:dyDescent="0.2">
      <c r="A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</row>
    <row r="119" spans="1:31" ht="14.25" customHeight="1" x14ac:dyDescent="0.2">
      <c r="A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</row>
    <row r="120" spans="1:31" ht="14.25" customHeight="1" x14ac:dyDescent="0.2">
      <c r="A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</row>
    <row r="121" spans="1:31" ht="14.25" customHeight="1" x14ac:dyDescent="0.2">
      <c r="A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</row>
    <row r="122" spans="1:31" ht="14.25" customHeight="1" x14ac:dyDescent="0.2">
      <c r="A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</row>
    <row r="123" spans="1:31" ht="14.25" customHeight="1" x14ac:dyDescent="0.2">
      <c r="A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</row>
    <row r="124" spans="1:31" ht="14.25" customHeight="1" x14ac:dyDescent="0.2">
      <c r="A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</row>
    <row r="125" spans="1:31" ht="14.25" customHeight="1" x14ac:dyDescent="0.2">
      <c r="A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</row>
    <row r="126" spans="1:31" ht="14.25" customHeight="1" x14ac:dyDescent="0.2">
      <c r="A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</row>
    <row r="127" spans="1:31" ht="14.25" customHeight="1" x14ac:dyDescent="0.2">
      <c r="A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</row>
    <row r="128" spans="1:31" ht="14.25" customHeight="1" x14ac:dyDescent="0.2">
      <c r="A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</row>
    <row r="129" spans="1:31" ht="14.25" customHeight="1" x14ac:dyDescent="0.2">
      <c r="A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</row>
    <row r="130" spans="1:31" ht="14.25" customHeight="1" x14ac:dyDescent="0.2">
      <c r="A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</row>
    <row r="131" spans="1:31" ht="14.25" customHeight="1" x14ac:dyDescent="0.2">
      <c r="A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</row>
    <row r="132" spans="1:31" ht="14.25" customHeight="1" x14ac:dyDescent="0.2">
      <c r="A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</row>
    <row r="133" spans="1:31" ht="14.25" customHeight="1" x14ac:dyDescent="0.2">
      <c r="A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</row>
    <row r="134" spans="1:31" ht="14.25" customHeight="1" x14ac:dyDescent="0.2">
      <c r="A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</row>
    <row r="135" spans="1:31" ht="14.25" customHeight="1" x14ac:dyDescent="0.2">
      <c r="A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</row>
    <row r="136" spans="1:31" ht="14.25" customHeight="1" x14ac:dyDescent="0.2">
      <c r="A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</row>
    <row r="137" spans="1:31" ht="14.25" customHeight="1" x14ac:dyDescent="0.2">
      <c r="A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</row>
    <row r="138" spans="1:31" ht="14.25" customHeight="1" x14ac:dyDescent="0.2">
      <c r="A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</row>
    <row r="139" spans="1:31" ht="14.25" customHeight="1" x14ac:dyDescent="0.2">
      <c r="A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</row>
    <row r="140" spans="1:31" ht="14.25" customHeight="1" x14ac:dyDescent="0.2">
      <c r="A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</row>
    <row r="141" spans="1:31" ht="14.25" customHeight="1" x14ac:dyDescent="0.2">
      <c r="A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</row>
    <row r="142" spans="1:31" ht="14.25" customHeight="1" x14ac:dyDescent="0.2">
      <c r="A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</row>
    <row r="143" spans="1:31" ht="14.25" customHeight="1" x14ac:dyDescent="0.2">
      <c r="A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</row>
    <row r="144" spans="1:31" ht="14.25" customHeight="1" x14ac:dyDescent="0.2">
      <c r="A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</row>
    <row r="145" spans="1:31" ht="14.25" customHeight="1" x14ac:dyDescent="0.2">
      <c r="A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</row>
    <row r="146" spans="1:31" ht="14.25" customHeight="1" x14ac:dyDescent="0.2">
      <c r="A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</row>
    <row r="147" spans="1:31" ht="14.25" customHeight="1" x14ac:dyDescent="0.2">
      <c r="A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</row>
    <row r="148" spans="1:31" ht="14.25" customHeight="1" x14ac:dyDescent="0.2">
      <c r="A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</row>
    <row r="149" spans="1:31" ht="14.25" customHeight="1" x14ac:dyDescent="0.2">
      <c r="A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</row>
    <row r="150" spans="1:31" ht="14.25" customHeight="1" x14ac:dyDescent="0.2">
      <c r="A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</row>
    <row r="151" spans="1:31" ht="14.25" customHeight="1" x14ac:dyDescent="0.2">
      <c r="A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</row>
    <row r="152" spans="1:31" ht="14.25" customHeight="1" x14ac:dyDescent="0.2">
      <c r="A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</row>
    <row r="153" spans="1:31" ht="14.25" customHeight="1" x14ac:dyDescent="0.2">
      <c r="A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</row>
    <row r="154" spans="1:31" ht="14.25" customHeight="1" x14ac:dyDescent="0.2">
      <c r="A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</row>
    <row r="155" spans="1:31" ht="14.25" customHeight="1" x14ac:dyDescent="0.2">
      <c r="A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</row>
    <row r="156" spans="1:31" ht="14.25" customHeight="1" x14ac:dyDescent="0.2">
      <c r="A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</row>
    <row r="157" spans="1:31" ht="14.25" customHeight="1" x14ac:dyDescent="0.2">
      <c r="A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</row>
    <row r="158" spans="1:31" ht="14.25" customHeight="1" x14ac:dyDescent="0.2">
      <c r="A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</row>
    <row r="159" spans="1:31" ht="14.25" customHeight="1" x14ac:dyDescent="0.2">
      <c r="A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</row>
    <row r="160" spans="1:31" ht="14.25" customHeight="1" x14ac:dyDescent="0.2">
      <c r="A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</row>
    <row r="161" spans="1:31" ht="14.25" customHeight="1" x14ac:dyDescent="0.2">
      <c r="A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</row>
    <row r="162" spans="1:31" ht="14.25" customHeight="1" x14ac:dyDescent="0.2">
      <c r="A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</row>
    <row r="163" spans="1:31" ht="14.25" customHeight="1" x14ac:dyDescent="0.2">
      <c r="A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</row>
    <row r="164" spans="1:31" ht="14.25" customHeight="1" x14ac:dyDescent="0.2">
      <c r="A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</row>
    <row r="165" spans="1:31" ht="14.25" customHeight="1" x14ac:dyDescent="0.2">
      <c r="A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</row>
    <row r="166" spans="1:31" ht="14.25" customHeight="1" x14ac:dyDescent="0.2">
      <c r="A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</row>
    <row r="167" spans="1:31" ht="14.25" customHeight="1" x14ac:dyDescent="0.2">
      <c r="A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</row>
    <row r="168" spans="1:31" ht="14.25" customHeight="1" x14ac:dyDescent="0.2">
      <c r="A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</row>
    <row r="169" spans="1:31" ht="14.25" customHeight="1" x14ac:dyDescent="0.2">
      <c r="A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</row>
    <row r="170" spans="1:31" ht="14.25" customHeight="1" x14ac:dyDescent="0.2">
      <c r="A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</row>
    <row r="171" spans="1:31" ht="14.25" customHeight="1" x14ac:dyDescent="0.2">
      <c r="A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</row>
    <row r="172" spans="1:31" ht="14.25" customHeight="1" x14ac:dyDescent="0.2">
      <c r="A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</row>
    <row r="173" spans="1:31" ht="14.25" customHeight="1" x14ac:dyDescent="0.2">
      <c r="A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</row>
    <row r="174" spans="1:31" ht="14.25" customHeight="1" x14ac:dyDescent="0.2">
      <c r="A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</row>
    <row r="175" spans="1:31" ht="14.25" customHeight="1" x14ac:dyDescent="0.2">
      <c r="A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</row>
    <row r="176" spans="1:31" ht="14.25" customHeight="1" x14ac:dyDescent="0.2">
      <c r="A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</row>
    <row r="177" spans="1:31" ht="14.25" customHeight="1" x14ac:dyDescent="0.2">
      <c r="A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</row>
    <row r="178" spans="1:31" ht="14.25" customHeight="1" x14ac:dyDescent="0.2">
      <c r="A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</row>
    <row r="179" spans="1:31" ht="14.25" customHeight="1" x14ac:dyDescent="0.2">
      <c r="A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</row>
    <row r="180" spans="1:31" ht="14.25" customHeight="1" x14ac:dyDescent="0.2">
      <c r="A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</row>
    <row r="181" spans="1:31" ht="14.25" customHeight="1" x14ac:dyDescent="0.2">
      <c r="A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</row>
    <row r="182" spans="1:31" ht="14.25" customHeight="1" x14ac:dyDescent="0.2">
      <c r="A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</row>
    <row r="183" spans="1:31" ht="14.25" customHeight="1" x14ac:dyDescent="0.2">
      <c r="A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</row>
    <row r="184" spans="1:31" ht="14.25" customHeight="1" x14ac:dyDescent="0.2">
      <c r="A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</row>
    <row r="185" spans="1:31" ht="14.25" customHeight="1" x14ac:dyDescent="0.2">
      <c r="A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</row>
    <row r="186" spans="1:31" ht="14.25" customHeight="1" x14ac:dyDescent="0.2">
      <c r="A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</row>
    <row r="187" spans="1:31" ht="14.25" customHeight="1" x14ac:dyDescent="0.2">
      <c r="A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</row>
    <row r="188" spans="1:31" ht="14.25" customHeight="1" x14ac:dyDescent="0.2">
      <c r="A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</row>
    <row r="189" spans="1:31" ht="14.25" customHeight="1" x14ac:dyDescent="0.2">
      <c r="A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</row>
    <row r="190" spans="1:31" ht="14.25" customHeight="1" x14ac:dyDescent="0.2">
      <c r="A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</row>
    <row r="191" spans="1:31" ht="14.25" customHeight="1" x14ac:dyDescent="0.2">
      <c r="A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</row>
    <row r="192" spans="1:31" ht="14.25" customHeight="1" x14ac:dyDescent="0.2">
      <c r="A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</row>
    <row r="193" spans="1:31" ht="14.25" customHeight="1" x14ac:dyDescent="0.2">
      <c r="A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</row>
    <row r="194" spans="1:31" ht="14.25" customHeight="1" x14ac:dyDescent="0.2">
      <c r="A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</row>
    <row r="195" spans="1:31" ht="14.25" customHeight="1" x14ac:dyDescent="0.2">
      <c r="A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</row>
    <row r="196" spans="1:31" ht="14.25" customHeight="1" x14ac:dyDescent="0.2">
      <c r="A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</row>
    <row r="197" spans="1:31" ht="14.25" customHeight="1" x14ac:dyDescent="0.2">
      <c r="A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</row>
    <row r="198" spans="1:31" ht="14.25" customHeight="1" x14ac:dyDescent="0.2">
      <c r="A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</row>
    <row r="199" spans="1:31" ht="14.25" customHeight="1" x14ac:dyDescent="0.2">
      <c r="A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</row>
    <row r="200" spans="1:31" ht="14.25" customHeight="1" x14ac:dyDescent="0.2">
      <c r="A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</row>
    <row r="201" spans="1:31" ht="14.25" customHeight="1" x14ac:dyDescent="0.2">
      <c r="A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</row>
    <row r="202" spans="1:31" ht="14.25" customHeight="1" x14ac:dyDescent="0.2">
      <c r="A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</row>
    <row r="203" spans="1:31" ht="14.25" customHeight="1" x14ac:dyDescent="0.2">
      <c r="A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</row>
    <row r="204" spans="1:31" ht="14.25" customHeight="1" x14ac:dyDescent="0.2">
      <c r="A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</row>
    <row r="205" spans="1:31" ht="14.25" customHeight="1" x14ac:dyDescent="0.2">
      <c r="A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</row>
    <row r="206" spans="1:31" ht="14.25" customHeight="1" x14ac:dyDescent="0.2">
      <c r="A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</row>
    <row r="207" spans="1:31" ht="14.25" customHeight="1" x14ac:dyDescent="0.2">
      <c r="A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</row>
    <row r="208" spans="1:31" ht="14.25" customHeight="1" x14ac:dyDescent="0.2">
      <c r="A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</row>
    <row r="209" spans="1:31" ht="14.25" customHeight="1" x14ac:dyDescent="0.2">
      <c r="A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</row>
    <row r="210" spans="1:31" ht="14.25" customHeight="1" x14ac:dyDescent="0.2">
      <c r="A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</row>
    <row r="211" spans="1:31" ht="14.25" customHeight="1" x14ac:dyDescent="0.2">
      <c r="A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</row>
    <row r="212" spans="1:31" ht="14.25" customHeight="1" x14ac:dyDescent="0.2">
      <c r="A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</row>
    <row r="213" spans="1:31" ht="14.25" customHeight="1" x14ac:dyDescent="0.2">
      <c r="A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</row>
    <row r="214" spans="1:31" ht="14.25" customHeight="1" x14ac:dyDescent="0.2">
      <c r="A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</row>
    <row r="215" spans="1:31" ht="14.25" customHeight="1" x14ac:dyDescent="0.2">
      <c r="A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</row>
    <row r="216" spans="1:31" ht="14.25" customHeight="1" x14ac:dyDescent="0.2">
      <c r="A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</row>
    <row r="217" spans="1:31" ht="14.25" customHeight="1" x14ac:dyDescent="0.2">
      <c r="A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</row>
    <row r="218" spans="1:31" ht="14.25" customHeight="1" x14ac:dyDescent="0.2">
      <c r="A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</row>
    <row r="219" spans="1:31" ht="14.25" customHeight="1" x14ac:dyDescent="0.2">
      <c r="A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</row>
    <row r="220" spans="1:31" ht="14.25" customHeight="1" x14ac:dyDescent="0.2">
      <c r="A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</row>
    <row r="221" spans="1:31" ht="14.25" customHeight="1" x14ac:dyDescent="0.2">
      <c r="A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</row>
    <row r="222" spans="1:31" ht="14.25" customHeight="1" x14ac:dyDescent="0.2">
      <c r="A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</row>
    <row r="223" spans="1:31" ht="14.25" customHeight="1" x14ac:dyDescent="0.2">
      <c r="A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</row>
    <row r="224" spans="1:31" ht="14.25" customHeight="1" x14ac:dyDescent="0.2">
      <c r="A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</row>
    <row r="225" spans="1:31" ht="14.25" customHeight="1" x14ac:dyDescent="0.2">
      <c r="A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</row>
    <row r="226" spans="1:31" ht="14.25" customHeight="1" x14ac:dyDescent="0.2">
      <c r="A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</row>
    <row r="227" spans="1:31" ht="14.25" customHeight="1" x14ac:dyDescent="0.2">
      <c r="A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</row>
    <row r="228" spans="1:31" ht="14.25" customHeight="1" x14ac:dyDescent="0.2">
      <c r="A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</row>
    <row r="229" spans="1:31" ht="14.25" customHeight="1" x14ac:dyDescent="0.2">
      <c r="A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</row>
    <row r="230" spans="1:31" ht="14.25" customHeight="1" x14ac:dyDescent="0.2">
      <c r="A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</row>
    <row r="231" spans="1:31" ht="14.25" customHeight="1" x14ac:dyDescent="0.2">
      <c r="A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</row>
    <row r="232" spans="1:31" ht="14.25" customHeight="1" x14ac:dyDescent="0.2">
      <c r="A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</row>
    <row r="233" spans="1:31" ht="14.25" customHeight="1" x14ac:dyDescent="0.2">
      <c r="A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</row>
    <row r="234" spans="1:31" ht="14.25" customHeight="1" x14ac:dyDescent="0.2">
      <c r="A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</row>
    <row r="235" spans="1:31" ht="14.25" customHeight="1" x14ac:dyDescent="0.2">
      <c r="A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</row>
    <row r="236" spans="1:31" ht="14.25" customHeight="1" x14ac:dyDescent="0.2">
      <c r="A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</row>
    <row r="237" spans="1:31" ht="14.25" customHeight="1" x14ac:dyDescent="0.2">
      <c r="A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</row>
    <row r="238" spans="1:31" ht="14.25" customHeight="1" x14ac:dyDescent="0.2">
      <c r="A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</row>
    <row r="239" spans="1:31" ht="14.25" customHeight="1" x14ac:dyDescent="0.2">
      <c r="A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</row>
    <row r="240" spans="1:31" ht="14.25" customHeight="1" x14ac:dyDescent="0.2">
      <c r="A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</row>
    <row r="241" spans="1:31" ht="14.25" customHeight="1" x14ac:dyDescent="0.2">
      <c r="A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</row>
    <row r="242" spans="1:31" ht="14.25" customHeight="1" x14ac:dyDescent="0.2">
      <c r="A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</row>
    <row r="243" spans="1:31" ht="14.25" customHeight="1" x14ac:dyDescent="0.2">
      <c r="A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</row>
    <row r="244" spans="1:31" ht="14.25" customHeight="1" x14ac:dyDescent="0.2">
      <c r="A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</row>
    <row r="245" spans="1:31" ht="14.25" customHeight="1" x14ac:dyDescent="0.2">
      <c r="A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</row>
    <row r="246" spans="1:31" ht="14.25" customHeight="1" x14ac:dyDescent="0.2">
      <c r="A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</row>
    <row r="247" spans="1:31" ht="14.25" customHeight="1" x14ac:dyDescent="0.2">
      <c r="A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</row>
    <row r="248" spans="1:31" ht="14.25" customHeight="1" x14ac:dyDescent="0.2">
      <c r="A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</row>
    <row r="249" spans="1:31" ht="14.25" customHeight="1" x14ac:dyDescent="0.2">
      <c r="A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</row>
    <row r="250" spans="1:31" ht="14.25" customHeight="1" x14ac:dyDescent="0.2">
      <c r="A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</row>
    <row r="251" spans="1:31" ht="14.25" customHeight="1" x14ac:dyDescent="0.2">
      <c r="A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</row>
    <row r="252" spans="1:31" ht="14.25" customHeight="1" x14ac:dyDescent="0.2">
      <c r="A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</row>
    <row r="253" spans="1:31" ht="14.25" customHeight="1" x14ac:dyDescent="0.2">
      <c r="A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</row>
    <row r="254" spans="1:31" ht="14.25" customHeight="1" x14ac:dyDescent="0.2">
      <c r="A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</row>
    <row r="255" spans="1:31" ht="14.25" customHeight="1" x14ac:dyDescent="0.2">
      <c r="A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</row>
    <row r="256" spans="1:31" ht="14.25" customHeight="1" x14ac:dyDescent="0.2">
      <c r="A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</row>
    <row r="257" spans="1:31" ht="14.25" customHeight="1" x14ac:dyDescent="0.2">
      <c r="A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</row>
    <row r="258" spans="1:31" ht="14.25" customHeight="1" x14ac:dyDescent="0.2">
      <c r="A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</row>
    <row r="259" spans="1:31" ht="14.25" customHeight="1" x14ac:dyDescent="0.2">
      <c r="A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</row>
    <row r="260" spans="1:31" ht="14.25" customHeight="1" x14ac:dyDescent="0.2">
      <c r="A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</row>
    <row r="261" spans="1:31" ht="14.25" customHeight="1" x14ac:dyDescent="0.2">
      <c r="A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</row>
    <row r="262" spans="1:31" ht="14.25" customHeight="1" x14ac:dyDescent="0.2">
      <c r="A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</row>
    <row r="263" spans="1:31" ht="14.25" customHeight="1" x14ac:dyDescent="0.2">
      <c r="A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</row>
    <row r="264" spans="1:31" ht="14.25" customHeight="1" x14ac:dyDescent="0.2">
      <c r="A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</row>
    <row r="265" spans="1:31" ht="14.25" customHeight="1" x14ac:dyDescent="0.2">
      <c r="A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</row>
    <row r="266" spans="1:31" ht="14.25" customHeight="1" x14ac:dyDescent="0.2">
      <c r="A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</row>
    <row r="267" spans="1:31" ht="14.25" customHeight="1" x14ac:dyDescent="0.2">
      <c r="A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</row>
    <row r="268" spans="1:31" ht="14.25" customHeight="1" x14ac:dyDescent="0.2">
      <c r="A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</row>
    <row r="269" spans="1:31" ht="14.25" customHeight="1" x14ac:dyDescent="0.2">
      <c r="A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</row>
    <row r="270" spans="1:31" ht="14.25" customHeight="1" x14ac:dyDescent="0.2">
      <c r="A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</row>
    <row r="271" spans="1:31" ht="14.25" customHeight="1" x14ac:dyDescent="0.2">
      <c r="A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</row>
    <row r="272" spans="1:31" ht="14.25" customHeight="1" x14ac:dyDescent="0.2">
      <c r="A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</row>
    <row r="273" spans="1:31" ht="14.25" customHeight="1" x14ac:dyDescent="0.2">
      <c r="A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</row>
    <row r="274" spans="1:31" ht="14.25" customHeight="1" x14ac:dyDescent="0.2">
      <c r="A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</row>
    <row r="275" spans="1:31" ht="14.25" customHeight="1" x14ac:dyDescent="0.2">
      <c r="A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</row>
    <row r="276" spans="1:31" ht="14.25" customHeight="1" x14ac:dyDescent="0.2">
      <c r="A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</row>
    <row r="277" spans="1:31" ht="14.25" customHeight="1" x14ac:dyDescent="0.2">
      <c r="A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</row>
    <row r="278" spans="1:31" ht="14.25" customHeight="1" x14ac:dyDescent="0.2">
      <c r="A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</row>
    <row r="279" spans="1:31" ht="14.25" customHeight="1" x14ac:dyDescent="0.2">
      <c r="A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</row>
    <row r="280" spans="1:31" ht="14.25" customHeight="1" x14ac:dyDescent="0.2">
      <c r="A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</row>
    <row r="281" spans="1:31" ht="14.25" customHeight="1" x14ac:dyDescent="0.2">
      <c r="A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</row>
    <row r="282" spans="1:31" ht="14.25" customHeight="1" x14ac:dyDescent="0.2">
      <c r="A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</row>
    <row r="283" spans="1:31" ht="14.25" customHeight="1" x14ac:dyDescent="0.2">
      <c r="A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</row>
    <row r="284" spans="1:31" ht="14.25" customHeight="1" x14ac:dyDescent="0.2">
      <c r="A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</row>
    <row r="285" spans="1:31" ht="14.25" customHeight="1" x14ac:dyDescent="0.2">
      <c r="A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</row>
    <row r="286" spans="1:31" ht="14.25" customHeight="1" x14ac:dyDescent="0.2">
      <c r="A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</row>
    <row r="287" spans="1:31" ht="14.25" customHeight="1" x14ac:dyDescent="0.2">
      <c r="A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</row>
    <row r="288" spans="1:31" ht="14.25" customHeight="1" x14ac:dyDescent="0.2">
      <c r="A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</row>
    <row r="289" spans="1:31" ht="14.25" customHeight="1" x14ac:dyDescent="0.2">
      <c r="A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</row>
    <row r="290" spans="1:31" ht="14.25" customHeight="1" x14ac:dyDescent="0.2">
      <c r="A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</row>
    <row r="291" spans="1:31" ht="14.25" customHeight="1" x14ac:dyDescent="0.2">
      <c r="A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</row>
    <row r="292" spans="1:31" ht="14.25" customHeight="1" x14ac:dyDescent="0.2">
      <c r="A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</row>
    <row r="293" spans="1:31" ht="14.25" customHeight="1" x14ac:dyDescent="0.2">
      <c r="A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</row>
    <row r="294" spans="1:31" ht="14.25" customHeight="1" x14ac:dyDescent="0.2">
      <c r="A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</row>
    <row r="295" spans="1:31" ht="14.25" customHeight="1" x14ac:dyDescent="0.2">
      <c r="A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</row>
    <row r="296" spans="1:31" ht="14.25" customHeight="1" x14ac:dyDescent="0.2">
      <c r="A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</row>
    <row r="297" spans="1:31" ht="14.25" customHeight="1" x14ac:dyDescent="0.2">
      <c r="A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</row>
    <row r="298" spans="1:31" ht="14.25" customHeight="1" x14ac:dyDescent="0.2">
      <c r="A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</row>
    <row r="299" spans="1:31" ht="14.25" customHeight="1" x14ac:dyDescent="0.2">
      <c r="A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</row>
    <row r="300" spans="1:31" ht="14.25" customHeight="1" x14ac:dyDescent="0.2">
      <c r="A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</row>
    <row r="301" spans="1:31" ht="14.25" customHeight="1" x14ac:dyDescent="0.2">
      <c r="A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</row>
    <row r="302" spans="1:31" ht="14.25" customHeight="1" x14ac:dyDescent="0.2">
      <c r="A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</row>
    <row r="303" spans="1:31" ht="14.25" customHeight="1" x14ac:dyDescent="0.2">
      <c r="A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</row>
    <row r="304" spans="1:31" ht="14.25" customHeight="1" x14ac:dyDescent="0.2">
      <c r="A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</row>
    <row r="305" spans="1:31" ht="14.25" customHeight="1" x14ac:dyDescent="0.2">
      <c r="A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</row>
    <row r="306" spans="1:31" ht="14.25" customHeight="1" x14ac:dyDescent="0.2">
      <c r="A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</row>
    <row r="307" spans="1:31" ht="14.25" customHeight="1" x14ac:dyDescent="0.2">
      <c r="A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</row>
    <row r="308" spans="1:31" ht="14.25" customHeight="1" x14ac:dyDescent="0.2">
      <c r="A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</row>
    <row r="309" spans="1:31" ht="14.25" customHeight="1" x14ac:dyDescent="0.2">
      <c r="A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</row>
    <row r="310" spans="1:31" ht="14.25" customHeight="1" x14ac:dyDescent="0.2">
      <c r="A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</row>
    <row r="311" spans="1:31" ht="14.25" customHeight="1" x14ac:dyDescent="0.2">
      <c r="A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</row>
    <row r="312" spans="1:31" ht="14.25" customHeight="1" x14ac:dyDescent="0.2">
      <c r="A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</row>
    <row r="313" spans="1:31" ht="14.25" customHeight="1" x14ac:dyDescent="0.2">
      <c r="A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</row>
    <row r="314" spans="1:31" ht="14.25" customHeight="1" x14ac:dyDescent="0.2">
      <c r="A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</row>
    <row r="315" spans="1:31" ht="14.25" customHeight="1" x14ac:dyDescent="0.2">
      <c r="A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</row>
    <row r="316" spans="1:31" ht="14.25" customHeight="1" x14ac:dyDescent="0.2">
      <c r="A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</row>
    <row r="317" spans="1:31" ht="14.25" customHeight="1" x14ac:dyDescent="0.2">
      <c r="A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</row>
    <row r="318" spans="1:31" ht="14.25" customHeight="1" x14ac:dyDescent="0.2">
      <c r="A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</row>
    <row r="319" spans="1:31" ht="14.25" customHeight="1" x14ac:dyDescent="0.2">
      <c r="A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</row>
    <row r="320" spans="1:31" ht="14.25" customHeight="1" x14ac:dyDescent="0.2">
      <c r="A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</row>
    <row r="321" spans="1:31" ht="14.25" customHeight="1" x14ac:dyDescent="0.2">
      <c r="A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</row>
    <row r="322" spans="1:31" ht="14.25" customHeight="1" x14ac:dyDescent="0.2">
      <c r="A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</row>
    <row r="323" spans="1:31" ht="14.25" customHeight="1" x14ac:dyDescent="0.2">
      <c r="A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</row>
    <row r="324" spans="1:31" ht="14.25" customHeight="1" x14ac:dyDescent="0.2">
      <c r="A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</row>
    <row r="325" spans="1:31" ht="14.25" customHeight="1" x14ac:dyDescent="0.2">
      <c r="A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</row>
    <row r="326" spans="1:31" ht="14.25" customHeight="1" x14ac:dyDescent="0.2">
      <c r="A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</row>
    <row r="327" spans="1:31" ht="14.25" customHeight="1" x14ac:dyDescent="0.2">
      <c r="A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</row>
    <row r="328" spans="1:31" ht="14.25" customHeight="1" x14ac:dyDescent="0.2">
      <c r="A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</row>
    <row r="329" spans="1:31" ht="14.25" customHeight="1" x14ac:dyDescent="0.2">
      <c r="A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</row>
    <row r="330" spans="1:31" ht="14.25" customHeight="1" x14ac:dyDescent="0.2">
      <c r="A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</row>
    <row r="331" spans="1:31" ht="14.25" customHeight="1" x14ac:dyDescent="0.2">
      <c r="A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</row>
    <row r="332" spans="1:31" ht="14.25" customHeight="1" x14ac:dyDescent="0.2">
      <c r="A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</row>
    <row r="333" spans="1:31" ht="14.25" customHeight="1" x14ac:dyDescent="0.2">
      <c r="A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</row>
    <row r="334" spans="1:31" ht="14.25" customHeight="1" x14ac:dyDescent="0.2">
      <c r="A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</row>
    <row r="335" spans="1:31" ht="14.25" customHeight="1" x14ac:dyDescent="0.2">
      <c r="A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</row>
    <row r="336" spans="1:31" ht="14.25" customHeight="1" x14ac:dyDescent="0.2">
      <c r="A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</row>
    <row r="337" spans="1:31" ht="14.25" customHeight="1" x14ac:dyDescent="0.2">
      <c r="A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</row>
    <row r="338" spans="1:31" ht="14.25" customHeight="1" x14ac:dyDescent="0.2">
      <c r="A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</row>
    <row r="339" spans="1:31" ht="14.25" customHeight="1" x14ac:dyDescent="0.2">
      <c r="A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</row>
    <row r="340" spans="1:31" ht="14.25" customHeight="1" x14ac:dyDescent="0.2">
      <c r="A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</row>
    <row r="341" spans="1:31" ht="14.25" customHeight="1" x14ac:dyDescent="0.2">
      <c r="A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</row>
    <row r="342" spans="1:31" ht="14.25" customHeight="1" x14ac:dyDescent="0.2">
      <c r="A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</row>
    <row r="343" spans="1:31" ht="14.25" customHeight="1" x14ac:dyDescent="0.2">
      <c r="A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</row>
    <row r="344" spans="1:31" ht="14.25" customHeight="1" x14ac:dyDescent="0.2">
      <c r="A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</row>
    <row r="345" spans="1:31" ht="14.25" customHeight="1" x14ac:dyDescent="0.2">
      <c r="A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</row>
    <row r="346" spans="1:31" ht="14.25" customHeight="1" x14ac:dyDescent="0.2">
      <c r="A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</row>
    <row r="347" spans="1:31" ht="14.25" customHeight="1" x14ac:dyDescent="0.2">
      <c r="A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</row>
    <row r="348" spans="1:31" ht="14.25" customHeight="1" x14ac:dyDescent="0.2">
      <c r="A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</row>
    <row r="349" spans="1:31" ht="14.25" customHeight="1" x14ac:dyDescent="0.2">
      <c r="A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</row>
    <row r="350" spans="1:31" ht="14.25" customHeight="1" x14ac:dyDescent="0.2">
      <c r="A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</row>
    <row r="351" spans="1:31" ht="14.25" customHeight="1" x14ac:dyDescent="0.2">
      <c r="A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</row>
    <row r="352" spans="1:31" ht="14.25" customHeight="1" x14ac:dyDescent="0.2">
      <c r="A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</row>
    <row r="353" spans="1:31" ht="14.25" customHeight="1" x14ac:dyDescent="0.2">
      <c r="A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</row>
    <row r="354" spans="1:31" ht="14.25" customHeight="1" x14ac:dyDescent="0.2">
      <c r="A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</row>
    <row r="355" spans="1:31" ht="14.25" customHeight="1" x14ac:dyDescent="0.2">
      <c r="A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</row>
    <row r="356" spans="1:31" ht="14.25" customHeight="1" x14ac:dyDescent="0.2">
      <c r="A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</row>
    <row r="357" spans="1:31" ht="14.25" customHeight="1" x14ac:dyDescent="0.2">
      <c r="A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</row>
    <row r="358" spans="1:31" ht="14.25" customHeight="1" x14ac:dyDescent="0.2">
      <c r="A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</row>
    <row r="359" spans="1:31" ht="14.25" customHeight="1" x14ac:dyDescent="0.2">
      <c r="A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</row>
    <row r="360" spans="1:31" ht="14.25" customHeight="1" x14ac:dyDescent="0.2">
      <c r="A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</row>
    <row r="361" spans="1:31" ht="14.25" customHeight="1" x14ac:dyDescent="0.2">
      <c r="A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</row>
    <row r="362" spans="1:31" ht="14.25" customHeight="1" x14ac:dyDescent="0.2">
      <c r="A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</row>
    <row r="363" spans="1:31" ht="14.25" customHeight="1" x14ac:dyDescent="0.2">
      <c r="A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</row>
    <row r="364" spans="1:31" ht="14.25" customHeight="1" x14ac:dyDescent="0.2">
      <c r="A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</row>
    <row r="365" spans="1:31" ht="14.25" customHeight="1" x14ac:dyDescent="0.2">
      <c r="A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</row>
    <row r="366" spans="1:31" ht="14.25" customHeight="1" x14ac:dyDescent="0.2">
      <c r="A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</row>
    <row r="367" spans="1:31" ht="14.25" customHeight="1" x14ac:dyDescent="0.2">
      <c r="A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</row>
    <row r="368" spans="1:31" ht="14.25" customHeight="1" x14ac:dyDescent="0.2">
      <c r="A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</row>
    <row r="369" spans="1:31" ht="14.25" customHeight="1" x14ac:dyDescent="0.2">
      <c r="A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</row>
    <row r="370" spans="1:31" ht="14.25" customHeight="1" x14ac:dyDescent="0.2">
      <c r="A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</row>
    <row r="371" spans="1:31" ht="14.25" customHeight="1" x14ac:dyDescent="0.2">
      <c r="A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</row>
    <row r="372" spans="1:31" ht="14.25" customHeight="1" x14ac:dyDescent="0.2">
      <c r="A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</row>
    <row r="373" spans="1:31" ht="14.25" customHeight="1" x14ac:dyDescent="0.2">
      <c r="A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</row>
    <row r="374" spans="1:31" ht="14.25" customHeight="1" x14ac:dyDescent="0.2">
      <c r="A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</row>
    <row r="375" spans="1:31" ht="14.25" customHeight="1" x14ac:dyDescent="0.2">
      <c r="A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</row>
    <row r="376" spans="1:31" ht="14.25" customHeight="1" x14ac:dyDescent="0.2">
      <c r="A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</row>
    <row r="377" spans="1:31" ht="14.25" customHeight="1" x14ac:dyDescent="0.2">
      <c r="A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</row>
    <row r="378" spans="1:31" ht="14.25" customHeight="1" x14ac:dyDescent="0.2">
      <c r="A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</row>
    <row r="379" spans="1:31" ht="14.25" customHeight="1" x14ac:dyDescent="0.2">
      <c r="A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</row>
    <row r="380" spans="1:31" ht="14.25" customHeight="1" x14ac:dyDescent="0.2">
      <c r="A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</row>
    <row r="381" spans="1:31" ht="14.25" customHeight="1" x14ac:dyDescent="0.2">
      <c r="A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</row>
    <row r="382" spans="1:31" ht="14.25" customHeight="1" x14ac:dyDescent="0.2">
      <c r="A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</row>
    <row r="383" spans="1:31" ht="14.25" customHeight="1" x14ac:dyDescent="0.2">
      <c r="A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</row>
    <row r="384" spans="1:31" ht="14.25" customHeight="1" x14ac:dyDescent="0.2">
      <c r="A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</row>
    <row r="385" spans="1:31" ht="14.25" customHeight="1" x14ac:dyDescent="0.2">
      <c r="A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</row>
    <row r="386" spans="1:31" ht="14.25" customHeight="1" x14ac:dyDescent="0.2">
      <c r="A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</row>
    <row r="387" spans="1:31" ht="14.25" customHeight="1" x14ac:dyDescent="0.2">
      <c r="A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</row>
    <row r="388" spans="1:31" ht="14.25" customHeight="1" x14ac:dyDescent="0.2">
      <c r="A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</row>
    <row r="389" spans="1:31" ht="14.25" customHeight="1" x14ac:dyDescent="0.2">
      <c r="A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</row>
    <row r="390" spans="1:31" ht="14.25" customHeight="1" x14ac:dyDescent="0.2">
      <c r="A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</row>
    <row r="391" spans="1:31" ht="14.25" customHeight="1" x14ac:dyDescent="0.2">
      <c r="A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</row>
    <row r="392" spans="1:31" ht="14.25" customHeight="1" x14ac:dyDescent="0.2">
      <c r="A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</row>
    <row r="393" spans="1:31" ht="14.25" customHeight="1" x14ac:dyDescent="0.2">
      <c r="A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</row>
    <row r="394" spans="1:31" ht="14.25" customHeight="1" x14ac:dyDescent="0.2">
      <c r="A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</row>
    <row r="395" spans="1:31" ht="14.25" customHeight="1" x14ac:dyDescent="0.2">
      <c r="A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</row>
    <row r="396" spans="1:31" ht="14.25" customHeight="1" x14ac:dyDescent="0.2">
      <c r="A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</row>
    <row r="397" spans="1:31" ht="14.25" customHeight="1" x14ac:dyDescent="0.2">
      <c r="A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</row>
    <row r="398" spans="1:31" ht="14.25" customHeight="1" x14ac:dyDescent="0.2">
      <c r="A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</row>
    <row r="399" spans="1:31" ht="14.25" customHeight="1" x14ac:dyDescent="0.2">
      <c r="A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</row>
    <row r="400" spans="1:31" ht="14.25" customHeight="1" x14ac:dyDescent="0.2">
      <c r="A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</row>
    <row r="401" spans="1:31" ht="14.25" customHeight="1" x14ac:dyDescent="0.2">
      <c r="A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</row>
    <row r="402" spans="1:31" ht="14.25" customHeight="1" x14ac:dyDescent="0.2">
      <c r="A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</row>
    <row r="403" spans="1:31" ht="14.25" customHeight="1" x14ac:dyDescent="0.2">
      <c r="A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</row>
    <row r="404" spans="1:31" ht="14.25" customHeight="1" x14ac:dyDescent="0.2">
      <c r="A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</row>
    <row r="405" spans="1:31" ht="14.25" customHeight="1" x14ac:dyDescent="0.2">
      <c r="A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</row>
    <row r="406" spans="1:31" ht="14.25" customHeight="1" x14ac:dyDescent="0.2">
      <c r="A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</row>
    <row r="407" spans="1:31" ht="14.25" customHeight="1" x14ac:dyDescent="0.2">
      <c r="A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</row>
    <row r="408" spans="1:31" ht="14.25" customHeight="1" x14ac:dyDescent="0.2">
      <c r="A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</row>
    <row r="409" spans="1:31" ht="14.25" customHeight="1" x14ac:dyDescent="0.2">
      <c r="A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</row>
    <row r="410" spans="1:31" ht="14.25" customHeight="1" x14ac:dyDescent="0.2">
      <c r="A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</row>
    <row r="411" spans="1:31" ht="14.25" customHeight="1" x14ac:dyDescent="0.2">
      <c r="A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</row>
    <row r="412" spans="1:31" ht="14.25" customHeight="1" x14ac:dyDescent="0.2">
      <c r="A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</row>
    <row r="413" spans="1:31" ht="14.25" customHeight="1" x14ac:dyDescent="0.2">
      <c r="A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</row>
    <row r="414" spans="1:31" ht="14.25" customHeight="1" x14ac:dyDescent="0.2">
      <c r="A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</row>
    <row r="415" spans="1:31" ht="14.25" customHeight="1" x14ac:dyDescent="0.2">
      <c r="A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</row>
    <row r="416" spans="1:31" ht="14.25" customHeight="1" x14ac:dyDescent="0.2">
      <c r="A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</row>
    <row r="417" spans="1:31" ht="14.25" customHeight="1" x14ac:dyDescent="0.2">
      <c r="A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</row>
    <row r="418" spans="1:31" ht="14.25" customHeight="1" x14ac:dyDescent="0.2">
      <c r="A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</row>
    <row r="419" spans="1:31" ht="14.25" customHeight="1" x14ac:dyDescent="0.2">
      <c r="A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</row>
    <row r="420" spans="1:31" ht="14.25" customHeight="1" x14ac:dyDescent="0.2">
      <c r="A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</row>
    <row r="421" spans="1:31" ht="14.25" customHeight="1" x14ac:dyDescent="0.2">
      <c r="A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</row>
    <row r="422" spans="1:31" ht="14.25" customHeight="1" x14ac:dyDescent="0.2">
      <c r="A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</row>
    <row r="423" spans="1:31" ht="14.25" customHeight="1" x14ac:dyDescent="0.2">
      <c r="A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</row>
    <row r="424" spans="1:31" ht="14.25" customHeight="1" x14ac:dyDescent="0.2">
      <c r="A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</row>
    <row r="425" spans="1:31" ht="14.25" customHeight="1" x14ac:dyDescent="0.2">
      <c r="A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</row>
    <row r="426" spans="1:31" ht="14.25" customHeight="1" x14ac:dyDescent="0.2">
      <c r="A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</row>
    <row r="427" spans="1:31" ht="14.25" customHeight="1" x14ac:dyDescent="0.2">
      <c r="A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</row>
    <row r="428" spans="1:31" ht="14.25" customHeight="1" x14ac:dyDescent="0.2">
      <c r="A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</row>
    <row r="429" spans="1:31" ht="14.25" customHeight="1" x14ac:dyDescent="0.2">
      <c r="A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</row>
    <row r="430" spans="1:31" ht="14.25" customHeight="1" x14ac:dyDescent="0.2">
      <c r="A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</row>
    <row r="431" spans="1:31" ht="14.25" customHeight="1" x14ac:dyDescent="0.2">
      <c r="A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</row>
    <row r="432" spans="1:31" ht="14.25" customHeight="1" x14ac:dyDescent="0.2">
      <c r="A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</row>
    <row r="433" spans="1:31" ht="14.25" customHeight="1" x14ac:dyDescent="0.2">
      <c r="A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</row>
    <row r="434" spans="1:31" ht="14.25" customHeight="1" x14ac:dyDescent="0.2">
      <c r="A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</row>
    <row r="435" spans="1:31" ht="14.25" customHeight="1" x14ac:dyDescent="0.2">
      <c r="A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</row>
    <row r="436" spans="1:31" ht="14.25" customHeight="1" x14ac:dyDescent="0.2">
      <c r="A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</row>
    <row r="437" spans="1:31" ht="14.25" customHeight="1" x14ac:dyDescent="0.2">
      <c r="A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</row>
    <row r="438" spans="1:31" ht="14.25" customHeight="1" x14ac:dyDescent="0.2">
      <c r="A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</row>
    <row r="439" spans="1:31" ht="14.25" customHeight="1" x14ac:dyDescent="0.2">
      <c r="A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</row>
    <row r="440" spans="1:31" ht="14.25" customHeight="1" x14ac:dyDescent="0.2">
      <c r="A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</row>
    <row r="441" spans="1:31" ht="14.25" customHeight="1" x14ac:dyDescent="0.2">
      <c r="A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</row>
    <row r="442" spans="1:31" ht="14.25" customHeight="1" x14ac:dyDescent="0.2">
      <c r="A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</row>
    <row r="443" spans="1:31" ht="14.25" customHeight="1" x14ac:dyDescent="0.2">
      <c r="A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</row>
    <row r="444" spans="1:31" ht="14.25" customHeight="1" x14ac:dyDescent="0.2">
      <c r="A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</row>
    <row r="445" spans="1:31" ht="14.25" customHeight="1" x14ac:dyDescent="0.2">
      <c r="A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</row>
    <row r="446" spans="1:31" ht="14.25" customHeight="1" x14ac:dyDescent="0.2">
      <c r="A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</row>
    <row r="447" spans="1:31" ht="14.25" customHeight="1" x14ac:dyDescent="0.2">
      <c r="A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</row>
    <row r="448" spans="1:31" ht="14.25" customHeight="1" x14ac:dyDescent="0.2">
      <c r="A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</row>
    <row r="449" spans="1:31" ht="14.25" customHeight="1" x14ac:dyDescent="0.2">
      <c r="A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</row>
    <row r="450" spans="1:31" ht="14.25" customHeight="1" x14ac:dyDescent="0.2">
      <c r="A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</row>
    <row r="451" spans="1:31" ht="14.25" customHeight="1" x14ac:dyDescent="0.2">
      <c r="A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</row>
    <row r="452" spans="1:31" ht="14.25" customHeight="1" x14ac:dyDescent="0.2">
      <c r="A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</row>
    <row r="453" spans="1:31" ht="14.25" customHeight="1" x14ac:dyDescent="0.2">
      <c r="A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</row>
    <row r="454" spans="1:31" ht="14.25" customHeight="1" x14ac:dyDescent="0.2">
      <c r="A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</row>
    <row r="455" spans="1:31" ht="14.25" customHeight="1" x14ac:dyDescent="0.2">
      <c r="A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</row>
    <row r="456" spans="1:31" ht="14.25" customHeight="1" x14ac:dyDescent="0.2">
      <c r="A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</row>
    <row r="457" spans="1:31" ht="14.25" customHeight="1" x14ac:dyDescent="0.2">
      <c r="A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</row>
    <row r="458" spans="1:31" ht="14.25" customHeight="1" x14ac:dyDescent="0.2">
      <c r="A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</row>
    <row r="459" spans="1:31" ht="14.25" customHeight="1" x14ac:dyDescent="0.2">
      <c r="A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</row>
    <row r="460" spans="1:31" ht="14.25" customHeight="1" x14ac:dyDescent="0.2">
      <c r="A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</row>
    <row r="461" spans="1:31" ht="14.25" customHeight="1" x14ac:dyDescent="0.2">
      <c r="A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</row>
    <row r="462" spans="1:31" ht="14.25" customHeight="1" x14ac:dyDescent="0.2">
      <c r="A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</row>
    <row r="463" spans="1:31" ht="14.25" customHeight="1" x14ac:dyDescent="0.2">
      <c r="A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</row>
    <row r="464" spans="1:31" ht="14.25" customHeight="1" x14ac:dyDescent="0.2">
      <c r="A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</row>
    <row r="465" spans="1:31" ht="14.25" customHeight="1" x14ac:dyDescent="0.2">
      <c r="A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</row>
    <row r="466" spans="1:31" ht="14.25" customHeight="1" x14ac:dyDescent="0.2">
      <c r="A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</row>
    <row r="467" spans="1:31" ht="14.25" customHeight="1" x14ac:dyDescent="0.2">
      <c r="A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</row>
    <row r="468" spans="1:31" ht="14.25" customHeight="1" x14ac:dyDescent="0.2">
      <c r="A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</row>
    <row r="469" spans="1:31" ht="14.25" customHeight="1" x14ac:dyDescent="0.2">
      <c r="A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</row>
    <row r="470" spans="1:31" ht="14.25" customHeight="1" x14ac:dyDescent="0.2">
      <c r="A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</row>
    <row r="471" spans="1:31" ht="14.25" customHeight="1" x14ac:dyDescent="0.2">
      <c r="A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</row>
    <row r="472" spans="1:31" ht="14.25" customHeight="1" x14ac:dyDescent="0.2">
      <c r="A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</row>
    <row r="473" spans="1:31" ht="14.25" customHeight="1" x14ac:dyDescent="0.2">
      <c r="A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</row>
    <row r="474" spans="1:31" ht="14.25" customHeight="1" x14ac:dyDescent="0.2">
      <c r="A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</row>
    <row r="475" spans="1:31" ht="14.25" customHeight="1" x14ac:dyDescent="0.2">
      <c r="A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</row>
    <row r="476" spans="1:31" ht="14.25" customHeight="1" x14ac:dyDescent="0.2">
      <c r="A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</row>
    <row r="477" spans="1:31" ht="14.25" customHeight="1" x14ac:dyDescent="0.2">
      <c r="A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</row>
    <row r="478" spans="1:31" ht="14.25" customHeight="1" x14ac:dyDescent="0.2">
      <c r="A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</row>
    <row r="479" spans="1:31" ht="14.25" customHeight="1" x14ac:dyDescent="0.2">
      <c r="A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</row>
    <row r="480" spans="1:31" ht="14.25" customHeight="1" x14ac:dyDescent="0.2">
      <c r="A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</row>
    <row r="481" spans="1:31" ht="14.25" customHeight="1" x14ac:dyDescent="0.2">
      <c r="A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</row>
    <row r="482" spans="1:31" ht="14.25" customHeight="1" x14ac:dyDescent="0.2">
      <c r="A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</row>
    <row r="483" spans="1:31" ht="14.25" customHeight="1" x14ac:dyDescent="0.2">
      <c r="A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</row>
    <row r="484" spans="1:31" ht="14.25" customHeight="1" x14ac:dyDescent="0.2">
      <c r="A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</row>
    <row r="485" spans="1:31" ht="14.25" customHeight="1" x14ac:dyDescent="0.2">
      <c r="A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</row>
    <row r="486" spans="1:31" ht="14.25" customHeight="1" x14ac:dyDescent="0.2">
      <c r="A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</row>
    <row r="487" spans="1:31" ht="14.25" customHeight="1" x14ac:dyDescent="0.2">
      <c r="A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</row>
    <row r="488" spans="1:31" ht="14.25" customHeight="1" x14ac:dyDescent="0.2">
      <c r="A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</row>
    <row r="489" spans="1:31" ht="14.25" customHeight="1" x14ac:dyDescent="0.2">
      <c r="A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</row>
    <row r="490" spans="1:31" ht="14.25" customHeight="1" x14ac:dyDescent="0.2">
      <c r="A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</row>
    <row r="491" spans="1:31" ht="14.25" customHeight="1" x14ac:dyDescent="0.2">
      <c r="A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</row>
    <row r="492" spans="1:31" ht="14.25" customHeight="1" x14ac:dyDescent="0.2">
      <c r="A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</row>
    <row r="493" spans="1:31" ht="14.25" customHeight="1" x14ac:dyDescent="0.2">
      <c r="A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</row>
    <row r="494" spans="1:31" ht="14.25" customHeight="1" x14ac:dyDescent="0.2">
      <c r="A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</row>
    <row r="495" spans="1:31" ht="14.25" customHeight="1" x14ac:dyDescent="0.2">
      <c r="A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</row>
    <row r="496" spans="1:31" ht="14.25" customHeight="1" x14ac:dyDescent="0.2">
      <c r="A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</row>
    <row r="497" spans="1:31" ht="14.25" customHeight="1" x14ac:dyDescent="0.2">
      <c r="A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</row>
    <row r="498" spans="1:31" ht="14.25" customHeight="1" x14ac:dyDescent="0.2">
      <c r="A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</row>
    <row r="499" spans="1:31" ht="14.25" customHeight="1" x14ac:dyDescent="0.2">
      <c r="A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</row>
    <row r="500" spans="1:31" ht="14.25" customHeight="1" x14ac:dyDescent="0.2">
      <c r="A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</row>
    <row r="501" spans="1:31" ht="14.25" customHeight="1" x14ac:dyDescent="0.2">
      <c r="A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</row>
    <row r="502" spans="1:31" ht="14.25" customHeight="1" x14ac:dyDescent="0.2">
      <c r="A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</row>
    <row r="503" spans="1:31" ht="14.25" customHeight="1" x14ac:dyDescent="0.2">
      <c r="A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</row>
    <row r="504" spans="1:31" ht="14.25" customHeight="1" x14ac:dyDescent="0.2">
      <c r="A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</row>
    <row r="505" spans="1:31" ht="14.25" customHeight="1" x14ac:dyDescent="0.2">
      <c r="A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</row>
    <row r="506" spans="1:31" ht="14.25" customHeight="1" x14ac:dyDescent="0.2">
      <c r="A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</row>
    <row r="507" spans="1:31" ht="14.25" customHeight="1" x14ac:dyDescent="0.2">
      <c r="A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</row>
    <row r="508" spans="1:31" ht="14.25" customHeight="1" x14ac:dyDescent="0.2">
      <c r="A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</row>
    <row r="509" spans="1:31" ht="14.25" customHeight="1" x14ac:dyDescent="0.2">
      <c r="A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</row>
    <row r="510" spans="1:31" ht="14.25" customHeight="1" x14ac:dyDescent="0.2">
      <c r="A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</row>
    <row r="511" spans="1:31" ht="14.25" customHeight="1" x14ac:dyDescent="0.2">
      <c r="A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</row>
    <row r="512" spans="1:31" ht="14.25" customHeight="1" x14ac:dyDescent="0.2">
      <c r="A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</row>
    <row r="513" spans="1:31" ht="14.25" customHeight="1" x14ac:dyDescent="0.2">
      <c r="A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</row>
    <row r="514" spans="1:31" ht="14.25" customHeight="1" x14ac:dyDescent="0.2">
      <c r="A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</row>
    <row r="515" spans="1:31" ht="14.25" customHeight="1" x14ac:dyDescent="0.2">
      <c r="A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</row>
    <row r="516" spans="1:31" ht="14.25" customHeight="1" x14ac:dyDescent="0.2">
      <c r="A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</row>
    <row r="517" spans="1:31" ht="14.25" customHeight="1" x14ac:dyDescent="0.2">
      <c r="A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</row>
    <row r="518" spans="1:31" ht="14.25" customHeight="1" x14ac:dyDescent="0.2">
      <c r="A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</row>
    <row r="519" spans="1:31" ht="14.25" customHeight="1" x14ac:dyDescent="0.2">
      <c r="A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</row>
    <row r="520" spans="1:31" ht="14.25" customHeight="1" x14ac:dyDescent="0.2">
      <c r="A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</row>
    <row r="521" spans="1:31" ht="14.25" customHeight="1" x14ac:dyDescent="0.2">
      <c r="A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</row>
    <row r="522" spans="1:31" ht="14.25" customHeight="1" x14ac:dyDescent="0.2">
      <c r="A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</row>
    <row r="523" spans="1:31" ht="14.25" customHeight="1" x14ac:dyDescent="0.2">
      <c r="A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</row>
    <row r="524" spans="1:31" ht="14.25" customHeight="1" x14ac:dyDescent="0.2">
      <c r="A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</row>
    <row r="525" spans="1:31" ht="14.25" customHeight="1" x14ac:dyDescent="0.2">
      <c r="A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</row>
    <row r="526" spans="1:31" ht="14.25" customHeight="1" x14ac:dyDescent="0.2">
      <c r="A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</row>
    <row r="527" spans="1:31" ht="14.25" customHeight="1" x14ac:dyDescent="0.2">
      <c r="A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</row>
    <row r="528" spans="1:31" ht="14.25" customHeight="1" x14ac:dyDescent="0.2">
      <c r="A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</row>
    <row r="529" spans="1:31" ht="14.25" customHeight="1" x14ac:dyDescent="0.2">
      <c r="A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</row>
    <row r="530" spans="1:31" ht="14.25" customHeight="1" x14ac:dyDescent="0.2">
      <c r="A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</row>
    <row r="531" spans="1:31" ht="14.25" customHeight="1" x14ac:dyDescent="0.2">
      <c r="A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</row>
    <row r="532" spans="1:31" ht="14.25" customHeight="1" x14ac:dyDescent="0.2">
      <c r="A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</row>
    <row r="533" spans="1:31" ht="14.25" customHeight="1" x14ac:dyDescent="0.2">
      <c r="A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</row>
    <row r="534" spans="1:31" ht="14.25" customHeight="1" x14ac:dyDescent="0.2">
      <c r="A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</row>
    <row r="535" spans="1:31" ht="14.25" customHeight="1" x14ac:dyDescent="0.2">
      <c r="A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</row>
    <row r="536" spans="1:31" ht="14.25" customHeight="1" x14ac:dyDescent="0.2">
      <c r="A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</row>
    <row r="537" spans="1:31" ht="14.25" customHeight="1" x14ac:dyDescent="0.2">
      <c r="A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</row>
    <row r="538" spans="1:31" ht="14.25" customHeight="1" x14ac:dyDescent="0.2">
      <c r="A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</row>
    <row r="539" spans="1:31" ht="14.25" customHeight="1" x14ac:dyDescent="0.2">
      <c r="A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</row>
    <row r="540" spans="1:31" ht="14.25" customHeight="1" x14ac:dyDescent="0.2">
      <c r="A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</row>
    <row r="541" spans="1:31" ht="14.25" customHeight="1" x14ac:dyDescent="0.2">
      <c r="A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</row>
    <row r="542" spans="1:31" ht="14.25" customHeight="1" x14ac:dyDescent="0.2">
      <c r="A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</row>
    <row r="543" spans="1:31" ht="14.25" customHeight="1" x14ac:dyDescent="0.2">
      <c r="A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</row>
    <row r="544" spans="1:31" ht="14.25" customHeight="1" x14ac:dyDescent="0.2">
      <c r="A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</row>
    <row r="545" spans="1:31" ht="14.25" customHeight="1" x14ac:dyDescent="0.2">
      <c r="A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</row>
    <row r="546" spans="1:31" ht="14.25" customHeight="1" x14ac:dyDescent="0.2">
      <c r="A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</row>
    <row r="547" spans="1:31" ht="14.25" customHeight="1" x14ac:dyDescent="0.2">
      <c r="A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</row>
    <row r="548" spans="1:31" ht="14.25" customHeight="1" x14ac:dyDescent="0.2">
      <c r="A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</row>
    <row r="549" spans="1:31" ht="14.25" customHeight="1" x14ac:dyDescent="0.2">
      <c r="A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</row>
    <row r="550" spans="1:31" ht="14.25" customHeight="1" x14ac:dyDescent="0.2">
      <c r="A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</row>
    <row r="551" spans="1:31" ht="14.25" customHeight="1" x14ac:dyDescent="0.2">
      <c r="A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</row>
    <row r="552" spans="1:31" ht="14.25" customHeight="1" x14ac:dyDescent="0.2">
      <c r="A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</row>
    <row r="553" spans="1:31" ht="14.25" customHeight="1" x14ac:dyDescent="0.2">
      <c r="A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</row>
    <row r="554" spans="1:31" ht="14.25" customHeight="1" x14ac:dyDescent="0.2">
      <c r="A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</row>
    <row r="555" spans="1:31" ht="14.25" customHeight="1" x14ac:dyDescent="0.2">
      <c r="A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</row>
    <row r="556" spans="1:31" ht="14.25" customHeight="1" x14ac:dyDescent="0.2">
      <c r="A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</row>
    <row r="557" spans="1:31" ht="14.25" customHeight="1" x14ac:dyDescent="0.2">
      <c r="A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</row>
    <row r="558" spans="1:31" ht="14.25" customHeight="1" x14ac:dyDescent="0.2">
      <c r="A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</row>
    <row r="559" spans="1:31" ht="14.25" customHeight="1" x14ac:dyDescent="0.2">
      <c r="A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</row>
    <row r="560" spans="1:31" ht="14.25" customHeight="1" x14ac:dyDescent="0.2">
      <c r="A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</row>
    <row r="561" spans="1:31" ht="14.25" customHeight="1" x14ac:dyDescent="0.2">
      <c r="A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</row>
    <row r="562" spans="1:31" ht="14.25" customHeight="1" x14ac:dyDescent="0.2">
      <c r="A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</row>
    <row r="563" spans="1:31" ht="14.25" customHeight="1" x14ac:dyDescent="0.2">
      <c r="A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</row>
    <row r="564" spans="1:31" ht="14.25" customHeight="1" x14ac:dyDescent="0.2">
      <c r="A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</row>
    <row r="565" spans="1:31" ht="14.25" customHeight="1" x14ac:dyDescent="0.2">
      <c r="A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</row>
    <row r="566" spans="1:31" ht="14.25" customHeight="1" x14ac:dyDescent="0.2">
      <c r="A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</row>
    <row r="567" spans="1:31" ht="14.25" customHeight="1" x14ac:dyDescent="0.2">
      <c r="A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</row>
    <row r="568" spans="1:31" ht="14.25" customHeight="1" x14ac:dyDescent="0.2">
      <c r="A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</row>
    <row r="569" spans="1:31" ht="14.25" customHeight="1" x14ac:dyDescent="0.2">
      <c r="A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</row>
    <row r="570" spans="1:31" ht="14.25" customHeight="1" x14ac:dyDescent="0.2">
      <c r="A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</row>
    <row r="571" spans="1:31" ht="14.25" customHeight="1" x14ac:dyDescent="0.2">
      <c r="A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</row>
    <row r="572" spans="1:31" ht="14.25" customHeight="1" x14ac:dyDescent="0.2">
      <c r="A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</row>
    <row r="573" spans="1:31" ht="14.25" customHeight="1" x14ac:dyDescent="0.2">
      <c r="A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</row>
    <row r="574" spans="1:31" ht="14.25" customHeight="1" x14ac:dyDescent="0.2">
      <c r="A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</row>
    <row r="575" spans="1:31" ht="14.25" customHeight="1" x14ac:dyDescent="0.2">
      <c r="A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</row>
    <row r="576" spans="1:31" ht="14.25" customHeight="1" x14ac:dyDescent="0.2">
      <c r="A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</row>
    <row r="577" spans="1:31" ht="14.25" customHeight="1" x14ac:dyDescent="0.2">
      <c r="A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</row>
    <row r="578" spans="1:31" ht="14.25" customHeight="1" x14ac:dyDescent="0.2">
      <c r="A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</row>
    <row r="579" spans="1:31" ht="14.25" customHeight="1" x14ac:dyDescent="0.2">
      <c r="A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</row>
    <row r="580" spans="1:31" ht="14.25" customHeight="1" x14ac:dyDescent="0.2">
      <c r="A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</row>
    <row r="581" spans="1:31" ht="14.25" customHeight="1" x14ac:dyDescent="0.2">
      <c r="A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</row>
    <row r="582" spans="1:31" ht="14.25" customHeight="1" x14ac:dyDescent="0.2">
      <c r="A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</row>
    <row r="583" spans="1:31" ht="14.25" customHeight="1" x14ac:dyDescent="0.2">
      <c r="A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</row>
    <row r="584" spans="1:31" ht="14.25" customHeight="1" x14ac:dyDescent="0.2">
      <c r="A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</row>
    <row r="585" spans="1:31" ht="14.25" customHeight="1" x14ac:dyDescent="0.2">
      <c r="A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</row>
    <row r="586" spans="1:31" ht="14.25" customHeight="1" x14ac:dyDescent="0.2">
      <c r="A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</row>
    <row r="587" spans="1:31" ht="14.25" customHeight="1" x14ac:dyDescent="0.2">
      <c r="A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</row>
    <row r="588" spans="1:31" ht="14.25" customHeight="1" x14ac:dyDescent="0.2">
      <c r="A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</row>
    <row r="589" spans="1:31" ht="14.25" customHeight="1" x14ac:dyDescent="0.2">
      <c r="A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</row>
    <row r="590" spans="1:31" ht="14.25" customHeight="1" x14ac:dyDescent="0.2">
      <c r="A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</row>
    <row r="591" spans="1:31" ht="14.25" customHeight="1" x14ac:dyDescent="0.2">
      <c r="A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</row>
    <row r="592" spans="1:31" ht="14.25" customHeight="1" x14ac:dyDescent="0.2">
      <c r="A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</row>
    <row r="593" spans="1:31" ht="14.25" customHeight="1" x14ac:dyDescent="0.2">
      <c r="A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</row>
    <row r="594" spans="1:31" ht="14.25" customHeight="1" x14ac:dyDescent="0.2">
      <c r="A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</row>
    <row r="595" spans="1:31" ht="14.25" customHeight="1" x14ac:dyDescent="0.2">
      <c r="A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</row>
    <row r="596" spans="1:31" ht="14.25" customHeight="1" x14ac:dyDescent="0.2">
      <c r="A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</row>
    <row r="597" spans="1:31" ht="14.25" customHeight="1" x14ac:dyDescent="0.2">
      <c r="A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</row>
    <row r="598" spans="1:31" ht="14.25" customHeight="1" x14ac:dyDescent="0.2">
      <c r="A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</row>
    <row r="599" spans="1:31" ht="14.25" customHeight="1" x14ac:dyDescent="0.2">
      <c r="A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</row>
    <row r="600" spans="1:31" ht="14.25" customHeight="1" x14ac:dyDescent="0.2">
      <c r="A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</row>
    <row r="601" spans="1:31" ht="14.25" customHeight="1" x14ac:dyDescent="0.2">
      <c r="A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</row>
    <row r="602" spans="1:31" ht="14.25" customHeight="1" x14ac:dyDescent="0.2">
      <c r="A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</row>
    <row r="603" spans="1:31" ht="14.25" customHeight="1" x14ac:dyDescent="0.2">
      <c r="A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</row>
    <row r="604" spans="1:31" ht="14.25" customHeight="1" x14ac:dyDescent="0.2">
      <c r="A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</row>
    <row r="605" spans="1:31" ht="14.25" customHeight="1" x14ac:dyDescent="0.2">
      <c r="A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</row>
    <row r="606" spans="1:31" ht="14.25" customHeight="1" x14ac:dyDescent="0.2">
      <c r="A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</row>
    <row r="607" spans="1:31" ht="14.25" customHeight="1" x14ac:dyDescent="0.2">
      <c r="A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</row>
    <row r="608" spans="1:31" ht="14.25" customHeight="1" x14ac:dyDescent="0.2">
      <c r="A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</row>
    <row r="609" spans="1:31" ht="14.25" customHeight="1" x14ac:dyDescent="0.2">
      <c r="A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</row>
    <row r="610" spans="1:31" ht="14.25" customHeight="1" x14ac:dyDescent="0.2">
      <c r="A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</row>
    <row r="611" spans="1:31" ht="14.25" customHeight="1" x14ac:dyDescent="0.2">
      <c r="A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</row>
    <row r="612" spans="1:31" ht="14.25" customHeight="1" x14ac:dyDescent="0.2">
      <c r="A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</row>
    <row r="613" spans="1:31" ht="14.25" customHeight="1" x14ac:dyDescent="0.2">
      <c r="A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</row>
    <row r="614" spans="1:31" ht="14.25" customHeight="1" x14ac:dyDescent="0.2">
      <c r="A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</row>
    <row r="615" spans="1:31" ht="14.25" customHeight="1" x14ac:dyDescent="0.2">
      <c r="A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</row>
    <row r="616" spans="1:31" ht="14.25" customHeight="1" x14ac:dyDescent="0.2">
      <c r="A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</row>
    <row r="617" spans="1:31" ht="14.25" customHeight="1" x14ac:dyDescent="0.2">
      <c r="A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</row>
    <row r="618" spans="1:31" ht="14.25" customHeight="1" x14ac:dyDescent="0.2">
      <c r="A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</row>
    <row r="619" spans="1:31" ht="14.25" customHeight="1" x14ac:dyDescent="0.2">
      <c r="A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</row>
    <row r="620" spans="1:31" ht="14.25" customHeight="1" x14ac:dyDescent="0.2">
      <c r="A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</row>
    <row r="621" spans="1:31" ht="14.25" customHeight="1" x14ac:dyDescent="0.2">
      <c r="A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</row>
    <row r="622" spans="1:31" ht="14.25" customHeight="1" x14ac:dyDescent="0.2">
      <c r="A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</row>
    <row r="623" spans="1:31" ht="14.25" customHeight="1" x14ac:dyDescent="0.2">
      <c r="A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</row>
    <row r="624" spans="1:31" ht="14.25" customHeight="1" x14ac:dyDescent="0.2">
      <c r="A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</row>
    <row r="625" spans="1:31" ht="14.25" customHeight="1" x14ac:dyDescent="0.2">
      <c r="A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</row>
    <row r="626" spans="1:31" ht="14.25" customHeight="1" x14ac:dyDescent="0.2">
      <c r="A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</row>
    <row r="627" spans="1:31" ht="14.25" customHeight="1" x14ac:dyDescent="0.2">
      <c r="A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</row>
    <row r="628" spans="1:31" ht="14.25" customHeight="1" x14ac:dyDescent="0.2">
      <c r="A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</row>
    <row r="629" spans="1:31" ht="14.25" customHeight="1" x14ac:dyDescent="0.2">
      <c r="A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</row>
    <row r="630" spans="1:31" ht="14.25" customHeight="1" x14ac:dyDescent="0.2">
      <c r="A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</row>
    <row r="631" spans="1:31" ht="14.25" customHeight="1" x14ac:dyDescent="0.2">
      <c r="A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</row>
    <row r="632" spans="1:31" ht="14.25" customHeight="1" x14ac:dyDescent="0.2">
      <c r="A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</row>
    <row r="633" spans="1:31" ht="14.25" customHeight="1" x14ac:dyDescent="0.2">
      <c r="A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</row>
    <row r="634" spans="1:31" ht="14.25" customHeight="1" x14ac:dyDescent="0.2">
      <c r="A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</row>
    <row r="635" spans="1:31" ht="14.25" customHeight="1" x14ac:dyDescent="0.2">
      <c r="A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</row>
    <row r="636" spans="1:31" ht="14.25" customHeight="1" x14ac:dyDescent="0.2">
      <c r="A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</row>
    <row r="637" spans="1:31" ht="14.25" customHeight="1" x14ac:dyDescent="0.2">
      <c r="A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</row>
    <row r="638" spans="1:31" ht="14.25" customHeight="1" x14ac:dyDescent="0.2">
      <c r="A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</row>
    <row r="639" spans="1:31" ht="14.25" customHeight="1" x14ac:dyDescent="0.2">
      <c r="A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</row>
    <row r="640" spans="1:31" ht="14.25" customHeight="1" x14ac:dyDescent="0.2">
      <c r="A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</row>
    <row r="641" spans="1:31" ht="14.25" customHeight="1" x14ac:dyDescent="0.2">
      <c r="A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</row>
    <row r="642" spans="1:31" ht="14.25" customHeight="1" x14ac:dyDescent="0.2">
      <c r="A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</row>
    <row r="643" spans="1:31" ht="14.25" customHeight="1" x14ac:dyDescent="0.2">
      <c r="A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</row>
    <row r="644" spans="1:31" ht="14.25" customHeight="1" x14ac:dyDescent="0.2">
      <c r="A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</row>
    <row r="645" spans="1:31" ht="14.25" customHeight="1" x14ac:dyDescent="0.2">
      <c r="A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</row>
    <row r="646" spans="1:31" ht="14.25" customHeight="1" x14ac:dyDescent="0.2">
      <c r="A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</row>
    <row r="647" spans="1:31" ht="14.25" customHeight="1" x14ac:dyDescent="0.2">
      <c r="A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</row>
    <row r="648" spans="1:31" ht="14.25" customHeight="1" x14ac:dyDescent="0.2">
      <c r="A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</row>
    <row r="649" spans="1:31" ht="14.25" customHeight="1" x14ac:dyDescent="0.2">
      <c r="A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</row>
    <row r="650" spans="1:31" ht="14.25" customHeight="1" x14ac:dyDescent="0.2">
      <c r="A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</row>
    <row r="651" spans="1:31" ht="14.25" customHeight="1" x14ac:dyDescent="0.2">
      <c r="A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</row>
    <row r="652" spans="1:31" ht="14.25" customHeight="1" x14ac:dyDescent="0.2">
      <c r="A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</row>
    <row r="653" spans="1:31" ht="14.25" customHeight="1" x14ac:dyDescent="0.2">
      <c r="A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</row>
    <row r="654" spans="1:31" ht="14.25" customHeight="1" x14ac:dyDescent="0.2">
      <c r="A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</row>
    <row r="655" spans="1:31" ht="14.25" customHeight="1" x14ac:dyDescent="0.2">
      <c r="A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</row>
    <row r="656" spans="1:31" ht="14.25" customHeight="1" x14ac:dyDescent="0.2">
      <c r="A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</row>
    <row r="657" spans="1:31" ht="14.25" customHeight="1" x14ac:dyDescent="0.2">
      <c r="A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</row>
    <row r="658" spans="1:31" ht="14.25" customHeight="1" x14ac:dyDescent="0.2">
      <c r="A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</row>
    <row r="659" spans="1:31" ht="14.25" customHeight="1" x14ac:dyDescent="0.2">
      <c r="A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</row>
    <row r="660" spans="1:31" ht="14.25" customHeight="1" x14ac:dyDescent="0.2">
      <c r="A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</row>
    <row r="661" spans="1:31" ht="14.25" customHeight="1" x14ac:dyDescent="0.2">
      <c r="A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</row>
    <row r="662" spans="1:31" ht="14.25" customHeight="1" x14ac:dyDescent="0.2">
      <c r="A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</row>
    <row r="663" spans="1:31" ht="14.25" customHeight="1" x14ac:dyDescent="0.2">
      <c r="A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</row>
    <row r="664" spans="1:31" ht="14.25" customHeight="1" x14ac:dyDescent="0.2">
      <c r="A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</row>
    <row r="665" spans="1:31" ht="14.25" customHeight="1" x14ac:dyDescent="0.2">
      <c r="A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</row>
    <row r="666" spans="1:31" ht="14.25" customHeight="1" x14ac:dyDescent="0.2">
      <c r="A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</row>
    <row r="667" spans="1:31" ht="14.25" customHeight="1" x14ac:dyDescent="0.2">
      <c r="A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</row>
    <row r="668" spans="1:31" ht="14.25" customHeight="1" x14ac:dyDescent="0.2">
      <c r="A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</row>
    <row r="669" spans="1:31" ht="14.25" customHeight="1" x14ac:dyDescent="0.2">
      <c r="A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</row>
    <row r="670" spans="1:31" ht="14.25" customHeight="1" x14ac:dyDescent="0.2">
      <c r="A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</row>
    <row r="671" spans="1:31" ht="14.25" customHeight="1" x14ac:dyDescent="0.2">
      <c r="A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</row>
    <row r="672" spans="1:31" ht="14.25" customHeight="1" x14ac:dyDescent="0.2">
      <c r="A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</row>
    <row r="673" spans="1:31" ht="14.25" customHeight="1" x14ac:dyDescent="0.2">
      <c r="A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</row>
    <row r="674" spans="1:31" ht="14.25" customHeight="1" x14ac:dyDescent="0.2">
      <c r="A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</row>
    <row r="675" spans="1:31" ht="14.25" customHeight="1" x14ac:dyDescent="0.2">
      <c r="A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</row>
    <row r="676" spans="1:31" ht="14.25" customHeight="1" x14ac:dyDescent="0.2">
      <c r="A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</row>
    <row r="677" spans="1:31" ht="14.25" customHeight="1" x14ac:dyDescent="0.2">
      <c r="A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</row>
    <row r="678" spans="1:31" ht="14.25" customHeight="1" x14ac:dyDescent="0.2">
      <c r="A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</row>
    <row r="679" spans="1:31" ht="14.25" customHeight="1" x14ac:dyDescent="0.2">
      <c r="A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</row>
    <row r="680" spans="1:31" ht="14.25" customHeight="1" x14ac:dyDescent="0.2">
      <c r="A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</row>
    <row r="681" spans="1:31" ht="14.25" customHeight="1" x14ac:dyDescent="0.2">
      <c r="A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</row>
    <row r="682" spans="1:31" ht="14.25" customHeight="1" x14ac:dyDescent="0.2">
      <c r="A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</row>
    <row r="683" spans="1:31" ht="14.25" customHeight="1" x14ac:dyDescent="0.2">
      <c r="A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</row>
    <row r="684" spans="1:31" ht="14.25" customHeight="1" x14ac:dyDescent="0.2">
      <c r="A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</row>
    <row r="685" spans="1:31" ht="14.25" customHeight="1" x14ac:dyDescent="0.2">
      <c r="A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</row>
    <row r="686" spans="1:31" ht="14.25" customHeight="1" x14ac:dyDescent="0.2">
      <c r="A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</row>
    <row r="687" spans="1:31" ht="14.25" customHeight="1" x14ac:dyDescent="0.2">
      <c r="A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</row>
    <row r="688" spans="1:31" ht="14.25" customHeight="1" x14ac:dyDescent="0.2">
      <c r="A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</row>
    <row r="689" spans="1:31" ht="14.25" customHeight="1" x14ac:dyDescent="0.2">
      <c r="A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</row>
    <row r="690" spans="1:31" ht="14.25" customHeight="1" x14ac:dyDescent="0.2">
      <c r="A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</row>
    <row r="691" spans="1:31" ht="14.25" customHeight="1" x14ac:dyDescent="0.2">
      <c r="A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</row>
    <row r="692" spans="1:31" ht="14.25" customHeight="1" x14ac:dyDescent="0.2">
      <c r="A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</row>
    <row r="693" spans="1:31" ht="14.25" customHeight="1" x14ac:dyDescent="0.2">
      <c r="A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</row>
    <row r="694" spans="1:31" ht="14.25" customHeight="1" x14ac:dyDescent="0.2">
      <c r="A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</row>
    <row r="695" spans="1:31" ht="14.25" customHeight="1" x14ac:dyDescent="0.2">
      <c r="A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</row>
    <row r="696" spans="1:31" ht="14.25" customHeight="1" x14ac:dyDescent="0.2">
      <c r="A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</row>
    <row r="697" spans="1:31" ht="14.25" customHeight="1" x14ac:dyDescent="0.2">
      <c r="A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</row>
    <row r="698" spans="1:31" ht="14.25" customHeight="1" x14ac:dyDescent="0.2">
      <c r="A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</row>
    <row r="699" spans="1:31" ht="14.25" customHeight="1" x14ac:dyDescent="0.2">
      <c r="A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</row>
    <row r="700" spans="1:31" ht="14.25" customHeight="1" x14ac:dyDescent="0.2">
      <c r="A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</row>
    <row r="701" spans="1:31" ht="14.25" customHeight="1" x14ac:dyDescent="0.2">
      <c r="A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</row>
    <row r="702" spans="1:31" ht="14.25" customHeight="1" x14ac:dyDescent="0.2">
      <c r="A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</row>
    <row r="703" spans="1:31" ht="14.25" customHeight="1" x14ac:dyDescent="0.2">
      <c r="A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</row>
    <row r="704" spans="1:31" ht="14.25" customHeight="1" x14ac:dyDescent="0.2">
      <c r="A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</row>
    <row r="705" spans="1:31" ht="14.25" customHeight="1" x14ac:dyDescent="0.2">
      <c r="A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</row>
    <row r="706" spans="1:31" ht="14.25" customHeight="1" x14ac:dyDescent="0.2">
      <c r="A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</row>
    <row r="707" spans="1:31" ht="14.25" customHeight="1" x14ac:dyDescent="0.2">
      <c r="A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</row>
    <row r="708" spans="1:31" ht="14.25" customHeight="1" x14ac:dyDescent="0.2">
      <c r="A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</row>
    <row r="709" spans="1:31" ht="14.25" customHeight="1" x14ac:dyDescent="0.2">
      <c r="A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</row>
    <row r="710" spans="1:31" ht="14.25" customHeight="1" x14ac:dyDescent="0.2">
      <c r="A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</row>
    <row r="711" spans="1:31" ht="14.25" customHeight="1" x14ac:dyDescent="0.2">
      <c r="A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</row>
    <row r="712" spans="1:31" ht="14.25" customHeight="1" x14ac:dyDescent="0.2">
      <c r="A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</row>
    <row r="713" spans="1:31" ht="14.25" customHeight="1" x14ac:dyDescent="0.2">
      <c r="A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</row>
    <row r="714" spans="1:31" ht="14.25" customHeight="1" x14ac:dyDescent="0.2">
      <c r="A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</row>
    <row r="715" spans="1:31" ht="14.25" customHeight="1" x14ac:dyDescent="0.2">
      <c r="A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</row>
    <row r="716" spans="1:31" ht="14.25" customHeight="1" x14ac:dyDescent="0.2">
      <c r="A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</row>
    <row r="717" spans="1:31" ht="14.25" customHeight="1" x14ac:dyDescent="0.2">
      <c r="A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</row>
    <row r="718" spans="1:31" ht="14.25" customHeight="1" x14ac:dyDescent="0.2">
      <c r="A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</row>
    <row r="719" spans="1:31" ht="14.25" customHeight="1" x14ac:dyDescent="0.2">
      <c r="A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</row>
    <row r="720" spans="1:31" ht="14.25" customHeight="1" x14ac:dyDescent="0.2">
      <c r="A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</row>
    <row r="721" spans="1:31" ht="14.25" customHeight="1" x14ac:dyDescent="0.2">
      <c r="A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</row>
    <row r="722" spans="1:31" ht="14.25" customHeight="1" x14ac:dyDescent="0.2">
      <c r="A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</row>
    <row r="723" spans="1:31" ht="14.25" customHeight="1" x14ac:dyDescent="0.2">
      <c r="A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</row>
    <row r="724" spans="1:31" ht="14.25" customHeight="1" x14ac:dyDescent="0.2">
      <c r="A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</row>
    <row r="725" spans="1:31" ht="14.25" customHeight="1" x14ac:dyDescent="0.2">
      <c r="A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</row>
    <row r="726" spans="1:31" ht="14.25" customHeight="1" x14ac:dyDescent="0.2">
      <c r="A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</row>
    <row r="727" spans="1:31" ht="14.25" customHeight="1" x14ac:dyDescent="0.2">
      <c r="A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</row>
    <row r="728" spans="1:31" ht="14.25" customHeight="1" x14ac:dyDescent="0.2">
      <c r="A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</row>
    <row r="729" spans="1:31" ht="14.25" customHeight="1" x14ac:dyDescent="0.2">
      <c r="A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</row>
    <row r="730" spans="1:31" ht="14.25" customHeight="1" x14ac:dyDescent="0.2">
      <c r="A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</row>
    <row r="731" spans="1:31" ht="14.25" customHeight="1" x14ac:dyDescent="0.2">
      <c r="A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</row>
    <row r="732" spans="1:31" ht="14.25" customHeight="1" x14ac:dyDescent="0.2">
      <c r="A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</row>
    <row r="733" spans="1:31" ht="14.25" customHeight="1" x14ac:dyDescent="0.2">
      <c r="A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</row>
    <row r="734" spans="1:31" ht="14.25" customHeight="1" x14ac:dyDescent="0.2">
      <c r="A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</row>
    <row r="735" spans="1:31" ht="14.25" customHeight="1" x14ac:dyDescent="0.2">
      <c r="A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</row>
    <row r="736" spans="1:31" ht="14.25" customHeight="1" x14ac:dyDescent="0.2">
      <c r="A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</row>
    <row r="737" spans="1:31" ht="14.25" customHeight="1" x14ac:dyDescent="0.2">
      <c r="A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</row>
    <row r="738" spans="1:31" ht="14.25" customHeight="1" x14ac:dyDescent="0.2">
      <c r="A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</row>
    <row r="739" spans="1:31" ht="14.25" customHeight="1" x14ac:dyDescent="0.2">
      <c r="A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</row>
    <row r="740" spans="1:31" ht="14.25" customHeight="1" x14ac:dyDescent="0.2">
      <c r="A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</row>
    <row r="741" spans="1:31" ht="14.25" customHeight="1" x14ac:dyDescent="0.2">
      <c r="A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</row>
    <row r="742" spans="1:31" ht="14.25" customHeight="1" x14ac:dyDescent="0.2">
      <c r="A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</row>
    <row r="743" spans="1:31" ht="14.25" customHeight="1" x14ac:dyDescent="0.2">
      <c r="A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</row>
    <row r="744" spans="1:31" ht="14.25" customHeight="1" x14ac:dyDescent="0.2">
      <c r="A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</row>
    <row r="745" spans="1:31" ht="14.25" customHeight="1" x14ac:dyDescent="0.2">
      <c r="A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</row>
    <row r="746" spans="1:31" ht="14.25" customHeight="1" x14ac:dyDescent="0.2">
      <c r="A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</row>
    <row r="747" spans="1:31" ht="14.25" customHeight="1" x14ac:dyDescent="0.2">
      <c r="A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</row>
    <row r="748" spans="1:31" ht="14.25" customHeight="1" x14ac:dyDescent="0.2">
      <c r="A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</row>
    <row r="749" spans="1:31" ht="14.25" customHeight="1" x14ac:dyDescent="0.2">
      <c r="A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</row>
    <row r="750" spans="1:31" ht="14.25" customHeight="1" x14ac:dyDescent="0.2">
      <c r="A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</row>
    <row r="751" spans="1:31" ht="14.25" customHeight="1" x14ac:dyDescent="0.2">
      <c r="A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</row>
    <row r="752" spans="1:31" ht="14.25" customHeight="1" x14ac:dyDescent="0.2">
      <c r="A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</row>
    <row r="753" spans="1:31" ht="14.25" customHeight="1" x14ac:dyDescent="0.2">
      <c r="A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</row>
    <row r="754" spans="1:31" ht="14.25" customHeight="1" x14ac:dyDescent="0.2">
      <c r="A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</row>
    <row r="755" spans="1:31" ht="14.25" customHeight="1" x14ac:dyDescent="0.2">
      <c r="A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</row>
    <row r="756" spans="1:31" ht="14.25" customHeight="1" x14ac:dyDescent="0.2">
      <c r="A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</row>
    <row r="757" spans="1:31" ht="14.25" customHeight="1" x14ac:dyDescent="0.2">
      <c r="A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</row>
    <row r="758" spans="1:31" ht="14.25" customHeight="1" x14ac:dyDescent="0.2">
      <c r="A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</row>
    <row r="759" spans="1:31" ht="14.25" customHeight="1" x14ac:dyDescent="0.2">
      <c r="A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</row>
    <row r="760" spans="1:31" ht="14.25" customHeight="1" x14ac:dyDescent="0.2">
      <c r="A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</row>
    <row r="761" spans="1:31" ht="14.25" customHeight="1" x14ac:dyDescent="0.2">
      <c r="A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</row>
    <row r="762" spans="1:31" ht="14.25" customHeight="1" x14ac:dyDescent="0.2">
      <c r="A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</row>
    <row r="763" spans="1:31" ht="14.25" customHeight="1" x14ac:dyDescent="0.2">
      <c r="A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</row>
    <row r="764" spans="1:31" ht="14.25" customHeight="1" x14ac:dyDescent="0.2">
      <c r="A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</row>
    <row r="765" spans="1:31" ht="14.25" customHeight="1" x14ac:dyDescent="0.2">
      <c r="A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</row>
    <row r="766" spans="1:31" ht="14.25" customHeight="1" x14ac:dyDescent="0.2">
      <c r="A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</row>
    <row r="767" spans="1:31" ht="14.25" customHeight="1" x14ac:dyDescent="0.2">
      <c r="A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</row>
    <row r="768" spans="1:31" ht="14.25" customHeight="1" x14ac:dyDescent="0.2">
      <c r="A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</row>
    <row r="769" spans="1:31" ht="14.25" customHeight="1" x14ac:dyDescent="0.2">
      <c r="A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</row>
    <row r="770" spans="1:31" ht="14.25" customHeight="1" x14ac:dyDescent="0.2">
      <c r="A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</row>
    <row r="771" spans="1:31" ht="14.25" customHeight="1" x14ac:dyDescent="0.2">
      <c r="A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</row>
    <row r="772" spans="1:31" ht="14.25" customHeight="1" x14ac:dyDescent="0.2">
      <c r="A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</row>
    <row r="773" spans="1:31" ht="14.25" customHeight="1" x14ac:dyDescent="0.2">
      <c r="A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</row>
    <row r="774" spans="1:31" ht="14.25" customHeight="1" x14ac:dyDescent="0.2">
      <c r="A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</row>
    <row r="775" spans="1:31" ht="14.25" customHeight="1" x14ac:dyDescent="0.2">
      <c r="A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</row>
    <row r="776" spans="1:31" ht="14.25" customHeight="1" x14ac:dyDescent="0.2">
      <c r="A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</row>
    <row r="777" spans="1:31" ht="14.25" customHeight="1" x14ac:dyDescent="0.2">
      <c r="A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</row>
    <row r="778" spans="1:31" ht="14.25" customHeight="1" x14ac:dyDescent="0.2">
      <c r="A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</row>
    <row r="779" spans="1:31" ht="14.25" customHeight="1" x14ac:dyDescent="0.2">
      <c r="A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</row>
    <row r="780" spans="1:31" ht="14.25" customHeight="1" x14ac:dyDescent="0.2">
      <c r="A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</row>
    <row r="781" spans="1:31" ht="14.25" customHeight="1" x14ac:dyDescent="0.2">
      <c r="A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</row>
    <row r="782" spans="1:31" ht="14.25" customHeight="1" x14ac:dyDescent="0.2">
      <c r="A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</row>
    <row r="783" spans="1:31" ht="14.25" customHeight="1" x14ac:dyDescent="0.2">
      <c r="A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</row>
    <row r="784" spans="1:31" ht="14.25" customHeight="1" x14ac:dyDescent="0.2">
      <c r="A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</row>
    <row r="785" spans="1:31" ht="14.25" customHeight="1" x14ac:dyDescent="0.2">
      <c r="A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</row>
    <row r="786" spans="1:31" ht="14.25" customHeight="1" x14ac:dyDescent="0.2">
      <c r="A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</row>
    <row r="787" spans="1:31" ht="14.25" customHeight="1" x14ac:dyDescent="0.2">
      <c r="A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</row>
    <row r="788" spans="1:31" ht="14.25" customHeight="1" x14ac:dyDescent="0.2">
      <c r="A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</row>
    <row r="789" spans="1:31" ht="14.25" customHeight="1" x14ac:dyDescent="0.2">
      <c r="A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</row>
    <row r="790" spans="1:31" ht="14.25" customHeight="1" x14ac:dyDescent="0.2">
      <c r="A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</row>
    <row r="791" spans="1:31" ht="14.25" customHeight="1" x14ac:dyDescent="0.2">
      <c r="A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</row>
    <row r="792" spans="1:31" ht="14.25" customHeight="1" x14ac:dyDescent="0.2">
      <c r="A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</row>
    <row r="793" spans="1:31" ht="14.25" customHeight="1" x14ac:dyDescent="0.2">
      <c r="A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</row>
    <row r="794" spans="1:31" ht="14.25" customHeight="1" x14ac:dyDescent="0.2">
      <c r="A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</row>
    <row r="795" spans="1:31" ht="14.25" customHeight="1" x14ac:dyDescent="0.2">
      <c r="A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</row>
    <row r="796" spans="1:31" ht="14.25" customHeight="1" x14ac:dyDescent="0.2">
      <c r="A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</row>
    <row r="797" spans="1:31" ht="14.25" customHeight="1" x14ac:dyDescent="0.2">
      <c r="A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</row>
    <row r="798" spans="1:31" ht="14.25" customHeight="1" x14ac:dyDescent="0.2">
      <c r="A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</row>
    <row r="799" spans="1:31" ht="14.25" customHeight="1" x14ac:dyDescent="0.2">
      <c r="A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</row>
    <row r="800" spans="1:31" ht="14.25" customHeight="1" x14ac:dyDescent="0.2">
      <c r="A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</row>
    <row r="801" spans="1:31" ht="14.25" customHeight="1" x14ac:dyDescent="0.2">
      <c r="A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</row>
    <row r="802" spans="1:31" ht="14.25" customHeight="1" x14ac:dyDescent="0.2">
      <c r="A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</row>
    <row r="803" spans="1:31" ht="14.25" customHeight="1" x14ac:dyDescent="0.2">
      <c r="A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</row>
    <row r="804" spans="1:31" ht="14.25" customHeight="1" x14ac:dyDescent="0.2">
      <c r="A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</row>
    <row r="805" spans="1:31" ht="14.25" customHeight="1" x14ac:dyDescent="0.2">
      <c r="A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</row>
    <row r="806" spans="1:31" ht="14.25" customHeight="1" x14ac:dyDescent="0.2">
      <c r="A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</row>
    <row r="807" spans="1:31" ht="14.25" customHeight="1" x14ac:dyDescent="0.2">
      <c r="A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</row>
    <row r="808" spans="1:31" ht="14.25" customHeight="1" x14ac:dyDescent="0.2">
      <c r="A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</row>
    <row r="809" spans="1:31" ht="14.25" customHeight="1" x14ac:dyDescent="0.2">
      <c r="A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</row>
    <row r="810" spans="1:31" ht="14.25" customHeight="1" x14ac:dyDescent="0.2">
      <c r="A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</row>
    <row r="811" spans="1:31" ht="14.25" customHeight="1" x14ac:dyDescent="0.2">
      <c r="A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</row>
    <row r="812" spans="1:31" ht="14.25" customHeight="1" x14ac:dyDescent="0.2">
      <c r="A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</row>
    <row r="813" spans="1:31" ht="14.25" customHeight="1" x14ac:dyDescent="0.2">
      <c r="A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</row>
    <row r="814" spans="1:31" ht="14.25" customHeight="1" x14ac:dyDescent="0.2">
      <c r="A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</row>
    <row r="815" spans="1:31" ht="14.25" customHeight="1" x14ac:dyDescent="0.2">
      <c r="A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</row>
    <row r="816" spans="1:31" ht="14.25" customHeight="1" x14ac:dyDescent="0.2">
      <c r="A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</row>
    <row r="817" spans="1:31" ht="14.25" customHeight="1" x14ac:dyDescent="0.2">
      <c r="A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</row>
    <row r="818" spans="1:31" ht="14.25" customHeight="1" x14ac:dyDescent="0.2">
      <c r="A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</row>
    <row r="819" spans="1:31" ht="14.25" customHeight="1" x14ac:dyDescent="0.2">
      <c r="A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</row>
    <row r="820" spans="1:31" ht="14.25" customHeight="1" x14ac:dyDescent="0.2">
      <c r="A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</row>
    <row r="821" spans="1:31" ht="14.25" customHeight="1" x14ac:dyDescent="0.2">
      <c r="A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</row>
    <row r="822" spans="1:31" ht="14.25" customHeight="1" x14ac:dyDescent="0.2">
      <c r="A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</row>
    <row r="823" spans="1:31" ht="14.25" customHeight="1" x14ac:dyDescent="0.2">
      <c r="A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</row>
    <row r="824" spans="1:31" ht="14.25" customHeight="1" x14ac:dyDescent="0.2">
      <c r="A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</row>
    <row r="825" spans="1:31" ht="14.25" customHeight="1" x14ac:dyDescent="0.2">
      <c r="A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</row>
    <row r="826" spans="1:31" ht="14.25" customHeight="1" x14ac:dyDescent="0.2">
      <c r="A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</row>
    <row r="827" spans="1:31" ht="14.25" customHeight="1" x14ac:dyDescent="0.2">
      <c r="A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</row>
    <row r="828" spans="1:31" ht="14.25" customHeight="1" x14ac:dyDescent="0.2">
      <c r="A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</row>
    <row r="829" spans="1:31" ht="14.25" customHeight="1" x14ac:dyDescent="0.2">
      <c r="A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</row>
    <row r="830" spans="1:31" ht="14.25" customHeight="1" x14ac:dyDescent="0.2">
      <c r="A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</row>
    <row r="831" spans="1:31" ht="14.25" customHeight="1" x14ac:dyDescent="0.2">
      <c r="A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</row>
    <row r="832" spans="1:31" ht="14.25" customHeight="1" x14ac:dyDescent="0.2">
      <c r="A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</row>
    <row r="833" spans="1:31" ht="14.25" customHeight="1" x14ac:dyDescent="0.2">
      <c r="A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</row>
    <row r="834" spans="1:31" ht="14.25" customHeight="1" x14ac:dyDescent="0.2">
      <c r="A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</row>
    <row r="835" spans="1:31" ht="14.25" customHeight="1" x14ac:dyDescent="0.2">
      <c r="A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</row>
    <row r="836" spans="1:31" ht="14.25" customHeight="1" x14ac:dyDescent="0.2">
      <c r="A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</row>
    <row r="837" spans="1:31" ht="14.25" customHeight="1" x14ac:dyDescent="0.2">
      <c r="A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</row>
    <row r="838" spans="1:31" ht="14.25" customHeight="1" x14ac:dyDescent="0.2">
      <c r="A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</row>
    <row r="839" spans="1:31" ht="14.25" customHeight="1" x14ac:dyDescent="0.2">
      <c r="A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</row>
    <row r="840" spans="1:31" ht="14.25" customHeight="1" x14ac:dyDescent="0.2">
      <c r="A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</row>
    <row r="841" spans="1:31" ht="14.25" customHeight="1" x14ac:dyDescent="0.2">
      <c r="A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</row>
    <row r="842" spans="1:31" ht="14.25" customHeight="1" x14ac:dyDescent="0.2">
      <c r="A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</row>
    <row r="843" spans="1:31" ht="14.25" customHeight="1" x14ac:dyDescent="0.2">
      <c r="A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</row>
    <row r="844" spans="1:31" ht="14.25" customHeight="1" x14ac:dyDescent="0.2">
      <c r="A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</row>
    <row r="845" spans="1:31" ht="14.25" customHeight="1" x14ac:dyDescent="0.2">
      <c r="A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</row>
    <row r="846" spans="1:31" ht="14.25" customHeight="1" x14ac:dyDescent="0.2">
      <c r="A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</row>
    <row r="847" spans="1:31" ht="14.25" customHeight="1" x14ac:dyDescent="0.2">
      <c r="A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</row>
    <row r="848" spans="1:31" ht="14.25" customHeight="1" x14ac:dyDescent="0.2">
      <c r="A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</row>
    <row r="849" spans="1:31" ht="14.25" customHeight="1" x14ac:dyDescent="0.2">
      <c r="A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</row>
    <row r="850" spans="1:31" ht="14.25" customHeight="1" x14ac:dyDescent="0.2">
      <c r="A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</row>
    <row r="851" spans="1:31" ht="14.25" customHeight="1" x14ac:dyDescent="0.2">
      <c r="A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</row>
    <row r="852" spans="1:31" ht="14.25" customHeight="1" x14ac:dyDescent="0.2">
      <c r="A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</row>
    <row r="853" spans="1:31" ht="14.25" customHeight="1" x14ac:dyDescent="0.2">
      <c r="A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</row>
    <row r="854" spans="1:31" ht="14.25" customHeight="1" x14ac:dyDescent="0.2">
      <c r="A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</row>
    <row r="855" spans="1:31" ht="14.25" customHeight="1" x14ac:dyDescent="0.2">
      <c r="A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</row>
    <row r="856" spans="1:31" ht="14.25" customHeight="1" x14ac:dyDescent="0.2">
      <c r="A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</row>
    <row r="857" spans="1:31" ht="14.25" customHeight="1" x14ac:dyDescent="0.2">
      <c r="A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</row>
    <row r="858" spans="1:31" ht="14.25" customHeight="1" x14ac:dyDescent="0.2">
      <c r="A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</row>
    <row r="859" spans="1:31" ht="14.25" customHeight="1" x14ac:dyDescent="0.2">
      <c r="A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</row>
    <row r="860" spans="1:31" ht="14.25" customHeight="1" x14ac:dyDescent="0.2">
      <c r="A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</row>
    <row r="861" spans="1:31" ht="14.25" customHeight="1" x14ac:dyDescent="0.2">
      <c r="A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</row>
    <row r="862" spans="1:31" ht="14.25" customHeight="1" x14ac:dyDescent="0.2">
      <c r="A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</row>
    <row r="863" spans="1:31" ht="14.25" customHeight="1" x14ac:dyDescent="0.2">
      <c r="A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</row>
    <row r="864" spans="1:31" ht="14.25" customHeight="1" x14ac:dyDescent="0.2">
      <c r="A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</row>
    <row r="865" spans="1:31" ht="14.25" customHeight="1" x14ac:dyDescent="0.2">
      <c r="A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</row>
    <row r="866" spans="1:31" ht="14.25" customHeight="1" x14ac:dyDescent="0.2">
      <c r="A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</row>
    <row r="867" spans="1:31" ht="14.25" customHeight="1" x14ac:dyDescent="0.2">
      <c r="A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</row>
    <row r="868" spans="1:31" ht="14.25" customHeight="1" x14ac:dyDescent="0.2">
      <c r="A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</row>
    <row r="869" spans="1:31" ht="14.25" customHeight="1" x14ac:dyDescent="0.2">
      <c r="A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</row>
    <row r="870" spans="1:31" ht="14.25" customHeight="1" x14ac:dyDescent="0.2">
      <c r="A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</row>
    <row r="871" spans="1:31" ht="14.25" customHeight="1" x14ac:dyDescent="0.2">
      <c r="A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</row>
    <row r="872" spans="1:31" ht="14.25" customHeight="1" x14ac:dyDescent="0.2">
      <c r="A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</row>
    <row r="873" spans="1:31" ht="14.25" customHeight="1" x14ac:dyDescent="0.2">
      <c r="A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</row>
    <row r="874" spans="1:31" ht="14.25" customHeight="1" x14ac:dyDescent="0.2">
      <c r="A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</row>
    <row r="875" spans="1:31" ht="14.25" customHeight="1" x14ac:dyDescent="0.2">
      <c r="A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</row>
    <row r="876" spans="1:31" ht="14.25" customHeight="1" x14ac:dyDescent="0.2">
      <c r="A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</row>
    <row r="877" spans="1:31" ht="14.25" customHeight="1" x14ac:dyDescent="0.2">
      <c r="A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</row>
    <row r="878" spans="1:31" ht="14.25" customHeight="1" x14ac:dyDescent="0.2">
      <c r="A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</row>
    <row r="879" spans="1:31" ht="14.25" customHeight="1" x14ac:dyDescent="0.2">
      <c r="A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</row>
    <row r="880" spans="1:31" ht="14.25" customHeight="1" x14ac:dyDescent="0.2">
      <c r="A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</row>
    <row r="881" spans="1:31" ht="14.25" customHeight="1" x14ac:dyDescent="0.2">
      <c r="A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</row>
    <row r="882" spans="1:31" ht="14.25" customHeight="1" x14ac:dyDescent="0.2">
      <c r="A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</row>
    <row r="883" spans="1:31" ht="14.25" customHeight="1" x14ac:dyDescent="0.2">
      <c r="A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</row>
    <row r="884" spans="1:31" ht="14.25" customHeight="1" x14ac:dyDescent="0.2">
      <c r="A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</row>
    <row r="885" spans="1:31" ht="14.25" customHeight="1" x14ac:dyDescent="0.2">
      <c r="A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</row>
    <row r="886" spans="1:31" ht="14.25" customHeight="1" x14ac:dyDescent="0.2">
      <c r="A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</row>
    <row r="887" spans="1:31" ht="14.25" customHeight="1" x14ac:dyDescent="0.2">
      <c r="A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</row>
    <row r="888" spans="1:31" ht="14.25" customHeight="1" x14ac:dyDescent="0.2">
      <c r="A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</row>
    <row r="889" spans="1:31" ht="14.25" customHeight="1" x14ac:dyDescent="0.2">
      <c r="A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</row>
    <row r="890" spans="1:31" ht="14.25" customHeight="1" x14ac:dyDescent="0.2">
      <c r="A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</row>
    <row r="891" spans="1:31" ht="14.25" customHeight="1" x14ac:dyDescent="0.2">
      <c r="A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</row>
    <row r="892" spans="1:31" ht="14.25" customHeight="1" x14ac:dyDescent="0.2">
      <c r="A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</row>
    <row r="893" spans="1:31" ht="14.25" customHeight="1" x14ac:dyDescent="0.2">
      <c r="A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</row>
    <row r="894" spans="1:31" ht="14.25" customHeight="1" x14ac:dyDescent="0.2">
      <c r="A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</row>
    <row r="895" spans="1:31" ht="14.25" customHeight="1" x14ac:dyDescent="0.2">
      <c r="A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</row>
    <row r="896" spans="1:31" ht="14.25" customHeight="1" x14ac:dyDescent="0.2">
      <c r="A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</row>
    <row r="897" spans="1:31" ht="14.25" customHeight="1" x14ac:dyDescent="0.2">
      <c r="A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</row>
    <row r="898" spans="1:31" ht="14.25" customHeight="1" x14ac:dyDescent="0.2">
      <c r="A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</row>
    <row r="899" spans="1:31" ht="14.25" customHeight="1" x14ac:dyDescent="0.2">
      <c r="A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</row>
    <row r="900" spans="1:31" ht="14.25" customHeight="1" x14ac:dyDescent="0.2">
      <c r="A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</row>
    <row r="901" spans="1:31" ht="14.25" customHeight="1" x14ac:dyDescent="0.2">
      <c r="A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</row>
    <row r="902" spans="1:31" ht="14.25" customHeight="1" x14ac:dyDescent="0.2">
      <c r="A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</row>
    <row r="903" spans="1:31" ht="14.25" customHeight="1" x14ac:dyDescent="0.2">
      <c r="A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</row>
    <row r="904" spans="1:31" ht="14.25" customHeight="1" x14ac:dyDescent="0.2">
      <c r="A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</row>
    <row r="905" spans="1:31" ht="14.25" customHeight="1" x14ac:dyDescent="0.2">
      <c r="A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</row>
    <row r="906" spans="1:31" ht="14.25" customHeight="1" x14ac:dyDescent="0.2">
      <c r="A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</row>
    <row r="907" spans="1:31" ht="14.25" customHeight="1" x14ac:dyDescent="0.2">
      <c r="A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</row>
    <row r="908" spans="1:31" ht="14.25" customHeight="1" x14ac:dyDescent="0.2">
      <c r="A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</row>
    <row r="909" spans="1:31" ht="14.25" customHeight="1" x14ac:dyDescent="0.2">
      <c r="A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</row>
    <row r="910" spans="1:31" ht="14.25" customHeight="1" x14ac:dyDescent="0.2">
      <c r="A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</row>
    <row r="911" spans="1:31" ht="14.25" customHeight="1" x14ac:dyDescent="0.2">
      <c r="A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</row>
    <row r="912" spans="1:31" ht="14.25" customHeight="1" x14ac:dyDescent="0.2">
      <c r="A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</row>
    <row r="913" spans="1:31" ht="14.25" customHeight="1" x14ac:dyDescent="0.2">
      <c r="A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</row>
    <row r="914" spans="1:31" ht="14.25" customHeight="1" x14ac:dyDescent="0.2">
      <c r="A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</row>
    <row r="915" spans="1:31" ht="14.25" customHeight="1" x14ac:dyDescent="0.2">
      <c r="A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</row>
    <row r="916" spans="1:31" ht="14.25" customHeight="1" x14ac:dyDescent="0.2">
      <c r="A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</row>
    <row r="917" spans="1:31" ht="14.25" customHeight="1" x14ac:dyDescent="0.2">
      <c r="A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</row>
    <row r="918" spans="1:31" ht="14.25" customHeight="1" x14ac:dyDescent="0.2">
      <c r="A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</row>
    <row r="919" spans="1:31" ht="14.25" customHeight="1" x14ac:dyDescent="0.2">
      <c r="A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</row>
    <row r="920" spans="1:31" ht="14.25" customHeight="1" x14ac:dyDescent="0.2">
      <c r="A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</row>
    <row r="921" spans="1:31" ht="14.25" customHeight="1" x14ac:dyDescent="0.2">
      <c r="A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</row>
    <row r="922" spans="1:31" ht="14.25" customHeight="1" x14ac:dyDescent="0.2">
      <c r="A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</row>
    <row r="923" spans="1:31" ht="14.25" customHeight="1" x14ac:dyDescent="0.2">
      <c r="A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</row>
    <row r="924" spans="1:31" ht="14.25" customHeight="1" x14ac:dyDescent="0.2">
      <c r="A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</row>
    <row r="925" spans="1:31" ht="14.25" customHeight="1" x14ac:dyDescent="0.2">
      <c r="A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</row>
    <row r="926" spans="1:31" ht="14.25" customHeight="1" x14ac:dyDescent="0.2">
      <c r="A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</row>
    <row r="927" spans="1:31" ht="14.25" customHeight="1" x14ac:dyDescent="0.2">
      <c r="A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</row>
    <row r="928" spans="1:31" ht="14.25" customHeight="1" x14ac:dyDescent="0.2">
      <c r="A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</row>
    <row r="929" spans="1:31" ht="14.25" customHeight="1" x14ac:dyDescent="0.2">
      <c r="A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</row>
    <row r="930" spans="1:31" ht="14.25" customHeight="1" x14ac:dyDescent="0.2">
      <c r="A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</row>
    <row r="931" spans="1:31" ht="14.25" customHeight="1" x14ac:dyDescent="0.2">
      <c r="A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</row>
    <row r="932" spans="1:31" ht="14.25" customHeight="1" x14ac:dyDescent="0.2">
      <c r="A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</row>
    <row r="933" spans="1:31" ht="14.25" customHeight="1" x14ac:dyDescent="0.2">
      <c r="A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</row>
    <row r="934" spans="1:31" ht="14.25" customHeight="1" x14ac:dyDescent="0.2">
      <c r="A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</row>
    <row r="935" spans="1:31" ht="14.25" customHeight="1" x14ac:dyDescent="0.2">
      <c r="A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</row>
    <row r="936" spans="1:31" ht="14.25" customHeight="1" x14ac:dyDescent="0.2">
      <c r="A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</row>
    <row r="937" spans="1:31" ht="14.25" customHeight="1" x14ac:dyDescent="0.2">
      <c r="A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</row>
    <row r="938" spans="1:31" ht="14.25" customHeight="1" x14ac:dyDescent="0.2">
      <c r="A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</row>
    <row r="939" spans="1:31" ht="14.25" customHeight="1" x14ac:dyDescent="0.2">
      <c r="A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</row>
    <row r="940" spans="1:31" ht="14.25" customHeight="1" x14ac:dyDescent="0.2">
      <c r="A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</row>
    <row r="941" spans="1:31" ht="14.25" customHeight="1" x14ac:dyDescent="0.2">
      <c r="A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</row>
    <row r="942" spans="1:31" ht="14.25" customHeight="1" x14ac:dyDescent="0.2">
      <c r="A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</row>
    <row r="943" spans="1:31" ht="14.25" customHeight="1" x14ac:dyDescent="0.2">
      <c r="A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</row>
    <row r="944" spans="1:31" ht="14.25" customHeight="1" x14ac:dyDescent="0.2">
      <c r="A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</row>
    <row r="945" spans="1:31" ht="14.25" customHeight="1" x14ac:dyDescent="0.2">
      <c r="A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</row>
    <row r="946" spans="1:31" ht="14.25" customHeight="1" x14ac:dyDescent="0.2">
      <c r="A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</row>
    <row r="947" spans="1:31" ht="14.25" customHeight="1" x14ac:dyDescent="0.2">
      <c r="A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</row>
    <row r="948" spans="1:31" ht="14.25" customHeight="1" x14ac:dyDescent="0.2">
      <c r="A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</row>
    <row r="949" spans="1:31" ht="14.25" customHeight="1" x14ac:dyDescent="0.2">
      <c r="A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</row>
    <row r="950" spans="1:31" ht="14.25" customHeight="1" x14ac:dyDescent="0.2">
      <c r="A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</row>
    <row r="951" spans="1:31" ht="14.25" customHeight="1" x14ac:dyDescent="0.2">
      <c r="A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</row>
    <row r="952" spans="1:31" ht="14.25" customHeight="1" x14ac:dyDescent="0.2">
      <c r="A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</row>
    <row r="953" spans="1:31" ht="14.25" customHeight="1" x14ac:dyDescent="0.2">
      <c r="A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</row>
    <row r="954" spans="1:31" ht="14.25" customHeight="1" x14ac:dyDescent="0.2">
      <c r="A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</row>
    <row r="955" spans="1:31" ht="14.25" customHeight="1" x14ac:dyDescent="0.2">
      <c r="A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</row>
    <row r="956" spans="1:31" ht="14.25" customHeight="1" x14ac:dyDescent="0.2">
      <c r="A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</row>
    <row r="957" spans="1:31" ht="14.25" customHeight="1" x14ac:dyDescent="0.2">
      <c r="A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</row>
    <row r="958" spans="1:31" ht="14.25" customHeight="1" x14ac:dyDescent="0.2">
      <c r="A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</row>
    <row r="959" spans="1:31" ht="14.25" customHeight="1" x14ac:dyDescent="0.2">
      <c r="A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</row>
    <row r="960" spans="1:31" ht="14.25" customHeight="1" x14ac:dyDescent="0.2">
      <c r="A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</row>
    <row r="961" spans="1:31" ht="14.25" customHeight="1" x14ac:dyDescent="0.2">
      <c r="A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</row>
    <row r="962" spans="1:31" ht="14.25" customHeight="1" x14ac:dyDescent="0.2">
      <c r="A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</row>
    <row r="963" spans="1:31" ht="14.25" customHeight="1" x14ac:dyDescent="0.2">
      <c r="A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</row>
    <row r="964" spans="1:31" ht="14.25" customHeight="1" x14ac:dyDescent="0.2">
      <c r="A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</row>
    <row r="965" spans="1:31" ht="14.25" customHeight="1" x14ac:dyDescent="0.2">
      <c r="A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</row>
    <row r="966" spans="1:31" ht="14.25" customHeight="1" x14ac:dyDescent="0.2">
      <c r="A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</row>
    <row r="967" spans="1:31" ht="14.25" customHeight="1" x14ac:dyDescent="0.2">
      <c r="A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</row>
    <row r="968" spans="1:31" ht="14.25" customHeight="1" x14ac:dyDescent="0.2">
      <c r="A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</row>
    <row r="969" spans="1:31" ht="14.25" customHeight="1" x14ac:dyDescent="0.2">
      <c r="A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</row>
    <row r="970" spans="1:31" ht="14.25" customHeight="1" x14ac:dyDescent="0.2">
      <c r="A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</row>
    <row r="971" spans="1:31" ht="14.25" customHeight="1" x14ac:dyDescent="0.2">
      <c r="A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</row>
    <row r="972" spans="1:31" ht="14.25" customHeight="1" x14ac:dyDescent="0.2">
      <c r="A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</row>
    <row r="973" spans="1:31" ht="14.25" customHeight="1" x14ac:dyDescent="0.2">
      <c r="A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</row>
    <row r="974" spans="1:31" ht="14.25" customHeight="1" x14ac:dyDescent="0.2">
      <c r="A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</row>
    <row r="975" spans="1:31" ht="14.25" customHeight="1" x14ac:dyDescent="0.2">
      <c r="A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</row>
    <row r="976" spans="1:31" ht="14.25" customHeight="1" x14ac:dyDescent="0.2">
      <c r="A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</row>
    <row r="977" spans="1:31" ht="14.25" customHeight="1" x14ac:dyDescent="0.2">
      <c r="A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</row>
    <row r="978" spans="1:31" ht="14.25" customHeight="1" x14ac:dyDescent="0.2">
      <c r="A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</row>
    <row r="979" spans="1:31" ht="14.25" customHeight="1" x14ac:dyDescent="0.2">
      <c r="A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</row>
    <row r="980" spans="1:31" ht="14.25" customHeight="1" x14ac:dyDescent="0.2">
      <c r="A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</row>
    <row r="981" spans="1:31" ht="14.25" customHeight="1" x14ac:dyDescent="0.2">
      <c r="A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</row>
    <row r="982" spans="1:31" ht="14.25" customHeight="1" x14ac:dyDescent="0.2">
      <c r="A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</row>
    <row r="983" spans="1:31" ht="14.25" customHeight="1" x14ac:dyDescent="0.2">
      <c r="A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</row>
    <row r="984" spans="1:31" ht="14.25" customHeight="1" x14ac:dyDescent="0.2">
      <c r="A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</row>
    <row r="985" spans="1:31" ht="14.25" customHeight="1" x14ac:dyDescent="0.2">
      <c r="A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</row>
    <row r="986" spans="1:31" ht="14.25" customHeight="1" x14ac:dyDescent="0.2">
      <c r="A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</row>
    <row r="987" spans="1:31" ht="14.25" customHeight="1" x14ac:dyDescent="0.2">
      <c r="A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</row>
    <row r="988" spans="1:31" ht="14.25" customHeight="1" x14ac:dyDescent="0.2">
      <c r="A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</row>
    <row r="989" spans="1:31" ht="14.25" customHeight="1" x14ac:dyDescent="0.2">
      <c r="A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</row>
    <row r="990" spans="1:31" ht="14.25" customHeight="1" x14ac:dyDescent="0.2">
      <c r="A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</row>
    <row r="991" spans="1:31" ht="14.25" customHeight="1" x14ac:dyDescent="0.2">
      <c r="A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</row>
    <row r="992" spans="1:31" ht="14.25" customHeight="1" x14ac:dyDescent="0.2">
      <c r="A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</row>
    <row r="993" spans="1:31" ht="14.25" customHeight="1" x14ac:dyDescent="0.2">
      <c r="A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</row>
    <row r="994" spans="1:31" ht="14.25" customHeight="1" x14ac:dyDescent="0.2">
      <c r="A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</row>
    <row r="995" spans="1:31" ht="14.25" customHeight="1" x14ac:dyDescent="0.2">
      <c r="A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</row>
    <row r="996" spans="1:31" ht="14.25" customHeight="1" x14ac:dyDescent="0.2">
      <c r="A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</row>
    <row r="997" spans="1:31" ht="14.25" customHeight="1" x14ac:dyDescent="0.2">
      <c r="A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</row>
    <row r="998" spans="1:31" ht="14.25" customHeight="1" x14ac:dyDescent="0.2">
      <c r="A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</row>
    <row r="999" spans="1:31" ht="14.25" customHeight="1" x14ac:dyDescent="0.2">
      <c r="A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</row>
    <row r="1000" spans="1:31" ht="14.25" customHeight="1" x14ac:dyDescent="0.2">
      <c r="A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</row>
  </sheetData>
  <mergeCells count="1">
    <mergeCell ref="B59:K59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Glossary</vt:lpstr>
      <vt:lpstr>Summary</vt:lpstr>
      <vt:lpstr>Financial statements</vt:lpstr>
      <vt:lpstr>Forecast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charisma.fikri.2104326</cp:lastModifiedBy>
  <dcterms:created xsi:type="dcterms:W3CDTF">2022-06-05T15:37:01Z</dcterms:created>
  <dcterms:modified xsi:type="dcterms:W3CDTF">2025-01-20T07:50:03Z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etDate">
    <vt:lpwstr>2022-06-05T15:37:02Z</vt:lpwstr>
  </property>
  <property fmtid="{D5CDD505-2E9C-101B-9397-08002B2CF9AE}" pid="4" name="MSIP_Label_027a3850-2850-457c-8efb-fdd5fa4d27d3_Method">
    <vt:lpwstr>Standard</vt:lpwstr>
  </property>
  <property fmtid="{D5CDD505-2E9C-101B-9397-08002B2CF9AE}" pid="5" name="MSIP_Label_027a3850-2850-457c-8efb-fdd5fa4d27d3_Name">
    <vt:lpwstr>027a3850-2850-457c-8efb-fdd5fa4d27d3</vt:lpwstr>
  </property>
  <property fmtid="{D5CDD505-2E9C-101B-9397-08002B2CF9AE}" pid="6" name="MSIP_Label_027a3850-2850-457c-8efb-fdd5fa4d27d3_SiteId">
    <vt:lpwstr>7369e6ec-faa6-42fa-bc0e-4f332da5b1db</vt:lpwstr>
  </property>
  <property fmtid="{D5CDD505-2E9C-101B-9397-08002B2CF9AE}" pid="7" name="MSIP_Label_027a3850-2850-457c-8efb-fdd5fa4d27d3_ActionId">
    <vt:lpwstr>e546e2c6-c6de-48a8-ba23-37113387c54b</vt:lpwstr>
  </property>
  <property fmtid="{D5CDD505-2E9C-101B-9397-08002B2CF9AE}" pid="8" name="MSIP_Label_027a3850-2850-457c-8efb-fdd5fa4d27d3_ContentBits">
    <vt:lpwstr>0</vt:lpwstr>
  </property>
</Properties>
</file>